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thongke\detai\v6\"/>
    </mc:Choice>
  </mc:AlternateContent>
  <xr:revisionPtr revIDLastSave="0" documentId="13_ncr:1_{910911B3-4FF4-458C-8265-E7846C983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_Huong_dan" sheetId="1" r:id="rId1"/>
    <sheet name="1_Du_lieu" sheetId="2" r:id="rId2"/>
    <sheet name="2_Bang1_Mo_ta" sheetId="3" r:id="rId3"/>
    <sheet name="3_Bang2_EBI_tuong_doi" sheetId="4" r:id="rId4"/>
    <sheet name="4_Bang3_Gini_Theil" sheetId="5" r:id="rId5"/>
    <sheet name="5_Bang4_Gini_tru_cot" sheetId="6" r:id="rId6"/>
    <sheet name="6_Bang5a_Sigma" sheetId="7" r:id="rId7"/>
    <sheet name="7_Bang5_Beta" sheetId="8" r:id="rId8"/>
    <sheet name="8_Bang6_7_9_OLS" sheetId="9" r:id="rId9"/>
    <sheet name="9_Bang8_Oaxaca" sheetId="10" r:id="rId10"/>
    <sheet name="10_So_lieu_khac" sheetId="11" r:id="rId11"/>
    <sheet name="11_Doi_chieu" sheetId="12" r:id="rId12"/>
  </sheets>
  <calcPr calcId="191029"/>
</workbook>
</file>

<file path=xl/calcChain.xml><?xml version="1.0" encoding="utf-8"?>
<calcChain xmlns="http://schemas.openxmlformats.org/spreadsheetml/2006/main">
  <c r="B42" i="11" l="1"/>
  <c r="B41" i="11"/>
  <c r="B40" i="11"/>
  <c r="B39" i="11"/>
  <c r="B38" i="11"/>
  <c r="B37" i="11"/>
  <c r="B36" i="11"/>
  <c r="B35" i="11"/>
  <c r="H20" i="11"/>
  <c r="F20" i="11"/>
  <c r="E20" i="11"/>
  <c r="G20" i="11" s="1"/>
  <c r="C20" i="11"/>
  <c r="B20" i="11"/>
  <c r="D20" i="11" s="1"/>
  <c r="D143" i="12" s="1"/>
  <c r="F143" i="12" s="1"/>
  <c r="G143" i="12" s="1"/>
  <c r="H19" i="11"/>
  <c r="F19" i="11"/>
  <c r="E19" i="11"/>
  <c r="C19" i="11"/>
  <c r="B19" i="11"/>
  <c r="D19" i="11" s="1"/>
  <c r="D142" i="12" s="1"/>
  <c r="F142" i="12" s="1"/>
  <c r="G142" i="12" s="1"/>
  <c r="H18" i="11"/>
  <c r="F18" i="11"/>
  <c r="E18" i="11"/>
  <c r="C18" i="11"/>
  <c r="B18" i="11"/>
  <c r="H17" i="11"/>
  <c r="F17" i="11"/>
  <c r="E17" i="11"/>
  <c r="G17" i="11" s="1"/>
  <c r="C17" i="11"/>
  <c r="B17" i="11"/>
  <c r="D17" i="11" s="1"/>
  <c r="D140" i="12" s="1"/>
  <c r="F140" i="12" s="1"/>
  <c r="G140" i="12" s="1"/>
  <c r="H16" i="11"/>
  <c r="G16" i="11"/>
  <c r="F16" i="11"/>
  <c r="E16" i="11"/>
  <c r="C16" i="11"/>
  <c r="B16" i="11"/>
  <c r="H15" i="11"/>
  <c r="F15" i="11"/>
  <c r="E15" i="11"/>
  <c r="G15" i="11" s="1"/>
  <c r="C15" i="11"/>
  <c r="B15" i="11"/>
  <c r="H14" i="11"/>
  <c r="F14" i="11"/>
  <c r="E14" i="11"/>
  <c r="C14" i="11"/>
  <c r="B14" i="11"/>
  <c r="D14" i="11" s="1"/>
  <c r="D137" i="12" s="1"/>
  <c r="F137" i="12" s="1"/>
  <c r="G137" i="12" s="1"/>
  <c r="H13" i="11"/>
  <c r="F13" i="11"/>
  <c r="E13" i="11"/>
  <c r="G13" i="11" s="1"/>
  <c r="C13" i="11"/>
  <c r="D13" i="11" s="1"/>
  <c r="D136" i="12" s="1"/>
  <c r="F136" i="12" s="1"/>
  <c r="G136" i="12" s="1"/>
  <c r="B13" i="11"/>
  <c r="E9" i="11"/>
  <c r="D9" i="11"/>
  <c r="C9" i="11"/>
  <c r="B9" i="11" s="1"/>
  <c r="E8" i="11"/>
  <c r="D8" i="11" s="1"/>
  <c r="C8" i="11"/>
  <c r="B8" i="11" s="1"/>
  <c r="E7" i="11"/>
  <c r="D7" i="11" s="1"/>
  <c r="C7" i="11"/>
  <c r="B7" i="11" s="1"/>
  <c r="E6" i="11"/>
  <c r="D6" i="11"/>
  <c r="C6" i="11"/>
  <c r="B6" i="11" s="1"/>
  <c r="E5" i="11"/>
  <c r="D5" i="11" s="1"/>
  <c r="C5" i="11"/>
  <c r="B5" i="11" s="1"/>
  <c r="F2163" i="9"/>
  <c r="F2162" i="9"/>
  <c r="F2161" i="9"/>
  <c r="F2160" i="9"/>
  <c r="F2159" i="9"/>
  <c r="F2158" i="9"/>
  <c r="F2152" i="9"/>
  <c r="F2151" i="9"/>
  <c r="F2150" i="9"/>
  <c r="F2149" i="9"/>
  <c r="F2148" i="9"/>
  <c r="F2147" i="9"/>
  <c r="F2141" i="9"/>
  <c r="F2140" i="9"/>
  <c r="F2139" i="9"/>
  <c r="I2135" i="9"/>
  <c r="H2135" i="9"/>
  <c r="G2135" i="9"/>
  <c r="E2135" i="9"/>
  <c r="I2134" i="9"/>
  <c r="H2134" i="9"/>
  <c r="G2134" i="9"/>
  <c r="E2134" i="9"/>
  <c r="I2133" i="9"/>
  <c r="H2133" i="9"/>
  <c r="G2133" i="9"/>
  <c r="E2133" i="9"/>
  <c r="I2132" i="9"/>
  <c r="H2132" i="9"/>
  <c r="G2132" i="9"/>
  <c r="E2132" i="9"/>
  <c r="I2131" i="9"/>
  <c r="H2131" i="9"/>
  <c r="G2131" i="9"/>
  <c r="E2131" i="9"/>
  <c r="I2130" i="9"/>
  <c r="H2130" i="9"/>
  <c r="G2130" i="9"/>
  <c r="E2130" i="9"/>
  <c r="I2129" i="9"/>
  <c r="H2129" i="9"/>
  <c r="G2129" i="9"/>
  <c r="E2129" i="9"/>
  <c r="I2128" i="9"/>
  <c r="H2128" i="9"/>
  <c r="G2128" i="9"/>
  <c r="E2128" i="9"/>
  <c r="I2127" i="9"/>
  <c r="H2127" i="9"/>
  <c r="G2127" i="9"/>
  <c r="E2127" i="9"/>
  <c r="I2126" i="9"/>
  <c r="H2126" i="9"/>
  <c r="G2126" i="9"/>
  <c r="E2126" i="9"/>
  <c r="I2125" i="9"/>
  <c r="H2125" i="9"/>
  <c r="G2125" i="9"/>
  <c r="E2125" i="9"/>
  <c r="I2124" i="9"/>
  <c r="H2124" i="9"/>
  <c r="G2124" i="9"/>
  <c r="E2124" i="9"/>
  <c r="I2123" i="9"/>
  <c r="H2123" i="9"/>
  <c r="G2123" i="9"/>
  <c r="E2123" i="9"/>
  <c r="I2122" i="9"/>
  <c r="H2122" i="9"/>
  <c r="G2122" i="9"/>
  <c r="E2122" i="9"/>
  <c r="I2121" i="9"/>
  <c r="H2121" i="9"/>
  <c r="G2121" i="9"/>
  <c r="E2121" i="9"/>
  <c r="I2120" i="9"/>
  <c r="H2120" i="9"/>
  <c r="G2120" i="9"/>
  <c r="E2120" i="9"/>
  <c r="I2119" i="9"/>
  <c r="H2119" i="9"/>
  <c r="G2119" i="9"/>
  <c r="E2119" i="9"/>
  <c r="I2118" i="9"/>
  <c r="H2118" i="9"/>
  <c r="G2118" i="9"/>
  <c r="E2118" i="9"/>
  <c r="I2117" i="9"/>
  <c r="H2117" i="9"/>
  <c r="G2117" i="9"/>
  <c r="E2117" i="9"/>
  <c r="I2116" i="9"/>
  <c r="H2116" i="9"/>
  <c r="G2116" i="9"/>
  <c r="E2116" i="9"/>
  <c r="I2115" i="9"/>
  <c r="H2115" i="9"/>
  <c r="G2115" i="9"/>
  <c r="E2115" i="9"/>
  <c r="I2114" i="9"/>
  <c r="H2114" i="9"/>
  <c r="G2114" i="9"/>
  <c r="E2114" i="9"/>
  <c r="I2113" i="9"/>
  <c r="H2113" i="9"/>
  <c r="G2113" i="9"/>
  <c r="E2113" i="9"/>
  <c r="I2112" i="9"/>
  <c r="H2112" i="9"/>
  <c r="G2112" i="9"/>
  <c r="E2112" i="9"/>
  <c r="I2111" i="9"/>
  <c r="H2111" i="9"/>
  <c r="G2111" i="9"/>
  <c r="E2111" i="9"/>
  <c r="I2110" i="9"/>
  <c r="H2110" i="9"/>
  <c r="G2110" i="9"/>
  <c r="E2110" i="9"/>
  <c r="I2109" i="9"/>
  <c r="H2109" i="9"/>
  <c r="G2109" i="9"/>
  <c r="E2109" i="9"/>
  <c r="I2108" i="9"/>
  <c r="H2108" i="9"/>
  <c r="G2108" i="9"/>
  <c r="E2108" i="9"/>
  <c r="I2107" i="9"/>
  <c r="H2107" i="9"/>
  <c r="G2107" i="9"/>
  <c r="E2107" i="9"/>
  <c r="I2106" i="9"/>
  <c r="H2106" i="9"/>
  <c r="G2106" i="9"/>
  <c r="E2106" i="9"/>
  <c r="I2105" i="9"/>
  <c r="H2105" i="9"/>
  <c r="G2105" i="9"/>
  <c r="E2105" i="9"/>
  <c r="I2104" i="9"/>
  <c r="H2104" i="9"/>
  <c r="G2104" i="9"/>
  <c r="E2104" i="9"/>
  <c r="I2103" i="9"/>
  <c r="H2103" i="9"/>
  <c r="G2103" i="9"/>
  <c r="E2103" i="9"/>
  <c r="I2102" i="9"/>
  <c r="H2102" i="9"/>
  <c r="G2102" i="9"/>
  <c r="E2102" i="9"/>
  <c r="I2101" i="9"/>
  <c r="H2101" i="9"/>
  <c r="G2101" i="9"/>
  <c r="E2101" i="9"/>
  <c r="I2100" i="9"/>
  <c r="H2100" i="9"/>
  <c r="G2100" i="9"/>
  <c r="E2100" i="9"/>
  <c r="I2099" i="9"/>
  <c r="H2099" i="9"/>
  <c r="G2099" i="9"/>
  <c r="E2099" i="9"/>
  <c r="I2098" i="9"/>
  <c r="H2098" i="9"/>
  <c r="G2098" i="9"/>
  <c r="E2098" i="9"/>
  <c r="I2097" i="9"/>
  <c r="H2097" i="9"/>
  <c r="G2097" i="9"/>
  <c r="E2097" i="9"/>
  <c r="I2096" i="9"/>
  <c r="H2096" i="9"/>
  <c r="G2096" i="9"/>
  <c r="E2096" i="9"/>
  <c r="I2095" i="9"/>
  <c r="H2095" i="9"/>
  <c r="G2095" i="9"/>
  <c r="E2095" i="9"/>
  <c r="I2094" i="9"/>
  <c r="H2094" i="9"/>
  <c r="G2094" i="9"/>
  <c r="E2094" i="9"/>
  <c r="I2093" i="9"/>
  <c r="H2093" i="9"/>
  <c r="G2093" i="9"/>
  <c r="E2093" i="9"/>
  <c r="I2092" i="9"/>
  <c r="H2092" i="9"/>
  <c r="G2092" i="9"/>
  <c r="E2092" i="9"/>
  <c r="I2091" i="9"/>
  <c r="H2091" i="9"/>
  <c r="G2091" i="9"/>
  <c r="E2091" i="9"/>
  <c r="I2090" i="9"/>
  <c r="H2090" i="9"/>
  <c r="G2090" i="9"/>
  <c r="E2090" i="9"/>
  <c r="I2089" i="9"/>
  <c r="H2089" i="9"/>
  <c r="G2089" i="9"/>
  <c r="E2089" i="9"/>
  <c r="I2088" i="9"/>
  <c r="H2088" i="9"/>
  <c r="G2088" i="9"/>
  <c r="E2088" i="9"/>
  <c r="I2087" i="9"/>
  <c r="H2087" i="9"/>
  <c r="G2087" i="9"/>
  <c r="E2087" i="9"/>
  <c r="I2086" i="9"/>
  <c r="H2086" i="9"/>
  <c r="G2086" i="9"/>
  <c r="E2086" i="9"/>
  <c r="I2085" i="9"/>
  <c r="H2085" i="9"/>
  <c r="G2085" i="9"/>
  <c r="E2085" i="9"/>
  <c r="I2084" i="9"/>
  <c r="H2084" i="9"/>
  <c r="G2084" i="9"/>
  <c r="E2084" i="9"/>
  <c r="I2083" i="9"/>
  <c r="H2083" i="9"/>
  <c r="G2083" i="9"/>
  <c r="E2083" i="9"/>
  <c r="I2082" i="9"/>
  <c r="H2082" i="9"/>
  <c r="G2082" i="9"/>
  <c r="E2082" i="9"/>
  <c r="I2081" i="9"/>
  <c r="H2081" i="9"/>
  <c r="G2081" i="9"/>
  <c r="E2081" i="9"/>
  <c r="I2080" i="9"/>
  <c r="H2080" i="9"/>
  <c r="G2080" i="9"/>
  <c r="E2080" i="9"/>
  <c r="I2079" i="9"/>
  <c r="H2079" i="9"/>
  <c r="G2079" i="9"/>
  <c r="E2079" i="9"/>
  <c r="I2078" i="9"/>
  <c r="H2078" i="9"/>
  <c r="G2078" i="9"/>
  <c r="E2078" i="9"/>
  <c r="E2071" i="9"/>
  <c r="E2070" i="9"/>
  <c r="E2069" i="9"/>
  <c r="E2068" i="9"/>
  <c r="E2067" i="9"/>
  <c r="E2066" i="9"/>
  <c r="E2065" i="9"/>
  <c r="E2064" i="9"/>
  <c r="F2057" i="9"/>
  <c r="F2056" i="9"/>
  <c r="F2055" i="9"/>
  <c r="F2054" i="9"/>
  <c r="F2053" i="9"/>
  <c r="F2052" i="9"/>
  <c r="F2051" i="9"/>
  <c r="F2050" i="9"/>
  <c r="F2049" i="9"/>
  <c r="F2048" i="9"/>
  <c r="F2047" i="9"/>
  <c r="F2040" i="9"/>
  <c r="F2039" i="9"/>
  <c r="F2038" i="9"/>
  <c r="F2037" i="9"/>
  <c r="F2036" i="9"/>
  <c r="F2035" i="9"/>
  <c r="F2034" i="9"/>
  <c r="F2033" i="9"/>
  <c r="F2032" i="9"/>
  <c r="F2031" i="9"/>
  <c r="F2030" i="9"/>
  <c r="F2029" i="9"/>
  <c r="F2028" i="9"/>
  <c r="F2027" i="9"/>
  <c r="F2026" i="9"/>
  <c r="F2025" i="9"/>
  <c r="F2024" i="9"/>
  <c r="F2023" i="9"/>
  <c r="F2022" i="9"/>
  <c r="U2018" i="9"/>
  <c r="T2018" i="9"/>
  <c r="S2018" i="9"/>
  <c r="R2018" i="9"/>
  <c r="Q2018" i="9"/>
  <c r="P2018" i="9"/>
  <c r="O2018" i="9"/>
  <c r="N2018" i="9"/>
  <c r="M2018" i="9"/>
  <c r="L2018" i="9"/>
  <c r="K2018" i="9"/>
  <c r="G2018" i="9"/>
  <c r="F2018" i="9"/>
  <c r="E2018" i="9"/>
  <c r="U2017" i="9"/>
  <c r="T2017" i="9"/>
  <c r="S2017" i="9"/>
  <c r="R2017" i="9"/>
  <c r="Q2017" i="9"/>
  <c r="P2017" i="9"/>
  <c r="O2017" i="9"/>
  <c r="N2017" i="9"/>
  <c r="M2017" i="9"/>
  <c r="L2017" i="9"/>
  <c r="K2017" i="9"/>
  <c r="G2017" i="9"/>
  <c r="F2017" i="9"/>
  <c r="E2017" i="9"/>
  <c r="U2016" i="9"/>
  <c r="T2016" i="9"/>
  <c r="S2016" i="9"/>
  <c r="R2016" i="9"/>
  <c r="Q2016" i="9"/>
  <c r="P2016" i="9"/>
  <c r="O2016" i="9"/>
  <c r="N2016" i="9"/>
  <c r="M2016" i="9"/>
  <c r="L2016" i="9"/>
  <c r="K2016" i="9"/>
  <c r="G2016" i="9"/>
  <c r="F2016" i="9"/>
  <c r="E2016" i="9"/>
  <c r="U2015" i="9"/>
  <c r="T2015" i="9"/>
  <c r="S2015" i="9"/>
  <c r="R2015" i="9"/>
  <c r="Q2015" i="9"/>
  <c r="P2015" i="9"/>
  <c r="O2015" i="9"/>
  <c r="N2015" i="9"/>
  <c r="M2015" i="9"/>
  <c r="L2015" i="9"/>
  <c r="K2015" i="9"/>
  <c r="G2015" i="9"/>
  <c r="F2015" i="9"/>
  <c r="E2015" i="9"/>
  <c r="U2014" i="9"/>
  <c r="T2014" i="9"/>
  <c r="S2014" i="9"/>
  <c r="R2014" i="9"/>
  <c r="Q2014" i="9"/>
  <c r="P2014" i="9"/>
  <c r="O2014" i="9"/>
  <c r="N2014" i="9"/>
  <c r="M2014" i="9"/>
  <c r="L2014" i="9"/>
  <c r="K2014" i="9"/>
  <c r="G2014" i="9"/>
  <c r="F2014" i="9"/>
  <c r="E2014" i="9"/>
  <c r="U2013" i="9"/>
  <c r="T2013" i="9"/>
  <c r="S2013" i="9"/>
  <c r="R2013" i="9"/>
  <c r="Q2013" i="9"/>
  <c r="P2013" i="9"/>
  <c r="O2013" i="9"/>
  <c r="N2013" i="9"/>
  <c r="M2013" i="9"/>
  <c r="L2013" i="9"/>
  <c r="K2013" i="9"/>
  <c r="G2013" i="9"/>
  <c r="F2013" i="9"/>
  <c r="E2013" i="9"/>
  <c r="U2012" i="9"/>
  <c r="T2012" i="9"/>
  <c r="S2012" i="9"/>
  <c r="R2012" i="9"/>
  <c r="Q2012" i="9"/>
  <c r="P2012" i="9"/>
  <c r="O2012" i="9"/>
  <c r="N2012" i="9"/>
  <c r="M2012" i="9"/>
  <c r="L2012" i="9"/>
  <c r="K2012" i="9"/>
  <c r="G2012" i="9"/>
  <c r="F2012" i="9"/>
  <c r="E2012" i="9"/>
  <c r="U2011" i="9"/>
  <c r="T2011" i="9"/>
  <c r="S2011" i="9"/>
  <c r="R2011" i="9"/>
  <c r="Q2011" i="9"/>
  <c r="P2011" i="9"/>
  <c r="O2011" i="9"/>
  <c r="N2011" i="9"/>
  <c r="M2011" i="9"/>
  <c r="L2011" i="9"/>
  <c r="K2011" i="9"/>
  <c r="G2011" i="9"/>
  <c r="F2011" i="9"/>
  <c r="E2011" i="9"/>
  <c r="U2010" i="9"/>
  <c r="T2010" i="9"/>
  <c r="S2010" i="9"/>
  <c r="R2010" i="9"/>
  <c r="Q2010" i="9"/>
  <c r="P2010" i="9"/>
  <c r="O2010" i="9"/>
  <c r="N2010" i="9"/>
  <c r="M2010" i="9"/>
  <c r="L2010" i="9"/>
  <c r="K2010" i="9"/>
  <c r="G2010" i="9"/>
  <c r="F2010" i="9"/>
  <c r="E2010" i="9"/>
  <c r="U2009" i="9"/>
  <c r="T2009" i="9"/>
  <c r="S2009" i="9"/>
  <c r="R2009" i="9"/>
  <c r="Q2009" i="9"/>
  <c r="P2009" i="9"/>
  <c r="O2009" i="9"/>
  <c r="N2009" i="9"/>
  <c r="M2009" i="9"/>
  <c r="L2009" i="9"/>
  <c r="K2009" i="9"/>
  <c r="G2009" i="9"/>
  <c r="F2009" i="9"/>
  <c r="E2009" i="9"/>
  <c r="U2008" i="9"/>
  <c r="T2008" i="9"/>
  <c r="S2008" i="9"/>
  <c r="R2008" i="9"/>
  <c r="Q2008" i="9"/>
  <c r="P2008" i="9"/>
  <c r="O2008" i="9"/>
  <c r="N2008" i="9"/>
  <c r="M2008" i="9"/>
  <c r="L2008" i="9"/>
  <c r="K2008" i="9"/>
  <c r="G2008" i="9"/>
  <c r="F2008" i="9"/>
  <c r="E2008" i="9"/>
  <c r="U2007" i="9"/>
  <c r="T2007" i="9"/>
  <c r="S2007" i="9"/>
  <c r="R2007" i="9"/>
  <c r="Q2007" i="9"/>
  <c r="P2007" i="9"/>
  <c r="O2007" i="9"/>
  <c r="N2007" i="9"/>
  <c r="M2007" i="9"/>
  <c r="L2007" i="9"/>
  <c r="K2007" i="9"/>
  <c r="G2007" i="9"/>
  <c r="F2007" i="9"/>
  <c r="E2007" i="9"/>
  <c r="U2006" i="9"/>
  <c r="T2006" i="9"/>
  <c r="S2006" i="9"/>
  <c r="R2006" i="9"/>
  <c r="Q2006" i="9"/>
  <c r="P2006" i="9"/>
  <c r="O2006" i="9"/>
  <c r="N2006" i="9"/>
  <c r="M2006" i="9"/>
  <c r="L2006" i="9"/>
  <c r="K2006" i="9"/>
  <c r="G2006" i="9"/>
  <c r="F2006" i="9"/>
  <c r="E2006" i="9"/>
  <c r="U2005" i="9"/>
  <c r="T2005" i="9"/>
  <c r="S2005" i="9"/>
  <c r="R2005" i="9"/>
  <c r="Q2005" i="9"/>
  <c r="P2005" i="9"/>
  <c r="O2005" i="9"/>
  <c r="N2005" i="9"/>
  <c r="M2005" i="9"/>
  <c r="L2005" i="9"/>
  <c r="K2005" i="9"/>
  <c r="G2005" i="9"/>
  <c r="F2005" i="9"/>
  <c r="E2005" i="9"/>
  <c r="U2004" i="9"/>
  <c r="T2004" i="9"/>
  <c r="S2004" i="9"/>
  <c r="R2004" i="9"/>
  <c r="Q2004" i="9"/>
  <c r="P2004" i="9"/>
  <c r="O2004" i="9"/>
  <c r="N2004" i="9"/>
  <c r="M2004" i="9"/>
  <c r="L2004" i="9"/>
  <c r="K2004" i="9"/>
  <c r="G2004" i="9"/>
  <c r="F2004" i="9"/>
  <c r="E2004" i="9"/>
  <c r="U2003" i="9"/>
  <c r="T2003" i="9"/>
  <c r="S2003" i="9"/>
  <c r="R2003" i="9"/>
  <c r="Q2003" i="9"/>
  <c r="P2003" i="9"/>
  <c r="O2003" i="9"/>
  <c r="N2003" i="9"/>
  <c r="M2003" i="9"/>
  <c r="L2003" i="9"/>
  <c r="K2003" i="9"/>
  <c r="G2003" i="9"/>
  <c r="F2003" i="9"/>
  <c r="E2003" i="9"/>
  <c r="U2002" i="9"/>
  <c r="T2002" i="9"/>
  <c r="S2002" i="9"/>
  <c r="R2002" i="9"/>
  <c r="Q2002" i="9"/>
  <c r="P2002" i="9"/>
  <c r="O2002" i="9"/>
  <c r="N2002" i="9"/>
  <c r="M2002" i="9"/>
  <c r="L2002" i="9"/>
  <c r="K2002" i="9"/>
  <c r="G2002" i="9"/>
  <c r="F2002" i="9"/>
  <c r="E2002" i="9"/>
  <c r="U2001" i="9"/>
  <c r="T2001" i="9"/>
  <c r="S2001" i="9"/>
  <c r="R2001" i="9"/>
  <c r="Q2001" i="9"/>
  <c r="P2001" i="9"/>
  <c r="O2001" i="9"/>
  <c r="N2001" i="9"/>
  <c r="M2001" i="9"/>
  <c r="L2001" i="9"/>
  <c r="K2001" i="9"/>
  <c r="G2001" i="9"/>
  <c r="F2001" i="9"/>
  <c r="E2001" i="9"/>
  <c r="U2000" i="9"/>
  <c r="T2000" i="9"/>
  <c r="S2000" i="9"/>
  <c r="R2000" i="9"/>
  <c r="Q2000" i="9"/>
  <c r="P2000" i="9"/>
  <c r="O2000" i="9"/>
  <c r="N2000" i="9"/>
  <c r="M2000" i="9"/>
  <c r="L2000" i="9"/>
  <c r="K2000" i="9"/>
  <c r="G2000" i="9"/>
  <c r="F2000" i="9"/>
  <c r="E2000" i="9"/>
  <c r="U1999" i="9"/>
  <c r="T1999" i="9"/>
  <c r="S1999" i="9"/>
  <c r="R1999" i="9"/>
  <c r="Q1999" i="9"/>
  <c r="P1999" i="9"/>
  <c r="O1999" i="9"/>
  <c r="N1999" i="9"/>
  <c r="M1999" i="9"/>
  <c r="L1999" i="9"/>
  <c r="K1999" i="9"/>
  <c r="G1999" i="9"/>
  <c r="F1999" i="9"/>
  <c r="E1999" i="9"/>
  <c r="U1998" i="9"/>
  <c r="T1998" i="9"/>
  <c r="S1998" i="9"/>
  <c r="R1998" i="9"/>
  <c r="Q1998" i="9"/>
  <c r="P1998" i="9"/>
  <c r="O1998" i="9"/>
  <c r="N1998" i="9"/>
  <c r="M1998" i="9"/>
  <c r="L1998" i="9"/>
  <c r="K1998" i="9"/>
  <c r="G1998" i="9"/>
  <c r="F1998" i="9"/>
  <c r="E1998" i="9"/>
  <c r="U1997" i="9"/>
  <c r="T1997" i="9"/>
  <c r="S1997" i="9"/>
  <c r="R1997" i="9"/>
  <c r="Q1997" i="9"/>
  <c r="P1997" i="9"/>
  <c r="O1997" i="9"/>
  <c r="N1997" i="9"/>
  <c r="M1997" i="9"/>
  <c r="L1997" i="9"/>
  <c r="K1997" i="9"/>
  <c r="G1997" i="9"/>
  <c r="F1997" i="9"/>
  <c r="E1997" i="9"/>
  <c r="U1996" i="9"/>
  <c r="T1996" i="9"/>
  <c r="S1996" i="9"/>
  <c r="R1996" i="9"/>
  <c r="Q1996" i="9"/>
  <c r="P1996" i="9"/>
  <c r="O1996" i="9"/>
  <c r="N1996" i="9"/>
  <c r="M1996" i="9"/>
  <c r="L1996" i="9"/>
  <c r="K1996" i="9"/>
  <c r="G1996" i="9"/>
  <c r="F1996" i="9"/>
  <c r="E1996" i="9"/>
  <c r="U1995" i="9"/>
  <c r="T1995" i="9"/>
  <c r="S1995" i="9"/>
  <c r="R1995" i="9"/>
  <c r="Q1995" i="9"/>
  <c r="P1995" i="9"/>
  <c r="O1995" i="9"/>
  <c r="N1995" i="9"/>
  <c r="M1995" i="9"/>
  <c r="L1995" i="9"/>
  <c r="K1995" i="9"/>
  <c r="G1995" i="9"/>
  <c r="F1995" i="9"/>
  <c r="E1995" i="9"/>
  <c r="U1994" i="9"/>
  <c r="T1994" i="9"/>
  <c r="S1994" i="9"/>
  <c r="R1994" i="9"/>
  <c r="Q1994" i="9"/>
  <c r="P1994" i="9"/>
  <c r="O1994" i="9"/>
  <c r="N1994" i="9"/>
  <c r="M1994" i="9"/>
  <c r="L1994" i="9"/>
  <c r="K1994" i="9"/>
  <c r="G1994" i="9"/>
  <c r="F1994" i="9"/>
  <c r="E1994" i="9"/>
  <c r="U1993" i="9"/>
  <c r="T1993" i="9"/>
  <c r="S1993" i="9"/>
  <c r="R1993" i="9"/>
  <c r="Q1993" i="9"/>
  <c r="P1993" i="9"/>
  <c r="O1993" i="9"/>
  <c r="N1993" i="9"/>
  <c r="M1993" i="9"/>
  <c r="L1993" i="9"/>
  <c r="K1993" i="9"/>
  <c r="G1993" i="9"/>
  <c r="F1993" i="9"/>
  <c r="E1993" i="9"/>
  <c r="U1992" i="9"/>
  <c r="T1992" i="9"/>
  <c r="S1992" i="9"/>
  <c r="R1992" i="9"/>
  <c r="Q1992" i="9"/>
  <c r="P1992" i="9"/>
  <c r="O1992" i="9"/>
  <c r="N1992" i="9"/>
  <c r="M1992" i="9"/>
  <c r="L1992" i="9"/>
  <c r="K1992" i="9"/>
  <c r="G1992" i="9"/>
  <c r="F1992" i="9"/>
  <c r="E1992" i="9"/>
  <c r="U1991" i="9"/>
  <c r="T1991" i="9"/>
  <c r="S1991" i="9"/>
  <c r="R1991" i="9"/>
  <c r="Q1991" i="9"/>
  <c r="P1991" i="9"/>
  <c r="O1991" i="9"/>
  <c r="N1991" i="9"/>
  <c r="M1991" i="9"/>
  <c r="L1991" i="9"/>
  <c r="K1991" i="9"/>
  <c r="G1991" i="9"/>
  <c r="F1991" i="9"/>
  <c r="E1991" i="9"/>
  <c r="U1990" i="9"/>
  <c r="T1990" i="9"/>
  <c r="S1990" i="9"/>
  <c r="R1990" i="9"/>
  <c r="Q1990" i="9"/>
  <c r="P1990" i="9"/>
  <c r="O1990" i="9"/>
  <c r="N1990" i="9"/>
  <c r="M1990" i="9"/>
  <c r="L1990" i="9"/>
  <c r="K1990" i="9"/>
  <c r="G1990" i="9"/>
  <c r="F1990" i="9"/>
  <c r="E1990" i="9"/>
  <c r="U1989" i="9"/>
  <c r="T1989" i="9"/>
  <c r="S1989" i="9"/>
  <c r="R1989" i="9"/>
  <c r="Q1989" i="9"/>
  <c r="P1989" i="9"/>
  <c r="O1989" i="9"/>
  <c r="N1989" i="9"/>
  <c r="M1989" i="9"/>
  <c r="L1989" i="9"/>
  <c r="K1989" i="9"/>
  <c r="G1989" i="9"/>
  <c r="F1989" i="9"/>
  <c r="E1989" i="9"/>
  <c r="U1988" i="9"/>
  <c r="T1988" i="9"/>
  <c r="S1988" i="9"/>
  <c r="R1988" i="9"/>
  <c r="Q1988" i="9"/>
  <c r="P1988" i="9"/>
  <c r="O1988" i="9"/>
  <c r="N1988" i="9"/>
  <c r="M1988" i="9"/>
  <c r="L1988" i="9"/>
  <c r="K1988" i="9"/>
  <c r="G1988" i="9"/>
  <c r="F1988" i="9"/>
  <c r="E1988" i="9"/>
  <c r="U1987" i="9"/>
  <c r="T1987" i="9"/>
  <c r="S1987" i="9"/>
  <c r="R1987" i="9"/>
  <c r="Q1987" i="9"/>
  <c r="P1987" i="9"/>
  <c r="O1987" i="9"/>
  <c r="N1987" i="9"/>
  <c r="M1987" i="9"/>
  <c r="L1987" i="9"/>
  <c r="K1987" i="9"/>
  <c r="G1987" i="9"/>
  <c r="F1987" i="9"/>
  <c r="E1987" i="9"/>
  <c r="U1986" i="9"/>
  <c r="T1986" i="9"/>
  <c r="S1986" i="9"/>
  <c r="R1986" i="9"/>
  <c r="Q1986" i="9"/>
  <c r="P1986" i="9"/>
  <c r="O1986" i="9"/>
  <c r="N1986" i="9"/>
  <c r="M1986" i="9"/>
  <c r="L1986" i="9"/>
  <c r="K1986" i="9"/>
  <c r="G1986" i="9"/>
  <c r="F1986" i="9"/>
  <c r="E1986" i="9"/>
  <c r="U1985" i="9"/>
  <c r="T1985" i="9"/>
  <c r="S1985" i="9"/>
  <c r="R1985" i="9"/>
  <c r="Q1985" i="9"/>
  <c r="P1985" i="9"/>
  <c r="O1985" i="9"/>
  <c r="N1985" i="9"/>
  <c r="M1985" i="9"/>
  <c r="L1985" i="9"/>
  <c r="K1985" i="9"/>
  <c r="G1985" i="9"/>
  <c r="F1985" i="9"/>
  <c r="E1985" i="9"/>
  <c r="U1984" i="9"/>
  <c r="T1984" i="9"/>
  <c r="S1984" i="9"/>
  <c r="R1984" i="9"/>
  <c r="Q1984" i="9"/>
  <c r="P1984" i="9"/>
  <c r="O1984" i="9"/>
  <c r="N1984" i="9"/>
  <c r="M1984" i="9"/>
  <c r="L1984" i="9"/>
  <c r="K1984" i="9"/>
  <c r="G1984" i="9"/>
  <c r="F1984" i="9"/>
  <c r="E1984" i="9"/>
  <c r="U1983" i="9"/>
  <c r="T1983" i="9"/>
  <c r="S1983" i="9"/>
  <c r="R1983" i="9"/>
  <c r="Q1983" i="9"/>
  <c r="P1983" i="9"/>
  <c r="O1983" i="9"/>
  <c r="N1983" i="9"/>
  <c r="M1983" i="9"/>
  <c r="L1983" i="9"/>
  <c r="K1983" i="9"/>
  <c r="G1983" i="9"/>
  <c r="F1983" i="9"/>
  <c r="E1983" i="9"/>
  <c r="U1982" i="9"/>
  <c r="T1982" i="9"/>
  <c r="S1982" i="9"/>
  <c r="R1982" i="9"/>
  <c r="Q1982" i="9"/>
  <c r="P1982" i="9"/>
  <c r="O1982" i="9"/>
  <c r="N1982" i="9"/>
  <c r="M1982" i="9"/>
  <c r="L1982" i="9"/>
  <c r="K1982" i="9"/>
  <c r="G1982" i="9"/>
  <c r="F1982" i="9"/>
  <c r="E1982" i="9"/>
  <c r="U1981" i="9"/>
  <c r="T1981" i="9"/>
  <c r="S1981" i="9"/>
  <c r="R1981" i="9"/>
  <c r="Q1981" i="9"/>
  <c r="P1981" i="9"/>
  <c r="O1981" i="9"/>
  <c r="N1981" i="9"/>
  <c r="M1981" i="9"/>
  <c r="L1981" i="9"/>
  <c r="K1981" i="9"/>
  <c r="G1981" i="9"/>
  <c r="F1981" i="9"/>
  <c r="E1981" i="9"/>
  <c r="U1980" i="9"/>
  <c r="T1980" i="9"/>
  <c r="S1980" i="9"/>
  <c r="R1980" i="9"/>
  <c r="Q1980" i="9"/>
  <c r="P1980" i="9"/>
  <c r="O1980" i="9"/>
  <c r="N1980" i="9"/>
  <c r="M1980" i="9"/>
  <c r="L1980" i="9"/>
  <c r="K1980" i="9"/>
  <c r="G1980" i="9"/>
  <c r="F1980" i="9"/>
  <c r="E1980" i="9"/>
  <c r="U1979" i="9"/>
  <c r="T1979" i="9"/>
  <c r="S1979" i="9"/>
  <c r="R1979" i="9"/>
  <c r="Q1979" i="9"/>
  <c r="P1979" i="9"/>
  <c r="O1979" i="9"/>
  <c r="N1979" i="9"/>
  <c r="M1979" i="9"/>
  <c r="L1979" i="9"/>
  <c r="K1979" i="9"/>
  <c r="G1979" i="9"/>
  <c r="F1979" i="9"/>
  <c r="E1979" i="9"/>
  <c r="U1978" i="9"/>
  <c r="T1978" i="9"/>
  <c r="S1978" i="9"/>
  <c r="R1978" i="9"/>
  <c r="Q1978" i="9"/>
  <c r="P1978" i="9"/>
  <c r="O1978" i="9"/>
  <c r="N1978" i="9"/>
  <c r="M1978" i="9"/>
  <c r="L1978" i="9"/>
  <c r="K1978" i="9"/>
  <c r="G1978" i="9"/>
  <c r="F1978" i="9"/>
  <c r="E1978" i="9"/>
  <c r="U1977" i="9"/>
  <c r="T1977" i="9"/>
  <c r="S1977" i="9"/>
  <c r="R1977" i="9"/>
  <c r="Q1977" i="9"/>
  <c r="P1977" i="9"/>
  <c r="O1977" i="9"/>
  <c r="N1977" i="9"/>
  <c r="M1977" i="9"/>
  <c r="L1977" i="9"/>
  <c r="K1977" i="9"/>
  <c r="G1977" i="9"/>
  <c r="F1977" i="9"/>
  <c r="E1977" i="9"/>
  <c r="U1976" i="9"/>
  <c r="T1976" i="9"/>
  <c r="S1976" i="9"/>
  <c r="R1976" i="9"/>
  <c r="Q1976" i="9"/>
  <c r="P1976" i="9"/>
  <c r="O1976" i="9"/>
  <c r="N1976" i="9"/>
  <c r="M1976" i="9"/>
  <c r="L1976" i="9"/>
  <c r="K1976" i="9"/>
  <c r="G1976" i="9"/>
  <c r="F1976" i="9"/>
  <c r="E1976" i="9"/>
  <c r="U1975" i="9"/>
  <c r="T1975" i="9"/>
  <c r="S1975" i="9"/>
  <c r="R1975" i="9"/>
  <c r="Q1975" i="9"/>
  <c r="P1975" i="9"/>
  <c r="O1975" i="9"/>
  <c r="N1975" i="9"/>
  <c r="M1975" i="9"/>
  <c r="L1975" i="9"/>
  <c r="K1975" i="9"/>
  <c r="G1975" i="9"/>
  <c r="F1975" i="9"/>
  <c r="E1975" i="9"/>
  <c r="U1974" i="9"/>
  <c r="T1974" i="9"/>
  <c r="S1974" i="9"/>
  <c r="R1974" i="9"/>
  <c r="Q1974" i="9"/>
  <c r="P1974" i="9"/>
  <c r="O1974" i="9"/>
  <c r="N1974" i="9"/>
  <c r="M1974" i="9"/>
  <c r="L1974" i="9"/>
  <c r="K1974" i="9"/>
  <c r="G1974" i="9"/>
  <c r="F1974" i="9"/>
  <c r="E1974" i="9"/>
  <c r="U1973" i="9"/>
  <c r="T1973" i="9"/>
  <c r="S1973" i="9"/>
  <c r="R1973" i="9"/>
  <c r="Q1973" i="9"/>
  <c r="P1973" i="9"/>
  <c r="O1973" i="9"/>
  <c r="N1973" i="9"/>
  <c r="M1973" i="9"/>
  <c r="L1973" i="9"/>
  <c r="K1973" i="9"/>
  <c r="G1973" i="9"/>
  <c r="F1973" i="9"/>
  <c r="E1973" i="9"/>
  <c r="U1972" i="9"/>
  <c r="T1972" i="9"/>
  <c r="S1972" i="9"/>
  <c r="R1972" i="9"/>
  <c r="Q1972" i="9"/>
  <c r="P1972" i="9"/>
  <c r="O1972" i="9"/>
  <c r="N1972" i="9"/>
  <c r="M1972" i="9"/>
  <c r="L1972" i="9"/>
  <c r="K1972" i="9"/>
  <c r="G1972" i="9"/>
  <c r="F1972" i="9"/>
  <c r="E1972" i="9"/>
  <c r="U1971" i="9"/>
  <c r="T1971" i="9"/>
  <c r="S1971" i="9"/>
  <c r="R1971" i="9"/>
  <c r="Q1971" i="9"/>
  <c r="P1971" i="9"/>
  <c r="O1971" i="9"/>
  <c r="N1971" i="9"/>
  <c r="M1971" i="9"/>
  <c r="L1971" i="9"/>
  <c r="K1971" i="9"/>
  <c r="G1971" i="9"/>
  <c r="F1971" i="9"/>
  <c r="E1971" i="9"/>
  <c r="U1970" i="9"/>
  <c r="T1970" i="9"/>
  <c r="S1970" i="9"/>
  <c r="R1970" i="9"/>
  <c r="Q1970" i="9"/>
  <c r="P1970" i="9"/>
  <c r="O1970" i="9"/>
  <c r="N1970" i="9"/>
  <c r="M1970" i="9"/>
  <c r="L1970" i="9"/>
  <c r="K1970" i="9"/>
  <c r="G1970" i="9"/>
  <c r="F1970" i="9"/>
  <c r="E1970" i="9"/>
  <c r="U1969" i="9"/>
  <c r="T1969" i="9"/>
  <c r="S1969" i="9"/>
  <c r="R1969" i="9"/>
  <c r="Q1969" i="9"/>
  <c r="P1969" i="9"/>
  <c r="O1969" i="9"/>
  <c r="N1969" i="9"/>
  <c r="M1969" i="9"/>
  <c r="L1969" i="9"/>
  <c r="K1969" i="9"/>
  <c r="G1969" i="9"/>
  <c r="F1969" i="9"/>
  <c r="E1969" i="9"/>
  <c r="U1968" i="9"/>
  <c r="T1968" i="9"/>
  <c r="S1968" i="9"/>
  <c r="R1968" i="9"/>
  <c r="Q1968" i="9"/>
  <c r="P1968" i="9"/>
  <c r="O1968" i="9"/>
  <c r="N1968" i="9"/>
  <c r="M1968" i="9"/>
  <c r="L1968" i="9"/>
  <c r="K1968" i="9"/>
  <c r="G1968" i="9"/>
  <c r="F1968" i="9"/>
  <c r="E1968" i="9"/>
  <c r="U1967" i="9"/>
  <c r="T1967" i="9"/>
  <c r="S1967" i="9"/>
  <c r="R1967" i="9"/>
  <c r="Q1967" i="9"/>
  <c r="P1967" i="9"/>
  <c r="O1967" i="9"/>
  <c r="N1967" i="9"/>
  <c r="M1967" i="9"/>
  <c r="L1967" i="9"/>
  <c r="K1967" i="9"/>
  <c r="G1967" i="9"/>
  <c r="F1967" i="9"/>
  <c r="E1967" i="9"/>
  <c r="U1966" i="9"/>
  <c r="T1966" i="9"/>
  <c r="S1966" i="9"/>
  <c r="R1966" i="9"/>
  <c r="Q1966" i="9"/>
  <c r="P1966" i="9"/>
  <c r="O1966" i="9"/>
  <c r="N1966" i="9"/>
  <c r="M1966" i="9"/>
  <c r="L1966" i="9"/>
  <c r="K1966" i="9"/>
  <c r="G1966" i="9"/>
  <c r="F1966" i="9"/>
  <c r="E1966" i="9"/>
  <c r="U1965" i="9"/>
  <c r="T1965" i="9"/>
  <c r="S1965" i="9"/>
  <c r="R1965" i="9"/>
  <c r="Q1965" i="9"/>
  <c r="P1965" i="9"/>
  <c r="O1965" i="9"/>
  <c r="N1965" i="9"/>
  <c r="M1965" i="9"/>
  <c r="L1965" i="9"/>
  <c r="K1965" i="9"/>
  <c r="G1965" i="9"/>
  <c r="F1965" i="9"/>
  <c r="E1965" i="9"/>
  <c r="U1964" i="9"/>
  <c r="T1964" i="9"/>
  <c r="S1964" i="9"/>
  <c r="R1964" i="9"/>
  <c r="Q1964" i="9"/>
  <c r="P1964" i="9"/>
  <c r="O1964" i="9"/>
  <c r="N1964" i="9"/>
  <c r="M1964" i="9"/>
  <c r="L1964" i="9"/>
  <c r="K1964" i="9"/>
  <c r="G1964" i="9"/>
  <c r="F1964" i="9"/>
  <c r="E1964" i="9"/>
  <c r="U1963" i="9"/>
  <c r="T1963" i="9"/>
  <c r="S1963" i="9"/>
  <c r="R1963" i="9"/>
  <c r="Q1963" i="9"/>
  <c r="P1963" i="9"/>
  <c r="O1963" i="9"/>
  <c r="N1963" i="9"/>
  <c r="M1963" i="9"/>
  <c r="L1963" i="9"/>
  <c r="K1963" i="9"/>
  <c r="G1963" i="9"/>
  <c r="F1963" i="9"/>
  <c r="E1963" i="9"/>
  <c r="U1962" i="9"/>
  <c r="T1962" i="9"/>
  <c r="S1962" i="9"/>
  <c r="R1962" i="9"/>
  <c r="Q1962" i="9"/>
  <c r="P1962" i="9"/>
  <c r="O1962" i="9"/>
  <c r="N1962" i="9"/>
  <c r="M1962" i="9"/>
  <c r="L1962" i="9"/>
  <c r="K1962" i="9"/>
  <c r="G1962" i="9"/>
  <c r="F1962" i="9"/>
  <c r="E1962" i="9"/>
  <c r="U1961" i="9"/>
  <c r="T1961" i="9"/>
  <c r="S1961" i="9"/>
  <c r="R1961" i="9"/>
  <c r="Q1961" i="9"/>
  <c r="P1961" i="9"/>
  <c r="O1961" i="9"/>
  <c r="N1961" i="9"/>
  <c r="M1961" i="9"/>
  <c r="L1961" i="9"/>
  <c r="K1961" i="9"/>
  <c r="G1961" i="9"/>
  <c r="F1961" i="9"/>
  <c r="E1961" i="9"/>
  <c r="U1960" i="9"/>
  <c r="T1960" i="9"/>
  <c r="S1960" i="9"/>
  <c r="R1960" i="9"/>
  <c r="Q1960" i="9"/>
  <c r="P1960" i="9"/>
  <c r="O1960" i="9"/>
  <c r="N1960" i="9"/>
  <c r="M1960" i="9"/>
  <c r="L1960" i="9"/>
  <c r="K1960" i="9"/>
  <c r="G1960" i="9"/>
  <c r="F1960" i="9"/>
  <c r="E1960" i="9"/>
  <c r="U1959" i="9"/>
  <c r="T1959" i="9"/>
  <c r="S1959" i="9"/>
  <c r="R1959" i="9"/>
  <c r="Q1959" i="9"/>
  <c r="P1959" i="9"/>
  <c r="O1959" i="9"/>
  <c r="N1959" i="9"/>
  <c r="M1959" i="9"/>
  <c r="L1959" i="9"/>
  <c r="K1959" i="9"/>
  <c r="G1959" i="9"/>
  <c r="F1959" i="9"/>
  <c r="E1959" i="9"/>
  <c r="U1958" i="9"/>
  <c r="T1958" i="9"/>
  <c r="S1958" i="9"/>
  <c r="R1958" i="9"/>
  <c r="Q1958" i="9"/>
  <c r="P1958" i="9"/>
  <c r="O1958" i="9"/>
  <c r="N1958" i="9"/>
  <c r="M1958" i="9"/>
  <c r="L1958" i="9"/>
  <c r="K1958" i="9"/>
  <c r="G1958" i="9"/>
  <c r="F1958" i="9"/>
  <c r="E1958" i="9"/>
  <c r="U1957" i="9"/>
  <c r="T1957" i="9"/>
  <c r="S1957" i="9"/>
  <c r="R1957" i="9"/>
  <c r="Q1957" i="9"/>
  <c r="P1957" i="9"/>
  <c r="O1957" i="9"/>
  <c r="N1957" i="9"/>
  <c r="M1957" i="9"/>
  <c r="L1957" i="9"/>
  <c r="K1957" i="9"/>
  <c r="G1957" i="9"/>
  <c r="F1957" i="9"/>
  <c r="E1957" i="9"/>
  <c r="U1956" i="9"/>
  <c r="T1956" i="9"/>
  <c r="S1956" i="9"/>
  <c r="R1956" i="9"/>
  <c r="Q1956" i="9"/>
  <c r="P1956" i="9"/>
  <c r="O1956" i="9"/>
  <c r="N1956" i="9"/>
  <c r="M1956" i="9"/>
  <c r="L1956" i="9"/>
  <c r="K1956" i="9"/>
  <c r="G1956" i="9"/>
  <c r="F1956" i="9"/>
  <c r="E1956" i="9"/>
  <c r="U1955" i="9"/>
  <c r="T1955" i="9"/>
  <c r="S1955" i="9"/>
  <c r="R1955" i="9"/>
  <c r="Q1955" i="9"/>
  <c r="P1955" i="9"/>
  <c r="O1955" i="9"/>
  <c r="N1955" i="9"/>
  <c r="M1955" i="9"/>
  <c r="L1955" i="9"/>
  <c r="K1955" i="9"/>
  <c r="G1955" i="9"/>
  <c r="F1955" i="9"/>
  <c r="E1955" i="9"/>
  <c r="U1954" i="9"/>
  <c r="T1954" i="9"/>
  <c r="S1954" i="9"/>
  <c r="R1954" i="9"/>
  <c r="Q1954" i="9"/>
  <c r="P1954" i="9"/>
  <c r="O1954" i="9"/>
  <c r="N1954" i="9"/>
  <c r="M1954" i="9"/>
  <c r="L1954" i="9"/>
  <c r="K1954" i="9"/>
  <c r="G1954" i="9"/>
  <c r="F1954" i="9"/>
  <c r="E1954" i="9"/>
  <c r="U1953" i="9"/>
  <c r="T1953" i="9"/>
  <c r="S1953" i="9"/>
  <c r="R1953" i="9"/>
  <c r="Q1953" i="9"/>
  <c r="P1953" i="9"/>
  <c r="O1953" i="9"/>
  <c r="N1953" i="9"/>
  <c r="M1953" i="9"/>
  <c r="L1953" i="9"/>
  <c r="K1953" i="9"/>
  <c r="G1953" i="9"/>
  <c r="F1953" i="9"/>
  <c r="E1953" i="9"/>
  <c r="U1952" i="9"/>
  <c r="T1952" i="9"/>
  <c r="S1952" i="9"/>
  <c r="R1952" i="9"/>
  <c r="Q1952" i="9"/>
  <c r="P1952" i="9"/>
  <c r="O1952" i="9"/>
  <c r="N1952" i="9"/>
  <c r="M1952" i="9"/>
  <c r="L1952" i="9"/>
  <c r="K1952" i="9"/>
  <c r="G1952" i="9"/>
  <c r="F1952" i="9"/>
  <c r="E1952" i="9"/>
  <c r="U1951" i="9"/>
  <c r="T1951" i="9"/>
  <c r="S1951" i="9"/>
  <c r="R1951" i="9"/>
  <c r="Q1951" i="9"/>
  <c r="P1951" i="9"/>
  <c r="O1951" i="9"/>
  <c r="N1951" i="9"/>
  <c r="M1951" i="9"/>
  <c r="L1951" i="9"/>
  <c r="K1951" i="9"/>
  <c r="G1951" i="9"/>
  <c r="F1951" i="9"/>
  <c r="E1951" i="9"/>
  <c r="U1950" i="9"/>
  <c r="T1950" i="9"/>
  <c r="S1950" i="9"/>
  <c r="R1950" i="9"/>
  <c r="Q1950" i="9"/>
  <c r="P1950" i="9"/>
  <c r="O1950" i="9"/>
  <c r="N1950" i="9"/>
  <c r="M1950" i="9"/>
  <c r="L1950" i="9"/>
  <c r="K1950" i="9"/>
  <c r="G1950" i="9"/>
  <c r="F1950" i="9"/>
  <c r="E1950" i="9"/>
  <c r="U1949" i="9"/>
  <c r="T1949" i="9"/>
  <c r="S1949" i="9"/>
  <c r="R1949" i="9"/>
  <c r="Q1949" i="9"/>
  <c r="P1949" i="9"/>
  <c r="O1949" i="9"/>
  <c r="N1949" i="9"/>
  <c r="M1949" i="9"/>
  <c r="L1949" i="9"/>
  <c r="K1949" i="9"/>
  <c r="G1949" i="9"/>
  <c r="F1949" i="9"/>
  <c r="E1949" i="9"/>
  <c r="U1948" i="9"/>
  <c r="T1948" i="9"/>
  <c r="S1948" i="9"/>
  <c r="R1948" i="9"/>
  <c r="Q1948" i="9"/>
  <c r="P1948" i="9"/>
  <c r="O1948" i="9"/>
  <c r="N1948" i="9"/>
  <c r="M1948" i="9"/>
  <c r="L1948" i="9"/>
  <c r="K1948" i="9"/>
  <c r="G1948" i="9"/>
  <c r="F1948" i="9"/>
  <c r="E1948" i="9"/>
  <c r="U1947" i="9"/>
  <c r="T1947" i="9"/>
  <c r="S1947" i="9"/>
  <c r="R1947" i="9"/>
  <c r="Q1947" i="9"/>
  <c r="P1947" i="9"/>
  <c r="O1947" i="9"/>
  <c r="N1947" i="9"/>
  <c r="M1947" i="9"/>
  <c r="L1947" i="9"/>
  <c r="K1947" i="9"/>
  <c r="G1947" i="9"/>
  <c r="F1947" i="9"/>
  <c r="E1947" i="9"/>
  <c r="U1946" i="9"/>
  <c r="T1946" i="9"/>
  <c r="S1946" i="9"/>
  <c r="R1946" i="9"/>
  <c r="Q1946" i="9"/>
  <c r="P1946" i="9"/>
  <c r="O1946" i="9"/>
  <c r="N1946" i="9"/>
  <c r="M1946" i="9"/>
  <c r="L1946" i="9"/>
  <c r="K1946" i="9"/>
  <c r="G1946" i="9"/>
  <c r="F1946" i="9"/>
  <c r="E1946" i="9"/>
  <c r="U1945" i="9"/>
  <c r="T1945" i="9"/>
  <c r="S1945" i="9"/>
  <c r="R1945" i="9"/>
  <c r="Q1945" i="9"/>
  <c r="P1945" i="9"/>
  <c r="O1945" i="9"/>
  <c r="N1945" i="9"/>
  <c r="M1945" i="9"/>
  <c r="L1945" i="9"/>
  <c r="K1945" i="9"/>
  <c r="G1945" i="9"/>
  <c r="F1945" i="9"/>
  <c r="E1945" i="9"/>
  <c r="U1944" i="9"/>
  <c r="T1944" i="9"/>
  <c r="S1944" i="9"/>
  <c r="R1944" i="9"/>
  <c r="Q1944" i="9"/>
  <c r="P1944" i="9"/>
  <c r="O1944" i="9"/>
  <c r="N1944" i="9"/>
  <c r="M1944" i="9"/>
  <c r="L1944" i="9"/>
  <c r="K1944" i="9"/>
  <c r="G1944" i="9"/>
  <c r="F1944" i="9"/>
  <c r="E1944" i="9"/>
  <c r="U1943" i="9"/>
  <c r="T1943" i="9"/>
  <c r="S1943" i="9"/>
  <c r="R1943" i="9"/>
  <c r="Q1943" i="9"/>
  <c r="P1943" i="9"/>
  <c r="O1943" i="9"/>
  <c r="N1943" i="9"/>
  <c r="M1943" i="9"/>
  <c r="L1943" i="9"/>
  <c r="K1943" i="9"/>
  <c r="G1943" i="9"/>
  <c r="F1943" i="9"/>
  <c r="E1943" i="9"/>
  <c r="U1942" i="9"/>
  <c r="T1942" i="9"/>
  <c r="S1942" i="9"/>
  <c r="R1942" i="9"/>
  <c r="Q1942" i="9"/>
  <c r="P1942" i="9"/>
  <c r="O1942" i="9"/>
  <c r="N1942" i="9"/>
  <c r="M1942" i="9"/>
  <c r="L1942" i="9"/>
  <c r="K1942" i="9"/>
  <c r="G1942" i="9"/>
  <c r="F1942" i="9"/>
  <c r="E1942" i="9"/>
  <c r="U1941" i="9"/>
  <c r="T1941" i="9"/>
  <c r="S1941" i="9"/>
  <c r="R1941" i="9"/>
  <c r="Q1941" i="9"/>
  <c r="P1941" i="9"/>
  <c r="O1941" i="9"/>
  <c r="N1941" i="9"/>
  <c r="M1941" i="9"/>
  <c r="L1941" i="9"/>
  <c r="K1941" i="9"/>
  <c r="G1941" i="9"/>
  <c r="F1941" i="9"/>
  <c r="E1941" i="9"/>
  <c r="U1940" i="9"/>
  <c r="T1940" i="9"/>
  <c r="S1940" i="9"/>
  <c r="R1940" i="9"/>
  <c r="Q1940" i="9"/>
  <c r="P1940" i="9"/>
  <c r="O1940" i="9"/>
  <c r="N1940" i="9"/>
  <c r="M1940" i="9"/>
  <c r="L1940" i="9"/>
  <c r="K1940" i="9"/>
  <c r="G1940" i="9"/>
  <c r="F1940" i="9"/>
  <c r="E1940" i="9"/>
  <c r="U1939" i="9"/>
  <c r="T1939" i="9"/>
  <c r="S1939" i="9"/>
  <c r="R1939" i="9"/>
  <c r="Q1939" i="9"/>
  <c r="P1939" i="9"/>
  <c r="O1939" i="9"/>
  <c r="N1939" i="9"/>
  <c r="M1939" i="9"/>
  <c r="L1939" i="9"/>
  <c r="K1939" i="9"/>
  <c r="G1939" i="9"/>
  <c r="F1939" i="9"/>
  <c r="E1939" i="9"/>
  <c r="U1938" i="9"/>
  <c r="T1938" i="9"/>
  <c r="S1938" i="9"/>
  <c r="R1938" i="9"/>
  <c r="Q1938" i="9"/>
  <c r="P1938" i="9"/>
  <c r="O1938" i="9"/>
  <c r="N1938" i="9"/>
  <c r="M1938" i="9"/>
  <c r="L1938" i="9"/>
  <c r="K1938" i="9"/>
  <c r="G1938" i="9"/>
  <c r="F1938" i="9"/>
  <c r="E1938" i="9"/>
  <c r="U1937" i="9"/>
  <c r="T1937" i="9"/>
  <c r="S1937" i="9"/>
  <c r="R1937" i="9"/>
  <c r="Q1937" i="9"/>
  <c r="P1937" i="9"/>
  <c r="O1937" i="9"/>
  <c r="N1937" i="9"/>
  <c r="M1937" i="9"/>
  <c r="L1937" i="9"/>
  <c r="K1937" i="9"/>
  <c r="G1937" i="9"/>
  <c r="F1937" i="9"/>
  <c r="E1937" i="9"/>
  <c r="U1936" i="9"/>
  <c r="T1936" i="9"/>
  <c r="S1936" i="9"/>
  <c r="R1936" i="9"/>
  <c r="Q1936" i="9"/>
  <c r="P1936" i="9"/>
  <c r="O1936" i="9"/>
  <c r="N1936" i="9"/>
  <c r="M1936" i="9"/>
  <c r="L1936" i="9"/>
  <c r="K1936" i="9"/>
  <c r="G1936" i="9"/>
  <c r="F1936" i="9"/>
  <c r="E1936" i="9"/>
  <c r="U1935" i="9"/>
  <c r="T1935" i="9"/>
  <c r="S1935" i="9"/>
  <c r="R1935" i="9"/>
  <c r="Q1935" i="9"/>
  <c r="P1935" i="9"/>
  <c r="O1935" i="9"/>
  <c r="N1935" i="9"/>
  <c r="M1935" i="9"/>
  <c r="L1935" i="9"/>
  <c r="K1935" i="9"/>
  <c r="G1935" i="9"/>
  <c r="F1935" i="9"/>
  <c r="E1935" i="9"/>
  <c r="U1934" i="9"/>
  <c r="T1934" i="9"/>
  <c r="S1934" i="9"/>
  <c r="R1934" i="9"/>
  <c r="Q1934" i="9"/>
  <c r="P1934" i="9"/>
  <c r="O1934" i="9"/>
  <c r="N1934" i="9"/>
  <c r="M1934" i="9"/>
  <c r="L1934" i="9"/>
  <c r="K1934" i="9"/>
  <c r="G1934" i="9"/>
  <c r="F1934" i="9"/>
  <c r="E1934" i="9"/>
  <c r="U1933" i="9"/>
  <c r="T1933" i="9"/>
  <c r="S1933" i="9"/>
  <c r="R1933" i="9"/>
  <c r="Q1933" i="9"/>
  <c r="P1933" i="9"/>
  <c r="O1933" i="9"/>
  <c r="N1933" i="9"/>
  <c r="M1933" i="9"/>
  <c r="L1933" i="9"/>
  <c r="K1933" i="9"/>
  <c r="G1933" i="9"/>
  <c r="F1933" i="9"/>
  <c r="E1933" i="9"/>
  <c r="U1932" i="9"/>
  <c r="T1932" i="9"/>
  <c r="S1932" i="9"/>
  <c r="R1932" i="9"/>
  <c r="Q1932" i="9"/>
  <c r="P1932" i="9"/>
  <c r="O1932" i="9"/>
  <c r="N1932" i="9"/>
  <c r="M1932" i="9"/>
  <c r="L1932" i="9"/>
  <c r="K1932" i="9"/>
  <c r="G1932" i="9"/>
  <c r="F1932" i="9"/>
  <c r="E1932" i="9"/>
  <c r="U1931" i="9"/>
  <c r="T1931" i="9"/>
  <c r="S1931" i="9"/>
  <c r="R1931" i="9"/>
  <c r="Q1931" i="9"/>
  <c r="P1931" i="9"/>
  <c r="O1931" i="9"/>
  <c r="N1931" i="9"/>
  <c r="M1931" i="9"/>
  <c r="L1931" i="9"/>
  <c r="K1931" i="9"/>
  <c r="G1931" i="9"/>
  <c r="F1931" i="9"/>
  <c r="E1931" i="9"/>
  <c r="U1930" i="9"/>
  <c r="T1930" i="9"/>
  <c r="S1930" i="9"/>
  <c r="R1930" i="9"/>
  <c r="Q1930" i="9"/>
  <c r="P1930" i="9"/>
  <c r="O1930" i="9"/>
  <c r="N1930" i="9"/>
  <c r="M1930" i="9"/>
  <c r="L1930" i="9"/>
  <c r="K1930" i="9"/>
  <c r="G1930" i="9"/>
  <c r="F1930" i="9"/>
  <c r="E1930" i="9"/>
  <c r="U1929" i="9"/>
  <c r="T1929" i="9"/>
  <c r="S1929" i="9"/>
  <c r="R1929" i="9"/>
  <c r="Q1929" i="9"/>
  <c r="P1929" i="9"/>
  <c r="O1929" i="9"/>
  <c r="N1929" i="9"/>
  <c r="M1929" i="9"/>
  <c r="L1929" i="9"/>
  <c r="K1929" i="9"/>
  <c r="G1929" i="9"/>
  <c r="F1929" i="9"/>
  <c r="E1929" i="9"/>
  <c r="U1928" i="9"/>
  <c r="T1928" i="9"/>
  <c r="S1928" i="9"/>
  <c r="R1928" i="9"/>
  <c r="Q1928" i="9"/>
  <c r="P1928" i="9"/>
  <c r="O1928" i="9"/>
  <c r="N1928" i="9"/>
  <c r="M1928" i="9"/>
  <c r="L1928" i="9"/>
  <c r="K1928" i="9"/>
  <c r="G1928" i="9"/>
  <c r="F1928" i="9"/>
  <c r="E1928" i="9"/>
  <c r="U1927" i="9"/>
  <c r="T1927" i="9"/>
  <c r="S1927" i="9"/>
  <c r="R1927" i="9"/>
  <c r="Q1927" i="9"/>
  <c r="P1927" i="9"/>
  <c r="O1927" i="9"/>
  <c r="N1927" i="9"/>
  <c r="M1927" i="9"/>
  <c r="L1927" i="9"/>
  <c r="K1927" i="9"/>
  <c r="G1927" i="9"/>
  <c r="F1927" i="9"/>
  <c r="E1927" i="9"/>
  <c r="U1926" i="9"/>
  <c r="T1926" i="9"/>
  <c r="S1926" i="9"/>
  <c r="R1926" i="9"/>
  <c r="Q1926" i="9"/>
  <c r="P1926" i="9"/>
  <c r="O1926" i="9"/>
  <c r="N1926" i="9"/>
  <c r="M1926" i="9"/>
  <c r="L1926" i="9"/>
  <c r="K1926" i="9"/>
  <c r="G1926" i="9"/>
  <c r="F1926" i="9"/>
  <c r="E1926" i="9"/>
  <c r="U1925" i="9"/>
  <c r="T1925" i="9"/>
  <c r="S1925" i="9"/>
  <c r="R1925" i="9"/>
  <c r="Q1925" i="9"/>
  <c r="P1925" i="9"/>
  <c r="O1925" i="9"/>
  <c r="N1925" i="9"/>
  <c r="M1925" i="9"/>
  <c r="L1925" i="9"/>
  <c r="K1925" i="9"/>
  <c r="G1925" i="9"/>
  <c r="F1925" i="9"/>
  <c r="E1925" i="9"/>
  <c r="U1924" i="9"/>
  <c r="T1924" i="9"/>
  <c r="S1924" i="9"/>
  <c r="R1924" i="9"/>
  <c r="Q1924" i="9"/>
  <c r="P1924" i="9"/>
  <c r="O1924" i="9"/>
  <c r="N1924" i="9"/>
  <c r="M1924" i="9"/>
  <c r="L1924" i="9"/>
  <c r="K1924" i="9"/>
  <c r="G1924" i="9"/>
  <c r="F1924" i="9"/>
  <c r="E1924" i="9"/>
  <c r="U1923" i="9"/>
  <c r="T1923" i="9"/>
  <c r="S1923" i="9"/>
  <c r="R1923" i="9"/>
  <c r="Q1923" i="9"/>
  <c r="P1923" i="9"/>
  <c r="O1923" i="9"/>
  <c r="N1923" i="9"/>
  <c r="M1923" i="9"/>
  <c r="L1923" i="9"/>
  <c r="K1923" i="9"/>
  <c r="G1923" i="9"/>
  <c r="F1923" i="9"/>
  <c r="E1923" i="9"/>
  <c r="U1922" i="9"/>
  <c r="T1922" i="9"/>
  <c r="S1922" i="9"/>
  <c r="R1922" i="9"/>
  <c r="Q1922" i="9"/>
  <c r="P1922" i="9"/>
  <c r="O1922" i="9"/>
  <c r="N1922" i="9"/>
  <c r="M1922" i="9"/>
  <c r="L1922" i="9"/>
  <c r="K1922" i="9"/>
  <c r="G1922" i="9"/>
  <c r="F1922" i="9"/>
  <c r="E1922" i="9"/>
  <c r="U1921" i="9"/>
  <c r="T1921" i="9"/>
  <c r="S1921" i="9"/>
  <c r="R1921" i="9"/>
  <c r="Q1921" i="9"/>
  <c r="P1921" i="9"/>
  <c r="O1921" i="9"/>
  <c r="N1921" i="9"/>
  <c r="M1921" i="9"/>
  <c r="L1921" i="9"/>
  <c r="K1921" i="9"/>
  <c r="G1921" i="9"/>
  <c r="F1921" i="9"/>
  <c r="E1921" i="9"/>
  <c r="U1920" i="9"/>
  <c r="T1920" i="9"/>
  <c r="S1920" i="9"/>
  <c r="R1920" i="9"/>
  <c r="Q1920" i="9"/>
  <c r="P1920" i="9"/>
  <c r="O1920" i="9"/>
  <c r="N1920" i="9"/>
  <c r="M1920" i="9"/>
  <c r="L1920" i="9"/>
  <c r="K1920" i="9"/>
  <c r="G1920" i="9"/>
  <c r="F1920" i="9"/>
  <c r="E1920" i="9"/>
  <c r="U1919" i="9"/>
  <c r="T1919" i="9"/>
  <c r="S1919" i="9"/>
  <c r="R1919" i="9"/>
  <c r="Q1919" i="9"/>
  <c r="P1919" i="9"/>
  <c r="O1919" i="9"/>
  <c r="N1919" i="9"/>
  <c r="M1919" i="9"/>
  <c r="L1919" i="9"/>
  <c r="K1919" i="9"/>
  <c r="G1919" i="9"/>
  <c r="F1919" i="9"/>
  <c r="E1919" i="9"/>
  <c r="U1918" i="9"/>
  <c r="T1918" i="9"/>
  <c r="S1918" i="9"/>
  <c r="R1918" i="9"/>
  <c r="Q1918" i="9"/>
  <c r="P1918" i="9"/>
  <c r="O1918" i="9"/>
  <c r="N1918" i="9"/>
  <c r="M1918" i="9"/>
  <c r="L1918" i="9"/>
  <c r="K1918" i="9"/>
  <c r="G1918" i="9"/>
  <c r="F1918" i="9"/>
  <c r="E1918" i="9"/>
  <c r="U1917" i="9"/>
  <c r="T1917" i="9"/>
  <c r="S1917" i="9"/>
  <c r="R1917" i="9"/>
  <c r="Q1917" i="9"/>
  <c r="P1917" i="9"/>
  <c r="O1917" i="9"/>
  <c r="N1917" i="9"/>
  <c r="M1917" i="9"/>
  <c r="L1917" i="9"/>
  <c r="K1917" i="9"/>
  <c r="G1917" i="9"/>
  <c r="F1917" i="9"/>
  <c r="E1917" i="9"/>
  <c r="U1916" i="9"/>
  <c r="T1916" i="9"/>
  <c r="S1916" i="9"/>
  <c r="R1916" i="9"/>
  <c r="Q1916" i="9"/>
  <c r="P1916" i="9"/>
  <c r="O1916" i="9"/>
  <c r="N1916" i="9"/>
  <c r="M1916" i="9"/>
  <c r="L1916" i="9"/>
  <c r="K1916" i="9"/>
  <c r="G1916" i="9"/>
  <c r="F1916" i="9"/>
  <c r="E1916" i="9"/>
  <c r="U1915" i="9"/>
  <c r="T1915" i="9"/>
  <c r="S1915" i="9"/>
  <c r="R1915" i="9"/>
  <c r="Q1915" i="9"/>
  <c r="P1915" i="9"/>
  <c r="O1915" i="9"/>
  <c r="N1915" i="9"/>
  <c r="M1915" i="9"/>
  <c r="L1915" i="9"/>
  <c r="K1915" i="9"/>
  <c r="G1915" i="9"/>
  <c r="F1915" i="9"/>
  <c r="E1915" i="9"/>
  <c r="U1914" i="9"/>
  <c r="T1914" i="9"/>
  <c r="S1914" i="9"/>
  <c r="R1914" i="9"/>
  <c r="Q1914" i="9"/>
  <c r="P1914" i="9"/>
  <c r="O1914" i="9"/>
  <c r="N1914" i="9"/>
  <c r="M1914" i="9"/>
  <c r="L1914" i="9"/>
  <c r="K1914" i="9"/>
  <c r="G1914" i="9"/>
  <c r="F1914" i="9"/>
  <c r="E1914" i="9"/>
  <c r="U1913" i="9"/>
  <c r="T1913" i="9"/>
  <c r="S1913" i="9"/>
  <c r="R1913" i="9"/>
  <c r="Q1913" i="9"/>
  <c r="P1913" i="9"/>
  <c r="O1913" i="9"/>
  <c r="N1913" i="9"/>
  <c r="M1913" i="9"/>
  <c r="L1913" i="9"/>
  <c r="K1913" i="9"/>
  <c r="G1913" i="9"/>
  <c r="F1913" i="9"/>
  <c r="E1913" i="9"/>
  <c r="U1912" i="9"/>
  <c r="T1912" i="9"/>
  <c r="S1912" i="9"/>
  <c r="R1912" i="9"/>
  <c r="Q1912" i="9"/>
  <c r="P1912" i="9"/>
  <c r="O1912" i="9"/>
  <c r="N1912" i="9"/>
  <c r="M1912" i="9"/>
  <c r="L1912" i="9"/>
  <c r="K1912" i="9"/>
  <c r="G1912" i="9"/>
  <c r="F1912" i="9"/>
  <c r="E1912" i="9"/>
  <c r="U1911" i="9"/>
  <c r="T1911" i="9"/>
  <c r="S1911" i="9"/>
  <c r="R1911" i="9"/>
  <c r="Q1911" i="9"/>
  <c r="P1911" i="9"/>
  <c r="O1911" i="9"/>
  <c r="N1911" i="9"/>
  <c r="M1911" i="9"/>
  <c r="L1911" i="9"/>
  <c r="K1911" i="9"/>
  <c r="G1911" i="9"/>
  <c r="F1911" i="9"/>
  <c r="E1911" i="9"/>
  <c r="U1910" i="9"/>
  <c r="T1910" i="9"/>
  <c r="S1910" i="9"/>
  <c r="R1910" i="9"/>
  <c r="Q1910" i="9"/>
  <c r="P1910" i="9"/>
  <c r="O1910" i="9"/>
  <c r="N1910" i="9"/>
  <c r="M1910" i="9"/>
  <c r="L1910" i="9"/>
  <c r="K1910" i="9"/>
  <c r="G1910" i="9"/>
  <c r="F1910" i="9"/>
  <c r="E1910" i="9"/>
  <c r="U1909" i="9"/>
  <c r="T1909" i="9"/>
  <c r="S1909" i="9"/>
  <c r="R1909" i="9"/>
  <c r="Q1909" i="9"/>
  <c r="P1909" i="9"/>
  <c r="O1909" i="9"/>
  <c r="N1909" i="9"/>
  <c r="M1909" i="9"/>
  <c r="L1909" i="9"/>
  <c r="K1909" i="9"/>
  <c r="G1909" i="9"/>
  <c r="F1909" i="9"/>
  <c r="E1909" i="9"/>
  <c r="U1908" i="9"/>
  <c r="T1908" i="9"/>
  <c r="S1908" i="9"/>
  <c r="R1908" i="9"/>
  <c r="Q1908" i="9"/>
  <c r="P1908" i="9"/>
  <c r="O1908" i="9"/>
  <c r="N1908" i="9"/>
  <c r="M1908" i="9"/>
  <c r="L1908" i="9"/>
  <c r="K1908" i="9"/>
  <c r="G1908" i="9"/>
  <c r="F1908" i="9"/>
  <c r="E1908" i="9"/>
  <c r="U1907" i="9"/>
  <c r="T1907" i="9"/>
  <c r="S1907" i="9"/>
  <c r="R1907" i="9"/>
  <c r="Q1907" i="9"/>
  <c r="P1907" i="9"/>
  <c r="O1907" i="9"/>
  <c r="N1907" i="9"/>
  <c r="M1907" i="9"/>
  <c r="L1907" i="9"/>
  <c r="K1907" i="9"/>
  <c r="G1907" i="9"/>
  <c r="F1907" i="9"/>
  <c r="E1907" i="9"/>
  <c r="U1906" i="9"/>
  <c r="T1906" i="9"/>
  <c r="S1906" i="9"/>
  <c r="R1906" i="9"/>
  <c r="Q1906" i="9"/>
  <c r="P1906" i="9"/>
  <c r="O1906" i="9"/>
  <c r="N1906" i="9"/>
  <c r="M1906" i="9"/>
  <c r="L1906" i="9"/>
  <c r="K1906" i="9"/>
  <c r="G1906" i="9"/>
  <c r="F1906" i="9"/>
  <c r="E1906" i="9"/>
  <c r="U1905" i="9"/>
  <c r="T1905" i="9"/>
  <c r="S1905" i="9"/>
  <c r="R1905" i="9"/>
  <c r="Q1905" i="9"/>
  <c r="P1905" i="9"/>
  <c r="O1905" i="9"/>
  <c r="N1905" i="9"/>
  <c r="M1905" i="9"/>
  <c r="L1905" i="9"/>
  <c r="K1905" i="9"/>
  <c r="G1905" i="9"/>
  <c r="F1905" i="9"/>
  <c r="E1905" i="9"/>
  <c r="U1904" i="9"/>
  <c r="T1904" i="9"/>
  <c r="S1904" i="9"/>
  <c r="R1904" i="9"/>
  <c r="Q1904" i="9"/>
  <c r="P1904" i="9"/>
  <c r="O1904" i="9"/>
  <c r="N1904" i="9"/>
  <c r="M1904" i="9"/>
  <c r="L1904" i="9"/>
  <c r="K1904" i="9"/>
  <c r="G1904" i="9"/>
  <c r="F1904" i="9"/>
  <c r="E1904" i="9"/>
  <c r="U1903" i="9"/>
  <c r="T1903" i="9"/>
  <c r="S1903" i="9"/>
  <c r="R1903" i="9"/>
  <c r="Q1903" i="9"/>
  <c r="P1903" i="9"/>
  <c r="O1903" i="9"/>
  <c r="N1903" i="9"/>
  <c r="M1903" i="9"/>
  <c r="L1903" i="9"/>
  <c r="K1903" i="9"/>
  <c r="G1903" i="9"/>
  <c r="F1903" i="9"/>
  <c r="E1903" i="9"/>
  <c r="U1902" i="9"/>
  <c r="T1902" i="9"/>
  <c r="S1902" i="9"/>
  <c r="R1902" i="9"/>
  <c r="Q1902" i="9"/>
  <c r="P1902" i="9"/>
  <c r="O1902" i="9"/>
  <c r="N1902" i="9"/>
  <c r="M1902" i="9"/>
  <c r="L1902" i="9"/>
  <c r="K1902" i="9"/>
  <c r="G1902" i="9"/>
  <c r="F1902" i="9"/>
  <c r="E1902" i="9"/>
  <c r="U1901" i="9"/>
  <c r="T1901" i="9"/>
  <c r="S1901" i="9"/>
  <c r="R1901" i="9"/>
  <c r="Q1901" i="9"/>
  <c r="P1901" i="9"/>
  <c r="O1901" i="9"/>
  <c r="N1901" i="9"/>
  <c r="M1901" i="9"/>
  <c r="L1901" i="9"/>
  <c r="K1901" i="9"/>
  <c r="G1901" i="9"/>
  <c r="F1901" i="9"/>
  <c r="E1901" i="9"/>
  <c r="U1900" i="9"/>
  <c r="T1900" i="9"/>
  <c r="S1900" i="9"/>
  <c r="R1900" i="9"/>
  <c r="Q1900" i="9"/>
  <c r="P1900" i="9"/>
  <c r="O1900" i="9"/>
  <c r="N1900" i="9"/>
  <c r="M1900" i="9"/>
  <c r="L1900" i="9"/>
  <c r="K1900" i="9"/>
  <c r="G1900" i="9"/>
  <c r="F1900" i="9"/>
  <c r="E1900" i="9"/>
  <c r="U1899" i="9"/>
  <c r="T1899" i="9"/>
  <c r="S1899" i="9"/>
  <c r="R1899" i="9"/>
  <c r="Q1899" i="9"/>
  <c r="P1899" i="9"/>
  <c r="O1899" i="9"/>
  <c r="N1899" i="9"/>
  <c r="M1899" i="9"/>
  <c r="L1899" i="9"/>
  <c r="K1899" i="9"/>
  <c r="G1899" i="9"/>
  <c r="F1899" i="9"/>
  <c r="E1899" i="9"/>
  <c r="U1898" i="9"/>
  <c r="T1898" i="9"/>
  <c r="S1898" i="9"/>
  <c r="R1898" i="9"/>
  <c r="Q1898" i="9"/>
  <c r="P1898" i="9"/>
  <c r="O1898" i="9"/>
  <c r="N1898" i="9"/>
  <c r="M1898" i="9"/>
  <c r="L1898" i="9"/>
  <c r="K1898" i="9"/>
  <c r="G1898" i="9"/>
  <c r="F1898" i="9"/>
  <c r="E1898" i="9"/>
  <c r="U1897" i="9"/>
  <c r="T1897" i="9"/>
  <c r="S1897" i="9"/>
  <c r="R1897" i="9"/>
  <c r="Q1897" i="9"/>
  <c r="P1897" i="9"/>
  <c r="O1897" i="9"/>
  <c r="N1897" i="9"/>
  <c r="M1897" i="9"/>
  <c r="L1897" i="9"/>
  <c r="K1897" i="9"/>
  <c r="G1897" i="9"/>
  <c r="F1897" i="9"/>
  <c r="E1897" i="9"/>
  <c r="U1896" i="9"/>
  <c r="T1896" i="9"/>
  <c r="S1896" i="9"/>
  <c r="R1896" i="9"/>
  <c r="Q1896" i="9"/>
  <c r="P1896" i="9"/>
  <c r="O1896" i="9"/>
  <c r="N1896" i="9"/>
  <c r="M1896" i="9"/>
  <c r="L1896" i="9"/>
  <c r="K1896" i="9"/>
  <c r="G1896" i="9"/>
  <c r="F1896" i="9"/>
  <c r="E1896" i="9"/>
  <c r="U1895" i="9"/>
  <c r="T1895" i="9"/>
  <c r="S1895" i="9"/>
  <c r="R1895" i="9"/>
  <c r="Q1895" i="9"/>
  <c r="P1895" i="9"/>
  <c r="O1895" i="9"/>
  <c r="N1895" i="9"/>
  <c r="M1895" i="9"/>
  <c r="L1895" i="9"/>
  <c r="K1895" i="9"/>
  <c r="G1895" i="9"/>
  <c r="F1895" i="9"/>
  <c r="E1895" i="9"/>
  <c r="U1894" i="9"/>
  <c r="T1894" i="9"/>
  <c r="S1894" i="9"/>
  <c r="R1894" i="9"/>
  <c r="Q1894" i="9"/>
  <c r="P1894" i="9"/>
  <c r="O1894" i="9"/>
  <c r="N1894" i="9"/>
  <c r="M1894" i="9"/>
  <c r="L1894" i="9"/>
  <c r="K1894" i="9"/>
  <c r="G1894" i="9"/>
  <c r="F1894" i="9"/>
  <c r="E1894" i="9"/>
  <c r="U1893" i="9"/>
  <c r="T1893" i="9"/>
  <c r="S1893" i="9"/>
  <c r="R1893" i="9"/>
  <c r="Q1893" i="9"/>
  <c r="P1893" i="9"/>
  <c r="O1893" i="9"/>
  <c r="N1893" i="9"/>
  <c r="M1893" i="9"/>
  <c r="L1893" i="9"/>
  <c r="K1893" i="9"/>
  <c r="G1893" i="9"/>
  <c r="F1893" i="9"/>
  <c r="E1893" i="9"/>
  <c r="U1892" i="9"/>
  <c r="T1892" i="9"/>
  <c r="S1892" i="9"/>
  <c r="R1892" i="9"/>
  <c r="Q1892" i="9"/>
  <c r="P1892" i="9"/>
  <c r="O1892" i="9"/>
  <c r="N1892" i="9"/>
  <c r="M1892" i="9"/>
  <c r="L1892" i="9"/>
  <c r="K1892" i="9"/>
  <c r="G1892" i="9"/>
  <c r="F1892" i="9"/>
  <c r="E1892" i="9"/>
  <c r="U1891" i="9"/>
  <c r="T1891" i="9"/>
  <c r="S1891" i="9"/>
  <c r="R1891" i="9"/>
  <c r="Q1891" i="9"/>
  <c r="P1891" i="9"/>
  <c r="O1891" i="9"/>
  <c r="N1891" i="9"/>
  <c r="M1891" i="9"/>
  <c r="L1891" i="9"/>
  <c r="K1891" i="9"/>
  <c r="G1891" i="9"/>
  <c r="F1891" i="9"/>
  <c r="E1891" i="9"/>
  <c r="U1890" i="9"/>
  <c r="T1890" i="9"/>
  <c r="S1890" i="9"/>
  <c r="R1890" i="9"/>
  <c r="Q1890" i="9"/>
  <c r="P1890" i="9"/>
  <c r="O1890" i="9"/>
  <c r="N1890" i="9"/>
  <c r="M1890" i="9"/>
  <c r="L1890" i="9"/>
  <c r="K1890" i="9"/>
  <c r="G1890" i="9"/>
  <c r="F1890" i="9"/>
  <c r="E1890" i="9"/>
  <c r="U1889" i="9"/>
  <c r="T1889" i="9"/>
  <c r="S1889" i="9"/>
  <c r="R1889" i="9"/>
  <c r="Q1889" i="9"/>
  <c r="P1889" i="9"/>
  <c r="O1889" i="9"/>
  <c r="N1889" i="9"/>
  <c r="M1889" i="9"/>
  <c r="L1889" i="9"/>
  <c r="K1889" i="9"/>
  <c r="G1889" i="9"/>
  <c r="F1889" i="9"/>
  <c r="E1889" i="9"/>
  <c r="U1888" i="9"/>
  <c r="T1888" i="9"/>
  <c r="S1888" i="9"/>
  <c r="R1888" i="9"/>
  <c r="Q1888" i="9"/>
  <c r="P1888" i="9"/>
  <c r="O1888" i="9"/>
  <c r="N1888" i="9"/>
  <c r="M1888" i="9"/>
  <c r="L1888" i="9"/>
  <c r="K1888" i="9"/>
  <c r="G1888" i="9"/>
  <c r="F1888" i="9"/>
  <c r="E1888" i="9"/>
  <c r="U1887" i="9"/>
  <c r="T1887" i="9"/>
  <c r="S1887" i="9"/>
  <c r="R1887" i="9"/>
  <c r="Q1887" i="9"/>
  <c r="P1887" i="9"/>
  <c r="O1887" i="9"/>
  <c r="N1887" i="9"/>
  <c r="M1887" i="9"/>
  <c r="L1887" i="9"/>
  <c r="K1887" i="9"/>
  <c r="G1887" i="9"/>
  <c r="F1887" i="9"/>
  <c r="E1887" i="9"/>
  <c r="U1886" i="9"/>
  <c r="T1886" i="9"/>
  <c r="S1886" i="9"/>
  <c r="R1886" i="9"/>
  <c r="Q1886" i="9"/>
  <c r="P1886" i="9"/>
  <c r="O1886" i="9"/>
  <c r="N1886" i="9"/>
  <c r="M1886" i="9"/>
  <c r="L1886" i="9"/>
  <c r="K1886" i="9"/>
  <c r="G1886" i="9"/>
  <c r="F1886" i="9"/>
  <c r="E1886" i="9"/>
  <c r="U1885" i="9"/>
  <c r="T1885" i="9"/>
  <c r="S1885" i="9"/>
  <c r="R1885" i="9"/>
  <c r="Q1885" i="9"/>
  <c r="P1885" i="9"/>
  <c r="O1885" i="9"/>
  <c r="N1885" i="9"/>
  <c r="M1885" i="9"/>
  <c r="L1885" i="9"/>
  <c r="K1885" i="9"/>
  <c r="G1885" i="9"/>
  <c r="F1885" i="9"/>
  <c r="E1885" i="9"/>
  <c r="U1884" i="9"/>
  <c r="T1884" i="9"/>
  <c r="S1884" i="9"/>
  <c r="R1884" i="9"/>
  <c r="Q1884" i="9"/>
  <c r="P1884" i="9"/>
  <c r="O1884" i="9"/>
  <c r="N1884" i="9"/>
  <c r="M1884" i="9"/>
  <c r="L1884" i="9"/>
  <c r="K1884" i="9"/>
  <c r="G1884" i="9"/>
  <c r="F1884" i="9"/>
  <c r="E1884" i="9"/>
  <c r="U1883" i="9"/>
  <c r="T1883" i="9"/>
  <c r="S1883" i="9"/>
  <c r="R1883" i="9"/>
  <c r="Q1883" i="9"/>
  <c r="P1883" i="9"/>
  <c r="O1883" i="9"/>
  <c r="N1883" i="9"/>
  <c r="M1883" i="9"/>
  <c r="L1883" i="9"/>
  <c r="K1883" i="9"/>
  <c r="G1883" i="9"/>
  <c r="F1883" i="9"/>
  <c r="E1883" i="9"/>
  <c r="U1882" i="9"/>
  <c r="T1882" i="9"/>
  <c r="S1882" i="9"/>
  <c r="R1882" i="9"/>
  <c r="Q1882" i="9"/>
  <c r="P1882" i="9"/>
  <c r="O1882" i="9"/>
  <c r="N1882" i="9"/>
  <c r="M1882" i="9"/>
  <c r="L1882" i="9"/>
  <c r="K1882" i="9"/>
  <c r="G1882" i="9"/>
  <c r="F1882" i="9"/>
  <c r="E1882" i="9"/>
  <c r="U1881" i="9"/>
  <c r="T1881" i="9"/>
  <c r="S1881" i="9"/>
  <c r="R1881" i="9"/>
  <c r="Q1881" i="9"/>
  <c r="P1881" i="9"/>
  <c r="O1881" i="9"/>
  <c r="N1881" i="9"/>
  <c r="M1881" i="9"/>
  <c r="L1881" i="9"/>
  <c r="K1881" i="9"/>
  <c r="G1881" i="9"/>
  <c r="F1881" i="9"/>
  <c r="E1881" i="9"/>
  <c r="U1880" i="9"/>
  <c r="T1880" i="9"/>
  <c r="S1880" i="9"/>
  <c r="R1880" i="9"/>
  <c r="Q1880" i="9"/>
  <c r="P1880" i="9"/>
  <c r="O1880" i="9"/>
  <c r="N1880" i="9"/>
  <c r="M1880" i="9"/>
  <c r="L1880" i="9"/>
  <c r="K1880" i="9"/>
  <c r="G1880" i="9"/>
  <c r="F1880" i="9"/>
  <c r="E1880" i="9"/>
  <c r="U1879" i="9"/>
  <c r="T1879" i="9"/>
  <c r="S1879" i="9"/>
  <c r="R1879" i="9"/>
  <c r="Q1879" i="9"/>
  <c r="P1879" i="9"/>
  <c r="O1879" i="9"/>
  <c r="N1879" i="9"/>
  <c r="M1879" i="9"/>
  <c r="L1879" i="9"/>
  <c r="K1879" i="9"/>
  <c r="G1879" i="9"/>
  <c r="F1879" i="9"/>
  <c r="E1879" i="9"/>
  <c r="U1878" i="9"/>
  <c r="T1878" i="9"/>
  <c r="S1878" i="9"/>
  <c r="R1878" i="9"/>
  <c r="Q1878" i="9"/>
  <c r="P1878" i="9"/>
  <c r="O1878" i="9"/>
  <c r="N1878" i="9"/>
  <c r="M1878" i="9"/>
  <c r="L1878" i="9"/>
  <c r="K1878" i="9"/>
  <c r="G1878" i="9"/>
  <c r="F1878" i="9"/>
  <c r="E1878" i="9"/>
  <c r="U1877" i="9"/>
  <c r="T1877" i="9"/>
  <c r="S1877" i="9"/>
  <c r="R1877" i="9"/>
  <c r="Q1877" i="9"/>
  <c r="P1877" i="9"/>
  <c r="O1877" i="9"/>
  <c r="N1877" i="9"/>
  <c r="M1877" i="9"/>
  <c r="L1877" i="9"/>
  <c r="K1877" i="9"/>
  <c r="G1877" i="9"/>
  <c r="F1877" i="9"/>
  <c r="E1877" i="9"/>
  <c r="U1876" i="9"/>
  <c r="T1876" i="9"/>
  <c r="S1876" i="9"/>
  <c r="R1876" i="9"/>
  <c r="Q1876" i="9"/>
  <c r="P1876" i="9"/>
  <c r="O1876" i="9"/>
  <c r="N1876" i="9"/>
  <c r="M1876" i="9"/>
  <c r="L1876" i="9"/>
  <c r="K1876" i="9"/>
  <c r="G1876" i="9"/>
  <c r="F1876" i="9"/>
  <c r="E1876" i="9"/>
  <c r="U1875" i="9"/>
  <c r="T1875" i="9"/>
  <c r="S1875" i="9"/>
  <c r="R1875" i="9"/>
  <c r="Q1875" i="9"/>
  <c r="P1875" i="9"/>
  <c r="O1875" i="9"/>
  <c r="N1875" i="9"/>
  <c r="M1875" i="9"/>
  <c r="L1875" i="9"/>
  <c r="K1875" i="9"/>
  <c r="G1875" i="9"/>
  <c r="F1875" i="9"/>
  <c r="E1875" i="9"/>
  <c r="U1874" i="9"/>
  <c r="T1874" i="9"/>
  <c r="S1874" i="9"/>
  <c r="R1874" i="9"/>
  <c r="Q1874" i="9"/>
  <c r="P1874" i="9"/>
  <c r="O1874" i="9"/>
  <c r="N1874" i="9"/>
  <c r="M1874" i="9"/>
  <c r="L1874" i="9"/>
  <c r="K1874" i="9"/>
  <c r="G1874" i="9"/>
  <c r="F1874" i="9"/>
  <c r="E1874" i="9"/>
  <c r="U1873" i="9"/>
  <c r="T1873" i="9"/>
  <c r="S1873" i="9"/>
  <c r="R1873" i="9"/>
  <c r="Q1873" i="9"/>
  <c r="P1873" i="9"/>
  <c r="O1873" i="9"/>
  <c r="N1873" i="9"/>
  <c r="M1873" i="9"/>
  <c r="L1873" i="9"/>
  <c r="K1873" i="9"/>
  <c r="G1873" i="9"/>
  <c r="F1873" i="9"/>
  <c r="E1873" i="9"/>
  <c r="U1872" i="9"/>
  <c r="T1872" i="9"/>
  <c r="S1872" i="9"/>
  <c r="R1872" i="9"/>
  <c r="Q1872" i="9"/>
  <c r="P1872" i="9"/>
  <c r="O1872" i="9"/>
  <c r="N1872" i="9"/>
  <c r="M1872" i="9"/>
  <c r="L1872" i="9"/>
  <c r="K1872" i="9"/>
  <c r="G1872" i="9"/>
  <c r="F1872" i="9"/>
  <c r="E1872" i="9"/>
  <c r="U1871" i="9"/>
  <c r="T1871" i="9"/>
  <c r="S1871" i="9"/>
  <c r="R1871" i="9"/>
  <c r="Q1871" i="9"/>
  <c r="P1871" i="9"/>
  <c r="O1871" i="9"/>
  <c r="N1871" i="9"/>
  <c r="M1871" i="9"/>
  <c r="L1871" i="9"/>
  <c r="K1871" i="9"/>
  <c r="G1871" i="9"/>
  <c r="F1871" i="9"/>
  <c r="E1871" i="9"/>
  <c r="U1870" i="9"/>
  <c r="T1870" i="9"/>
  <c r="S1870" i="9"/>
  <c r="R1870" i="9"/>
  <c r="Q1870" i="9"/>
  <c r="P1870" i="9"/>
  <c r="O1870" i="9"/>
  <c r="N1870" i="9"/>
  <c r="M1870" i="9"/>
  <c r="L1870" i="9"/>
  <c r="K1870" i="9"/>
  <c r="G1870" i="9"/>
  <c r="F1870" i="9"/>
  <c r="E1870" i="9"/>
  <c r="U1869" i="9"/>
  <c r="T1869" i="9"/>
  <c r="S1869" i="9"/>
  <c r="R1869" i="9"/>
  <c r="Q1869" i="9"/>
  <c r="P1869" i="9"/>
  <c r="O1869" i="9"/>
  <c r="N1869" i="9"/>
  <c r="M1869" i="9"/>
  <c r="L1869" i="9"/>
  <c r="K1869" i="9"/>
  <c r="G1869" i="9"/>
  <c r="F1869" i="9"/>
  <c r="E1869" i="9"/>
  <c r="U1868" i="9"/>
  <c r="T1868" i="9"/>
  <c r="S1868" i="9"/>
  <c r="R1868" i="9"/>
  <c r="Q1868" i="9"/>
  <c r="P1868" i="9"/>
  <c r="O1868" i="9"/>
  <c r="N1868" i="9"/>
  <c r="M1868" i="9"/>
  <c r="L1868" i="9"/>
  <c r="K1868" i="9"/>
  <c r="G1868" i="9"/>
  <c r="F1868" i="9"/>
  <c r="E1868" i="9"/>
  <c r="U1867" i="9"/>
  <c r="T1867" i="9"/>
  <c r="S1867" i="9"/>
  <c r="R1867" i="9"/>
  <c r="Q1867" i="9"/>
  <c r="P1867" i="9"/>
  <c r="O1867" i="9"/>
  <c r="N1867" i="9"/>
  <c r="M1867" i="9"/>
  <c r="L1867" i="9"/>
  <c r="K1867" i="9"/>
  <c r="G1867" i="9"/>
  <c r="F1867" i="9"/>
  <c r="E1867" i="9"/>
  <c r="U1866" i="9"/>
  <c r="T1866" i="9"/>
  <c r="S1866" i="9"/>
  <c r="R1866" i="9"/>
  <c r="Q1866" i="9"/>
  <c r="P1866" i="9"/>
  <c r="O1866" i="9"/>
  <c r="N1866" i="9"/>
  <c r="M1866" i="9"/>
  <c r="L1866" i="9"/>
  <c r="K1866" i="9"/>
  <c r="G1866" i="9"/>
  <c r="F1866" i="9"/>
  <c r="E1866" i="9"/>
  <c r="U1865" i="9"/>
  <c r="T1865" i="9"/>
  <c r="S1865" i="9"/>
  <c r="R1865" i="9"/>
  <c r="Q1865" i="9"/>
  <c r="P1865" i="9"/>
  <c r="O1865" i="9"/>
  <c r="N1865" i="9"/>
  <c r="M1865" i="9"/>
  <c r="L1865" i="9"/>
  <c r="K1865" i="9"/>
  <c r="G1865" i="9"/>
  <c r="F1865" i="9"/>
  <c r="E1865" i="9"/>
  <c r="U1864" i="9"/>
  <c r="T1864" i="9"/>
  <c r="S1864" i="9"/>
  <c r="R1864" i="9"/>
  <c r="Q1864" i="9"/>
  <c r="P1864" i="9"/>
  <c r="O1864" i="9"/>
  <c r="N1864" i="9"/>
  <c r="M1864" i="9"/>
  <c r="L1864" i="9"/>
  <c r="K1864" i="9"/>
  <c r="G1864" i="9"/>
  <c r="F1864" i="9"/>
  <c r="E1864" i="9"/>
  <c r="U1863" i="9"/>
  <c r="T1863" i="9"/>
  <c r="S1863" i="9"/>
  <c r="R1863" i="9"/>
  <c r="Q1863" i="9"/>
  <c r="P1863" i="9"/>
  <c r="O1863" i="9"/>
  <c r="N1863" i="9"/>
  <c r="M1863" i="9"/>
  <c r="L1863" i="9"/>
  <c r="K1863" i="9"/>
  <c r="G1863" i="9"/>
  <c r="F1863" i="9"/>
  <c r="E1863" i="9"/>
  <c r="U1862" i="9"/>
  <c r="T1862" i="9"/>
  <c r="S1862" i="9"/>
  <c r="R1862" i="9"/>
  <c r="Q1862" i="9"/>
  <c r="P1862" i="9"/>
  <c r="O1862" i="9"/>
  <c r="N1862" i="9"/>
  <c r="M1862" i="9"/>
  <c r="L1862" i="9"/>
  <c r="K1862" i="9"/>
  <c r="G1862" i="9"/>
  <c r="F1862" i="9"/>
  <c r="E1862" i="9"/>
  <c r="U1861" i="9"/>
  <c r="T1861" i="9"/>
  <c r="S1861" i="9"/>
  <c r="R1861" i="9"/>
  <c r="Q1861" i="9"/>
  <c r="P1861" i="9"/>
  <c r="O1861" i="9"/>
  <c r="N1861" i="9"/>
  <c r="M1861" i="9"/>
  <c r="L1861" i="9"/>
  <c r="K1861" i="9"/>
  <c r="G1861" i="9"/>
  <c r="F1861" i="9"/>
  <c r="E1861" i="9"/>
  <c r="U1860" i="9"/>
  <c r="T1860" i="9"/>
  <c r="S1860" i="9"/>
  <c r="R1860" i="9"/>
  <c r="Q1860" i="9"/>
  <c r="P1860" i="9"/>
  <c r="O1860" i="9"/>
  <c r="N1860" i="9"/>
  <c r="M1860" i="9"/>
  <c r="L1860" i="9"/>
  <c r="K1860" i="9"/>
  <c r="G1860" i="9"/>
  <c r="F1860" i="9"/>
  <c r="E1860" i="9"/>
  <c r="U1859" i="9"/>
  <c r="T1859" i="9"/>
  <c r="S1859" i="9"/>
  <c r="R1859" i="9"/>
  <c r="Q1859" i="9"/>
  <c r="P1859" i="9"/>
  <c r="O1859" i="9"/>
  <c r="N1859" i="9"/>
  <c r="M1859" i="9"/>
  <c r="L1859" i="9"/>
  <c r="K1859" i="9"/>
  <c r="G1859" i="9"/>
  <c r="F1859" i="9"/>
  <c r="E1859" i="9"/>
  <c r="U1858" i="9"/>
  <c r="T1858" i="9"/>
  <c r="S1858" i="9"/>
  <c r="R1858" i="9"/>
  <c r="Q1858" i="9"/>
  <c r="P1858" i="9"/>
  <c r="O1858" i="9"/>
  <c r="N1858" i="9"/>
  <c r="M1858" i="9"/>
  <c r="L1858" i="9"/>
  <c r="K1858" i="9"/>
  <c r="G1858" i="9"/>
  <c r="F1858" i="9"/>
  <c r="E1858" i="9"/>
  <c r="U1857" i="9"/>
  <c r="T1857" i="9"/>
  <c r="S1857" i="9"/>
  <c r="R1857" i="9"/>
  <c r="Q1857" i="9"/>
  <c r="P1857" i="9"/>
  <c r="O1857" i="9"/>
  <c r="N1857" i="9"/>
  <c r="M1857" i="9"/>
  <c r="L1857" i="9"/>
  <c r="K1857" i="9"/>
  <c r="G1857" i="9"/>
  <c r="F1857" i="9"/>
  <c r="E1857" i="9"/>
  <c r="U1856" i="9"/>
  <c r="T1856" i="9"/>
  <c r="S1856" i="9"/>
  <c r="R1856" i="9"/>
  <c r="Q1856" i="9"/>
  <c r="P1856" i="9"/>
  <c r="O1856" i="9"/>
  <c r="N1856" i="9"/>
  <c r="M1856" i="9"/>
  <c r="L1856" i="9"/>
  <c r="K1856" i="9"/>
  <c r="G1856" i="9"/>
  <c r="F1856" i="9"/>
  <c r="E1856" i="9"/>
  <c r="U1855" i="9"/>
  <c r="T1855" i="9"/>
  <c r="S1855" i="9"/>
  <c r="R1855" i="9"/>
  <c r="Q1855" i="9"/>
  <c r="P1855" i="9"/>
  <c r="O1855" i="9"/>
  <c r="N1855" i="9"/>
  <c r="M1855" i="9"/>
  <c r="L1855" i="9"/>
  <c r="K1855" i="9"/>
  <c r="G1855" i="9"/>
  <c r="F1855" i="9"/>
  <c r="E1855" i="9"/>
  <c r="U1854" i="9"/>
  <c r="T1854" i="9"/>
  <c r="S1854" i="9"/>
  <c r="R1854" i="9"/>
  <c r="Q1854" i="9"/>
  <c r="P1854" i="9"/>
  <c r="O1854" i="9"/>
  <c r="N1854" i="9"/>
  <c r="M1854" i="9"/>
  <c r="L1854" i="9"/>
  <c r="K1854" i="9"/>
  <c r="G1854" i="9"/>
  <c r="F1854" i="9"/>
  <c r="E1854" i="9"/>
  <c r="U1853" i="9"/>
  <c r="T1853" i="9"/>
  <c r="S1853" i="9"/>
  <c r="R1853" i="9"/>
  <c r="Q1853" i="9"/>
  <c r="P1853" i="9"/>
  <c r="O1853" i="9"/>
  <c r="N1853" i="9"/>
  <c r="M1853" i="9"/>
  <c r="L1853" i="9"/>
  <c r="K1853" i="9"/>
  <c r="G1853" i="9"/>
  <c r="F1853" i="9"/>
  <c r="E1853" i="9"/>
  <c r="U1852" i="9"/>
  <c r="T1852" i="9"/>
  <c r="S1852" i="9"/>
  <c r="R1852" i="9"/>
  <c r="Q1852" i="9"/>
  <c r="P1852" i="9"/>
  <c r="O1852" i="9"/>
  <c r="N1852" i="9"/>
  <c r="M1852" i="9"/>
  <c r="L1852" i="9"/>
  <c r="K1852" i="9"/>
  <c r="G1852" i="9"/>
  <c r="F1852" i="9"/>
  <c r="E1852" i="9"/>
  <c r="U1851" i="9"/>
  <c r="T1851" i="9"/>
  <c r="S1851" i="9"/>
  <c r="R1851" i="9"/>
  <c r="Q1851" i="9"/>
  <c r="P1851" i="9"/>
  <c r="O1851" i="9"/>
  <c r="N1851" i="9"/>
  <c r="M1851" i="9"/>
  <c r="L1851" i="9"/>
  <c r="K1851" i="9"/>
  <c r="G1851" i="9"/>
  <c r="F1851" i="9"/>
  <c r="E1851" i="9"/>
  <c r="U1850" i="9"/>
  <c r="T1850" i="9"/>
  <c r="S1850" i="9"/>
  <c r="R1850" i="9"/>
  <c r="Q1850" i="9"/>
  <c r="P1850" i="9"/>
  <c r="O1850" i="9"/>
  <c r="N1850" i="9"/>
  <c r="M1850" i="9"/>
  <c r="L1850" i="9"/>
  <c r="K1850" i="9"/>
  <c r="G1850" i="9"/>
  <c r="F1850" i="9"/>
  <c r="E1850" i="9"/>
  <c r="U1849" i="9"/>
  <c r="T1849" i="9"/>
  <c r="S1849" i="9"/>
  <c r="R1849" i="9"/>
  <c r="Q1849" i="9"/>
  <c r="P1849" i="9"/>
  <c r="O1849" i="9"/>
  <c r="N1849" i="9"/>
  <c r="M1849" i="9"/>
  <c r="L1849" i="9"/>
  <c r="K1849" i="9"/>
  <c r="G1849" i="9"/>
  <c r="F1849" i="9"/>
  <c r="E1849" i="9"/>
  <c r="U1848" i="9"/>
  <c r="T1848" i="9"/>
  <c r="S1848" i="9"/>
  <c r="R1848" i="9"/>
  <c r="Q1848" i="9"/>
  <c r="P1848" i="9"/>
  <c r="O1848" i="9"/>
  <c r="N1848" i="9"/>
  <c r="M1848" i="9"/>
  <c r="L1848" i="9"/>
  <c r="K1848" i="9"/>
  <c r="G1848" i="9"/>
  <c r="F1848" i="9"/>
  <c r="E1848" i="9"/>
  <c r="U1847" i="9"/>
  <c r="T1847" i="9"/>
  <c r="S1847" i="9"/>
  <c r="R1847" i="9"/>
  <c r="Q1847" i="9"/>
  <c r="P1847" i="9"/>
  <c r="O1847" i="9"/>
  <c r="N1847" i="9"/>
  <c r="M1847" i="9"/>
  <c r="L1847" i="9"/>
  <c r="K1847" i="9"/>
  <c r="G1847" i="9"/>
  <c r="F1847" i="9"/>
  <c r="E1847" i="9"/>
  <c r="U1846" i="9"/>
  <c r="T1846" i="9"/>
  <c r="S1846" i="9"/>
  <c r="R1846" i="9"/>
  <c r="Q1846" i="9"/>
  <c r="P1846" i="9"/>
  <c r="O1846" i="9"/>
  <c r="N1846" i="9"/>
  <c r="M1846" i="9"/>
  <c r="L1846" i="9"/>
  <c r="K1846" i="9"/>
  <c r="G1846" i="9"/>
  <c r="F1846" i="9"/>
  <c r="E1846" i="9"/>
  <c r="U1845" i="9"/>
  <c r="T1845" i="9"/>
  <c r="S1845" i="9"/>
  <c r="R1845" i="9"/>
  <c r="Q1845" i="9"/>
  <c r="P1845" i="9"/>
  <c r="O1845" i="9"/>
  <c r="N1845" i="9"/>
  <c r="M1845" i="9"/>
  <c r="L1845" i="9"/>
  <c r="K1845" i="9"/>
  <c r="G1845" i="9"/>
  <c r="F1845" i="9"/>
  <c r="E1845" i="9"/>
  <c r="U1844" i="9"/>
  <c r="T1844" i="9"/>
  <c r="S1844" i="9"/>
  <c r="R1844" i="9"/>
  <c r="Q1844" i="9"/>
  <c r="P1844" i="9"/>
  <c r="O1844" i="9"/>
  <c r="N1844" i="9"/>
  <c r="M1844" i="9"/>
  <c r="L1844" i="9"/>
  <c r="K1844" i="9"/>
  <c r="G1844" i="9"/>
  <c r="F1844" i="9"/>
  <c r="E1844" i="9"/>
  <c r="U1843" i="9"/>
  <c r="T1843" i="9"/>
  <c r="S1843" i="9"/>
  <c r="R1843" i="9"/>
  <c r="Q1843" i="9"/>
  <c r="P1843" i="9"/>
  <c r="O1843" i="9"/>
  <c r="N1843" i="9"/>
  <c r="M1843" i="9"/>
  <c r="L1843" i="9"/>
  <c r="K1843" i="9"/>
  <c r="G1843" i="9"/>
  <c r="F1843" i="9"/>
  <c r="E1843" i="9"/>
  <c r="U1842" i="9"/>
  <c r="T1842" i="9"/>
  <c r="S1842" i="9"/>
  <c r="R1842" i="9"/>
  <c r="Q1842" i="9"/>
  <c r="P1842" i="9"/>
  <c r="O1842" i="9"/>
  <c r="N1842" i="9"/>
  <c r="M1842" i="9"/>
  <c r="L1842" i="9"/>
  <c r="K1842" i="9"/>
  <c r="G1842" i="9"/>
  <c r="F1842" i="9"/>
  <c r="E1842" i="9"/>
  <c r="U1841" i="9"/>
  <c r="T1841" i="9"/>
  <c r="S1841" i="9"/>
  <c r="R1841" i="9"/>
  <c r="Q1841" i="9"/>
  <c r="P1841" i="9"/>
  <c r="O1841" i="9"/>
  <c r="N1841" i="9"/>
  <c r="M1841" i="9"/>
  <c r="L1841" i="9"/>
  <c r="K1841" i="9"/>
  <c r="G1841" i="9"/>
  <c r="F1841" i="9"/>
  <c r="E1841" i="9"/>
  <c r="U1840" i="9"/>
  <c r="T1840" i="9"/>
  <c r="S1840" i="9"/>
  <c r="R1840" i="9"/>
  <c r="Q1840" i="9"/>
  <c r="P1840" i="9"/>
  <c r="O1840" i="9"/>
  <c r="N1840" i="9"/>
  <c r="M1840" i="9"/>
  <c r="L1840" i="9"/>
  <c r="K1840" i="9"/>
  <c r="G1840" i="9"/>
  <c r="F1840" i="9"/>
  <c r="E1840" i="9"/>
  <c r="U1839" i="9"/>
  <c r="T1839" i="9"/>
  <c r="S1839" i="9"/>
  <c r="R1839" i="9"/>
  <c r="Q1839" i="9"/>
  <c r="P1839" i="9"/>
  <c r="O1839" i="9"/>
  <c r="N1839" i="9"/>
  <c r="M1839" i="9"/>
  <c r="L1839" i="9"/>
  <c r="K1839" i="9"/>
  <c r="G1839" i="9"/>
  <c r="F1839" i="9"/>
  <c r="E1839" i="9"/>
  <c r="U1838" i="9"/>
  <c r="T1838" i="9"/>
  <c r="S1838" i="9"/>
  <c r="R1838" i="9"/>
  <c r="Q1838" i="9"/>
  <c r="P1838" i="9"/>
  <c r="O1838" i="9"/>
  <c r="N1838" i="9"/>
  <c r="M1838" i="9"/>
  <c r="L1838" i="9"/>
  <c r="K1838" i="9"/>
  <c r="G1838" i="9"/>
  <c r="F1838" i="9"/>
  <c r="E1838" i="9"/>
  <c r="U1837" i="9"/>
  <c r="T1837" i="9"/>
  <c r="S1837" i="9"/>
  <c r="R1837" i="9"/>
  <c r="Q1837" i="9"/>
  <c r="P1837" i="9"/>
  <c r="O1837" i="9"/>
  <c r="N1837" i="9"/>
  <c r="M1837" i="9"/>
  <c r="L1837" i="9"/>
  <c r="K1837" i="9"/>
  <c r="G1837" i="9"/>
  <c r="F1837" i="9"/>
  <c r="E1837" i="9"/>
  <c r="U1836" i="9"/>
  <c r="T1836" i="9"/>
  <c r="S1836" i="9"/>
  <c r="R1836" i="9"/>
  <c r="Q1836" i="9"/>
  <c r="P1836" i="9"/>
  <c r="O1836" i="9"/>
  <c r="N1836" i="9"/>
  <c r="M1836" i="9"/>
  <c r="L1836" i="9"/>
  <c r="K1836" i="9"/>
  <c r="G1836" i="9"/>
  <c r="F1836" i="9"/>
  <c r="E1836" i="9"/>
  <c r="U1835" i="9"/>
  <c r="T1835" i="9"/>
  <c r="S1835" i="9"/>
  <c r="R1835" i="9"/>
  <c r="Q1835" i="9"/>
  <c r="P1835" i="9"/>
  <c r="O1835" i="9"/>
  <c r="N1835" i="9"/>
  <c r="M1835" i="9"/>
  <c r="L1835" i="9"/>
  <c r="K1835" i="9"/>
  <c r="G1835" i="9"/>
  <c r="F1835" i="9"/>
  <c r="E1835" i="9"/>
  <c r="U1834" i="9"/>
  <c r="T1834" i="9"/>
  <c r="S1834" i="9"/>
  <c r="R1834" i="9"/>
  <c r="Q1834" i="9"/>
  <c r="P1834" i="9"/>
  <c r="O1834" i="9"/>
  <c r="N1834" i="9"/>
  <c r="M1834" i="9"/>
  <c r="L1834" i="9"/>
  <c r="K1834" i="9"/>
  <c r="G1834" i="9"/>
  <c r="F1834" i="9"/>
  <c r="E1834" i="9"/>
  <c r="U1833" i="9"/>
  <c r="T1833" i="9"/>
  <c r="S1833" i="9"/>
  <c r="R1833" i="9"/>
  <c r="Q1833" i="9"/>
  <c r="P1833" i="9"/>
  <c r="O1833" i="9"/>
  <c r="N1833" i="9"/>
  <c r="M1833" i="9"/>
  <c r="L1833" i="9"/>
  <c r="K1833" i="9"/>
  <c r="G1833" i="9"/>
  <c r="F1833" i="9"/>
  <c r="E1833" i="9"/>
  <c r="U1832" i="9"/>
  <c r="T1832" i="9"/>
  <c r="S1832" i="9"/>
  <c r="R1832" i="9"/>
  <c r="Q1832" i="9"/>
  <c r="P1832" i="9"/>
  <c r="O1832" i="9"/>
  <c r="N1832" i="9"/>
  <c r="M1832" i="9"/>
  <c r="L1832" i="9"/>
  <c r="K1832" i="9"/>
  <c r="G1832" i="9"/>
  <c r="F1832" i="9"/>
  <c r="E1832" i="9"/>
  <c r="U1831" i="9"/>
  <c r="T1831" i="9"/>
  <c r="S1831" i="9"/>
  <c r="R1831" i="9"/>
  <c r="Q1831" i="9"/>
  <c r="P1831" i="9"/>
  <c r="O1831" i="9"/>
  <c r="N1831" i="9"/>
  <c r="M1831" i="9"/>
  <c r="L1831" i="9"/>
  <c r="K1831" i="9"/>
  <c r="G1831" i="9"/>
  <c r="F1831" i="9"/>
  <c r="E1831" i="9"/>
  <c r="U1830" i="9"/>
  <c r="T1830" i="9"/>
  <c r="S1830" i="9"/>
  <c r="R1830" i="9"/>
  <c r="Q1830" i="9"/>
  <c r="P1830" i="9"/>
  <c r="O1830" i="9"/>
  <c r="N1830" i="9"/>
  <c r="M1830" i="9"/>
  <c r="L1830" i="9"/>
  <c r="K1830" i="9"/>
  <c r="G1830" i="9"/>
  <c r="F1830" i="9"/>
  <c r="E1830" i="9"/>
  <c r="U1829" i="9"/>
  <c r="T1829" i="9"/>
  <c r="S1829" i="9"/>
  <c r="R1829" i="9"/>
  <c r="Q1829" i="9"/>
  <c r="P1829" i="9"/>
  <c r="O1829" i="9"/>
  <c r="N1829" i="9"/>
  <c r="M1829" i="9"/>
  <c r="L1829" i="9"/>
  <c r="K1829" i="9"/>
  <c r="G1829" i="9"/>
  <c r="F1829" i="9"/>
  <c r="E1829" i="9"/>
  <c r="U1828" i="9"/>
  <c r="T1828" i="9"/>
  <c r="S1828" i="9"/>
  <c r="R1828" i="9"/>
  <c r="Q1828" i="9"/>
  <c r="P1828" i="9"/>
  <c r="O1828" i="9"/>
  <c r="N1828" i="9"/>
  <c r="M1828" i="9"/>
  <c r="L1828" i="9"/>
  <c r="K1828" i="9"/>
  <c r="G1828" i="9"/>
  <c r="F1828" i="9"/>
  <c r="E1828" i="9"/>
  <c r="U1827" i="9"/>
  <c r="T1827" i="9"/>
  <c r="S1827" i="9"/>
  <c r="R1827" i="9"/>
  <c r="Q1827" i="9"/>
  <c r="P1827" i="9"/>
  <c r="O1827" i="9"/>
  <c r="N1827" i="9"/>
  <c r="M1827" i="9"/>
  <c r="L1827" i="9"/>
  <c r="K1827" i="9"/>
  <c r="G1827" i="9"/>
  <c r="F1827" i="9"/>
  <c r="E1827" i="9"/>
  <c r="U1826" i="9"/>
  <c r="T1826" i="9"/>
  <c r="S1826" i="9"/>
  <c r="R1826" i="9"/>
  <c r="Q1826" i="9"/>
  <c r="P1826" i="9"/>
  <c r="O1826" i="9"/>
  <c r="N1826" i="9"/>
  <c r="M1826" i="9"/>
  <c r="L1826" i="9"/>
  <c r="K1826" i="9"/>
  <c r="G1826" i="9"/>
  <c r="F1826" i="9"/>
  <c r="E1826" i="9"/>
  <c r="U1825" i="9"/>
  <c r="T1825" i="9"/>
  <c r="S1825" i="9"/>
  <c r="R1825" i="9"/>
  <c r="Q1825" i="9"/>
  <c r="P1825" i="9"/>
  <c r="O1825" i="9"/>
  <c r="N1825" i="9"/>
  <c r="M1825" i="9"/>
  <c r="L1825" i="9"/>
  <c r="K1825" i="9"/>
  <c r="G1825" i="9"/>
  <c r="F1825" i="9"/>
  <c r="E1825" i="9"/>
  <c r="U1824" i="9"/>
  <c r="T1824" i="9"/>
  <c r="S1824" i="9"/>
  <c r="R1824" i="9"/>
  <c r="Q1824" i="9"/>
  <c r="P1824" i="9"/>
  <c r="O1824" i="9"/>
  <c r="N1824" i="9"/>
  <c r="M1824" i="9"/>
  <c r="L1824" i="9"/>
  <c r="K1824" i="9"/>
  <c r="G1824" i="9"/>
  <c r="F1824" i="9"/>
  <c r="E1824" i="9"/>
  <c r="U1823" i="9"/>
  <c r="T1823" i="9"/>
  <c r="S1823" i="9"/>
  <c r="R1823" i="9"/>
  <c r="Q1823" i="9"/>
  <c r="P1823" i="9"/>
  <c r="O1823" i="9"/>
  <c r="N1823" i="9"/>
  <c r="M1823" i="9"/>
  <c r="L1823" i="9"/>
  <c r="K1823" i="9"/>
  <c r="G1823" i="9"/>
  <c r="F1823" i="9"/>
  <c r="E1823" i="9"/>
  <c r="U1822" i="9"/>
  <c r="T1822" i="9"/>
  <c r="S1822" i="9"/>
  <c r="R1822" i="9"/>
  <c r="Q1822" i="9"/>
  <c r="P1822" i="9"/>
  <c r="O1822" i="9"/>
  <c r="N1822" i="9"/>
  <c r="M1822" i="9"/>
  <c r="L1822" i="9"/>
  <c r="K1822" i="9"/>
  <c r="G1822" i="9"/>
  <c r="F1822" i="9"/>
  <c r="E1822" i="9"/>
  <c r="U1821" i="9"/>
  <c r="T1821" i="9"/>
  <c r="S1821" i="9"/>
  <c r="R1821" i="9"/>
  <c r="Q1821" i="9"/>
  <c r="P1821" i="9"/>
  <c r="O1821" i="9"/>
  <c r="N1821" i="9"/>
  <c r="M1821" i="9"/>
  <c r="L1821" i="9"/>
  <c r="K1821" i="9"/>
  <c r="G1821" i="9"/>
  <c r="F1821" i="9"/>
  <c r="E1821" i="9"/>
  <c r="U1820" i="9"/>
  <c r="T1820" i="9"/>
  <c r="S1820" i="9"/>
  <c r="R1820" i="9"/>
  <c r="Q1820" i="9"/>
  <c r="P1820" i="9"/>
  <c r="O1820" i="9"/>
  <c r="N1820" i="9"/>
  <c r="M1820" i="9"/>
  <c r="L1820" i="9"/>
  <c r="K1820" i="9"/>
  <c r="G1820" i="9"/>
  <c r="F1820" i="9"/>
  <c r="E1820" i="9"/>
  <c r="U1819" i="9"/>
  <c r="T1819" i="9"/>
  <c r="S1819" i="9"/>
  <c r="R1819" i="9"/>
  <c r="Q1819" i="9"/>
  <c r="P1819" i="9"/>
  <c r="O1819" i="9"/>
  <c r="N1819" i="9"/>
  <c r="M1819" i="9"/>
  <c r="L1819" i="9"/>
  <c r="K1819" i="9"/>
  <c r="G1819" i="9"/>
  <c r="F1819" i="9"/>
  <c r="E1819" i="9"/>
  <c r="U1818" i="9"/>
  <c r="T1818" i="9"/>
  <c r="S1818" i="9"/>
  <c r="R1818" i="9"/>
  <c r="Q1818" i="9"/>
  <c r="P1818" i="9"/>
  <c r="O1818" i="9"/>
  <c r="N1818" i="9"/>
  <c r="M1818" i="9"/>
  <c r="L1818" i="9"/>
  <c r="K1818" i="9"/>
  <c r="G1818" i="9"/>
  <c r="F1818" i="9"/>
  <c r="E1818" i="9"/>
  <c r="U1817" i="9"/>
  <c r="T1817" i="9"/>
  <c r="S1817" i="9"/>
  <c r="R1817" i="9"/>
  <c r="Q1817" i="9"/>
  <c r="P1817" i="9"/>
  <c r="O1817" i="9"/>
  <c r="N1817" i="9"/>
  <c r="M1817" i="9"/>
  <c r="L1817" i="9"/>
  <c r="K1817" i="9"/>
  <c r="G1817" i="9"/>
  <c r="F1817" i="9"/>
  <c r="E1817" i="9"/>
  <c r="U1816" i="9"/>
  <c r="T1816" i="9"/>
  <c r="S1816" i="9"/>
  <c r="R1816" i="9"/>
  <c r="Q1816" i="9"/>
  <c r="P1816" i="9"/>
  <c r="O1816" i="9"/>
  <c r="N1816" i="9"/>
  <c r="M1816" i="9"/>
  <c r="L1816" i="9"/>
  <c r="K1816" i="9"/>
  <c r="G1816" i="9"/>
  <c r="F1816" i="9"/>
  <c r="E1816" i="9"/>
  <c r="U1815" i="9"/>
  <c r="T1815" i="9"/>
  <c r="S1815" i="9"/>
  <c r="R1815" i="9"/>
  <c r="Q1815" i="9"/>
  <c r="P1815" i="9"/>
  <c r="O1815" i="9"/>
  <c r="N1815" i="9"/>
  <c r="M1815" i="9"/>
  <c r="L1815" i="9"/>
  <c r="K1815" i="9"/>
  <c r="G1815" i="9"/>
  <c r="F1815" i="9"/>
  <c r="E1815" i="9"/>
  <c r="U1814" i="9"/>
  <c r="T1814" i="9"/>
  <c r="S1814" i="9"/>
  <c r="R1814" i="9"/>
  <c r="Q1814" i="9"/>
  <c r="P1814" i="9"/>
  <c r="O1814" i="9"/>
  <c r="N1814" i="9"/>
  <c r="M1814" i="9"/>
  <c r="L1814" i="9"/>
  <c r="K1814" i="9"/>
  <c r="G1814" i="9"/>
  <c r="F1814" i="9"/>
  <c r="E1814" i="9"/>
  <c r="U1813" i="9"/>
  <c r="T1813" i="9"/>
  <c r="S1813" i="9"/>
  <c r="R1813" i="9"/>
  <c r="Q1813" i="9"/>
  <c r="P1813" i="9"/>
  <c r="O1813" i="9"/>
  <c r="N1813" i="9"/>
  <c r="M1813" i="9"/>
  <c r="L1813" i="9"/>
  <c r="K1813" i="9"/>
  <c r="G1813" i="9"/>
  <c r="F1813" i="9"/>
  <c r="E1813" i="9"/>
  <c r="U1812" i="9"/>
  <c r="T1812" i="9"/>
  <c r="S1812" i="9"/>
  <c r="R1812" i="9"/>
  <c r="Q1812" i="9"/>
  <c r="P1812" i="9"/>
  <c r="O1812" i="9"/>
  <c r="N1812" i="9"/>
  <c r="M1812" i="9"/>
  <c r="L1812" i="9"/>
  <c r="K1812" i="9"/>
  <c r="G1812" i="9"/>
  <c r="F1812" i="9"/>
  <c r="E1812" i="9"/>
  <c r="U1811" i="9"/>
  <c r="T1811" i="9"/>
  <c r="S1811" i="9"/>
  <c r="R1811" i="9"/>
  <c r="Q1811" i="9"/>
  <c r="P1811" i="9"/>
  <c r="O1811" i="9"/>
  <c r="N1811" i="9"/>
  <c r="M1811" i="9"/>
  <c r="L1811" i="9"/>
  <c r="K1811" i="9"/>
  <c r="G1811" i="9"/>
  <c r="F1811" i="9"/>
  <c r="E1811" i="9"/>
  <c r="U1810" i="9"/>
  <c r="T1810" i="9"/>
  <c r="S1810" i="9"/>
  <c r="R1810" i="9"/>
  <c r="Q1810" i="9"/>
  <c r="P1810" i="9"/>
  <c r="O1810" i="9"/>
  <c r="N1810" i="9"/>
  <c r="M1810" i="9"/>
  <c r="L1810" i="9"/>
  <c r="K1810" i="9"/>
  <c r="G1810" i="9"/>
  <c r="F1810" i="9"/>
  <c r="E1810" i="9"/>
  <c r="U1809" i="9"/>
  <c r="T1809" i="9"/>
  <c r="S1809" i="9"/>
  <c r="R1809" i="9"/>
  <c r="Q1809" i="9"/>
  <c r="P1809" i="9"/>
  <c r="O1809" i="9"/>
  <c r="N1809" i="9"/>
  <c r="M1809" i="9"/>
  <c r="L1809" i="9"/>
  <c r="K1809" i="9"/>
  <c r="G1809" i="9"/>
  <c r="F1809" i="9"/>
  <c r="E1809" i="9"/>
  <c r="U1808" i="9"/>
  <c r="T1808" i="9"/>
  <c r="S1808" i="9"/>
  <c r="R1808" i="9"/>
  <c r="Q1808" i="9"/>
  <c r="P1808" i="9"/>
  <c r="O1808" i="9"/>
  <c r="N1808" i="9"/>
  <c r="M1808" i="9"/>
  <c r="L1808" i="9"/>
  <c r="K1808" i="9"/>
  <c r="G1808" i="9"/>
  <c r="F1808" i="9"/>
  <c r="E1808" i="9"/>
  <c r="U1807" i="9"/>
  <c r="T1807" i="9"/>
  <c r="S1807" i="9"/>
  <c r="R1807" i="9"/>
  <c r="Q1807" i="9"/>
  <c r="P1807" i="9"/>
  <c r="O1807" i="9"/>
  <c r="N1807" i="9"/>
  <c r="M1807" i="9"/>
  <c r="L1807" i="9"/>
  <c r="K1807" i="9"/>
  <c r="G1807" i="9"/>
  <c r="F1807" i="9"/>
  <c r="E1807" i="9"/>
  <c r="U1806" i="9"/>
  <c r="T1806" i="9"/>
  <c r="S1806" i="9"/>
  <c r="R1806" i="9"/>
  <c r="Q1806" i="9"/>
  <c r="P1806" i="9"/>
  <c r="O1806" i="9"/>
  <c r="N1806" i="9"/>
  <c r="M1806" i="9"/>
  <c r="L1806" i="9"/>
  <c r="K1806" i="9"/>
  <c r="G1806" i="9"/>
  <c r="F1806" i="9"/>
  <c r="E1806" i="9"/>
  <c r="U1805" i="9"/>
  <c r="T1805" i="9"/>
  <c r="S1805" i="9"/>
  <c r="R1805" i="9"/>
  <c r="Q1805" i="9"/>
  <c r="P1805" i="9"/>
  <c r="O1805" i="9"/>
  <c r="N1805" i="9"/>
  <c r="M1805" i="9"/>
  <c r="L1805" i="9"/>
  <c r="K1805" i="9"/>
  <c r="G1805" i="9"/>
  <c r="F1805" i="9"/>
  <c r="E1805" i="9"/>
  <c r="U1804" i="9"/>
  <c r="T1804" i="9"/>
  <c r="S1804" i="9"/>
  <c r="R1804" i="9"/>
  <c r="Q1804" i="9"/>
  <c r="P1804" i="9"/>
  <c r="O1804" i="9"/>
  <c r="N1804" i="9"/>
  <c r="M1804" i="9"/>
  <c r="L1804" i="9"/>
  <c r="K1804" i="9"/>
  <c r="G1804" i="9"/>
  <c r="F1804" i="9"/>
  <c r="E1804" i="9"/>
  <c r="U1803" i="9"/>
  <c r="T1803" i="9"/>
  <c r="S1803" i="9"/>
  <c r="R1803" i="9"/>
  <c r="Q1803" i="9"/>
  <c r="P1803" i="9"/>
  <c r="O1803" i="9"/>
  <c r="N1803" i="9"/>
  <c r="M1803" i="9"/>
  <c r="L1803" i="9"/>
  <c r="K1803" i="9"/>
  <c r="G1803" i="9"/>
  <c r="F1803" i="9"/>
  <c r="E1803" i="9"/>
  <c r="U1802" i="9"/>
  <c r="T1802" i="9"/>
  <c r="S1802" i="9"/>
  <c r="R1802" i="9"/>
  <c r="Q1802" i="9"/>
  <c r="P1802" i="9"/>
  <c r="O1802" i="9"/>
  <c r="N1802" i="9"/>
  <c r="M1802" i="9"/>
  <c r="L1802" i="9"/>
  <c r="K1802" i="9"/>
  <c r="G1802" i="9"/>
  <c r="F1802" i="9"/>
  <c r="E1802" i="9"/>
  <c r="U1801" i="9"/>
  <c r="T1801" i="9"/>
  <c r="S1801" i="9"/>
  <c r="R1801" i="9"/>
  <c r="Q1801" i="9"/>
  <c r="P1801" i="9"/>
  <c r="O1801" i="9"/>
  <c r="N1801" i="9"/>
  <c r="M1801" i="9"/>
  <c r="L1801" i="9"/>
  <c r="K1801" i="9"/>
  <c r="G1801" i="9"/>
  <c r="F1801" i="9"/>
  <c r="E1801" i="9"/>
  <c r="U1800" i="9"/>
  <c r="T1800" i="9"/>
  <c r="S1800" i="9"/>
  <c r="R1800" i="9"/>
  <c r="Q1800" i="9"/>
  <c r="P1800" i="9"/>
  <c r="O1800" i="9"/>
  <c r="N1800" i="9"/>
  <c r="M1800" i="9"/>
  <c r="L1800" i="9"/>
  <c r="K1800" i="9"/>
  <c r="G1800" i="9"/>
  <c r="F1800" i="9"/>
  <c r="E1800" i="9"/>
  <c r="U1799" i="9"/>
  <c r="T1799" i="9"/>
  <c r="S1799" i="9"/>
  <c r="R1799" i="9"/>
  <c r="Q1799" i="9"/>
  <c r="P1799" i="9"/>
  <c r="O1799" i="9"/>
  <c r="N1799" i="9"/>
  <c r="M1799" i="9"/>
  <c r="L1799" i="9"/>
  <c r="K1799" i="9"/>
  <c r="G1799" i="9"/>
  <c r="F1799" i="9"/>
  <c r="E1799" i="9"/>
  <c r="U1798" i="9"/>
  <c r="T1798" i="9"/>
  <c r="S1798" i="9"/>
  <c r="R1798" i="9"/>
  <c r="Q1798" i="9"/>
  <c r="P1798" i="9"/>
  <c r="O1798" i="9"/>
  <c r="N1798" i="9"/>
  <c r="M1798" i="9"/>
  <c r="L1798" i="9"/>
  <c r="K1798" i="9"/>
  <c r="G1798" i="9"/>
  <c r="F1798" i="9"/>
  <c r="E1798" i="9"/>
  <c r="U1797" i="9"/>
  <c r="T1797" i="9"/>
  <c r="S1797" i="9"/>
  <c r="R1797" i="9"/>
  <c r="Q1797" i="9"/>
  <c r="P1797" i="9"/>
  <c r="O1797" i="9"/>
  <c r="N1797" i="9"/>
  <c r="M1797" i="9"/>
  <c r="L1797" i="9"/>
  <c r="K1797" i="9"/>
  <c r="G1797" i="9"/>
  <c r="F1797" i="9"/>
  <c r="E1797" i="9"/>
  <c r="U1796" i="9"/>
  <c r="T1796" i="9"/>
  <c r="S1796" i="9"/>
  <c r="R1796" i="9"/>
  <c r="Q1796" i="9"/>
  <c r="P1796" i="9"/>
  <c r="O1796" i="9"/>
  <c r="N1796" i="9"/>
  <c r="M1796" i="9"/>
  <c r="L1796" i="9"/>
  <c r="K1796" i="9"/>
  <c r="G1796" i="9"/>
  <c r="F1796" i="9"/>
  <c r="E1796" i="9"/>
  <c r="U1795" i="9"/>
  <c r="T1795" i="9"/>
  <c r="S1795" i="9"/>
  <c r="R1795" i="9"/>
  <c r="Q1795" i="9"/>
  <c r="P1795" i="9"/>
  <c r="O1795" i="9"/>
  <c r="N1795" i="9"/>
  <c r="M1795" i="9"/>
  <c r="L1795" i="9"/>
  <c r="K1795" i="9"/>
  <c r="G1795" i="9"/>
  <c r="F1795" i="9"/>
  <c r="E1795" i="9"/>
  <c r="U1794" i="9"/>
  <c r="T1794" i="9"/>
  <c r="S1794" i="9"/>
  <c r="R1794" i="9"/>
  <c r="Q1794" i="9"/>
  <c r="P1794" i="9"/>
  <c r="O1794" i="9"/>
  <c r="N1794" i="9"/>
  <c r="M1794" i="9"/>
  <c r="L1794" i="9"/>
  <c r="K1794" i="9"/>
  <c r="G1794" i="9"/>
  <c r="F1794" i="9"/>
  <c r="E1794" i="9"/>
  <c r="U1793" i="9"/>
  <c r="T1793" i="9"/>
  <c r="S1793" i="9"/>
  <c r="R1793" i="9"/>
  <c r="Q1793" i="9"/>
  <c r="P1793" i="9"/>
  <c r="O1793" i="9"/>
  <c r="N1793" i="9"/>
  <c r="M1793" i="9"/>
  <c r="L1793" i="9"/>
  <c r="K1793" i="9"/>
  <c r="G1793" i="9"/>
  <c r="F1793" i="9"/>
  <c r="E1793" i="9"/>
  <c r="U1792" i="9"/>
  <c r="T1792" i="9"/>
  <c r="S1792" i="9"/>
  <c r="R1792" i="9"/>
  <c r="Q1792" i="9"/>
  <c r="P1792" i="9"/>
  <c r="O1792" i="9"/>
  <c r="N1792" i="9"/>
  <c r="M1792" i="9"/>
  <c r="L1792" i="9"/>
  <c r="K1792" i="9"/>
  <c r="G1792" i="9"/>
  <c r="F1792" i="9"/>
  <c r="E1792" i="9"/>
  <c r="U1791" i="9"/>
  <c r="T1791" i="9"/>
  <c r="S1791" i="9"/>
  <c r="R1791" i="9"/>
  <c r="Q1791" i="9"/>
  <c r="P1791" i="9"/>
  <c r="O1791" i="9"/>
  <c r="N1791" i="9"/>
  <c r="M1791" i="9"/>
  <c r="L1791" i="9"/>
  <c r="K1791" i="9"/>
  <c r="G1791" i="9"/>
  <c r="F1791" i="9"/>
  <c r="E1791" i="9"/>
  <c r="U1790" i="9"/>
  <c r="T1790" i="9"/>
  <c r="S1790" i="9"/>
  <c r="R1790" i="9"/>
  <c r="Q1790" i="9"/>
  <c r="P1790" i="9"/>
  <c r="O1790" i="9"/>
  <c r="N1790" i="9"/>
  <c r="M1790" i="9"/>
  <c r="L1790" i="9"/>
  <c r="K1790" i="9"/>
  <c r="G1790" i="9"/>
  <c r="F1790" i="9"/>
  <c r="E1790" i="9"/>
  <c r="U1789" i="9"/>
  <c r="T1789" i="9"/>
  <c r="S1789" i="9"/>
  <c r="R1789" i="9"/>
  <c r="Q1789" i="9"/>
  <c r="P1789" i="9"/>
  <c r="O1789" i="9"/>
  <c r="N1789" i="9"/>
  <c r="M1789" i="9"/>
  <c r="L1789" i="9"/>
  <c r="K1789" i="9"/>
  <c r="G1789" i="9"/>
  <c r="F1789" i="9"/>
  <c r="E1789" i="9"/>
  <c r="U1788" i="9"/>
  <c r="T1788" i="9"/>
  <c r="S1788" i="9"/>
  <c r="R1788" i="9"/>
  <c r="Q1788" i="9"/>
  <c r="P1788" i="9"/>
  <c r="O1788" i="9"/>
  <c r="N1788" i="9"/>
  <c r="M1788" i="9"/>
  <c r="L1788" i="9"/>
  <c r="K1788" i="9"/>
  <c r="G1788" i="9"/>
  <c r="F1788" i="9"/>
  <c r="E1788" i="9"/>
  <c r="U1787" i="9"/>
  <c r="T1787" i="9"/>
  <c r="S1787" i="9"/>
  <c r="R1787" i="9"/>
  <c r="Q1787" i="9"/>
  <c r="P1787" i="9"/>
  <c r="O1787" i="9"/>
  <c r="N1787" i="9"/>
  <c r="M1787" i="9"/>
  <c r="L1787" i="9"/>
  <c r="K1787" i="9"/>
  <c r="G1787" i="9"/>
  <c r="F1787" i="9"/>
  <c r="E1787" i="9"/>
  <c r="U1786" i="9"/>
  <c r="T1786" i="9"/>
  <c r="S1786" i="9"/>
  <c r="R1786" i="9"/>
  <c r="Q1786" i="9"/>
  <c r="P1786" i="9"/>
  <c r="O1786" i="9"/>
  <c r="N1786" i="9"/>
  <c r="M1786" i="9"/>
  <c r="L1786" i="9"/>
  <c r="K1786" i="9"/>
  <c r="G1786" i="9"/>
  <c r="F1786" i="9"/>
  <c r="E1786" i="9"/>
  <c r="U1785" i="9"/>
  <c r="T1785" i="9"/>
  <c r="S1785" i="9"/>
  <c r="R1785" i="9"/>
  <c r="Q1785" i="9"/>
  <c r="P1785" i="9"/>
  <c r="O1785" i="9"/>
  <c r="N1785" i="9"/>
  <c r="M1785" i="9"/>
  <c r="L1785" i="9"/>
  <c r="K1785" i="9"/>
  <c r="G1785" i="9"/>
  <c r="F1785" i="9"/>
  <c r="E1785" i="9"/>
  <c r="U1784" i="9"/>
  <c r="T1784" i="9"/>
  <c r="S1784" i="9"/>
  <c r="R1784" i="9"/>
  <c r="Q1784" i="9"/>
  <c r="P1784" i="9"/>
  <c r="O1784" i="9"/>
  <c r="N1784" i="9"/>
  <c r="M1784" i="9"/>
  <c r="L1784" i="9"/>
  <c r="K1784" i="9"/>
  <c r="G1784" i="9"/>
  <c r="F1784" i="9"/>
  <c r="E1784" i="9"/>
  <c r="U1783" i="9"/>
  <c r="T1783" i="9"/>
  <c r="S1783" i="9"/>
  <c r="R1783" i="9"/>
  <c r="Q1783" i="9"/>
  <c r="P1783" i="9"/>
  <c r="O1783" i="9"/>
  <c r="N1783" i="9"/>
  <c r="M1783" i="9"/>
  <c r="L1783" i="9"/>
  <c r="K1783" i="9"/>
  <c r="G1783" i="9"/>
  <c r="F1783" i="9"/>
  <c r="E1783" i="9"/>
  <c r="U1782" i="9"/>
  <c r="T1782" i="9"/>
  <c r="S1782" i="9"/>
  <c r="R1782" i="9"/>
  <c r="Q1782" i="9"/>
  <c r="P1782" i="9"/>
  <c r="O1782" i="9"/>
  <c r="N1782" i="9"/>
  <c r="M1782" i="9"/>
  <c r="L1782" i="9"/>
  <c r="K1782" i="9"/>
  <c r="G1782" i="9"/>
  <c r="F1782" i="9"/>
  <c r="E1782" i="9"/>
  <c r="U1781" i="9"/>
  <c r="T1781" i="9"/>
  <c r="S1781" i="9"/>
  <c r="R1781" i="9"/>
  <c r="Q1781" i="9"/>
  <c r="P1781" i="9"/>
  <c r="O1781" i="9"/>
  <c r="N1781" i="9"/>
  <c r="M1781" i="9"/>
  <c r="L1781" i="9"/>
  <c r="K1781" i="9"/>
  <c r="G1781" i="9"/>
  <c r="F1781" i="9"/>
  <c r="E1781" i="9"/>
  <c r="U1780" i="9"/>
  <c r="T1780" i="9"/>
  <c r="S1780" i="9"/>
  <c r="R1780" i="9"/>
  <c r="Q1780" i="9"/>
  <c r="P1780" i="9"/>
  <c r="O1780" i="9"/>
  <c r="N1780" i="9"/>
  <c r="M1780" i="9"/>
  <c r="L1780" i="9"/>
  <c r="K1780" i="9"/>
  <c r="G1780" i="9"/>
  <c r="F1780" i="9"/>
  <c r="E1780" i="9"/>
  <c r="U1779" i="9"/>
  <c r="T1779" i="9"/>
  <c r="S1779" i="9"/>
  <c r="R1779" i="9"/>
  <c r="Q1779" i="9"/>
  <c r="P1779" i="9"/>
  <c r="O1779" i="9"/>
  <c r="N1779" i="9"/>
  <c r="M1779" i="9"/>
  <c r="L1779" i="9"/>
  <c r="K1779" i="9"/>
  <c r="G1779" i="9"/>
  <c r="F1779" i="9"/>
  <c r="E1779" i="9"/>
  <c r="U1778" i="9"/>
  <c r="T1778" i="9"/>
  <c r="S1778" i="9"/>
  <c r="R1778" i="9"/>
  <c r="Q1778" i="9"/>
  <c r="P1778" i="9"/>
  <c r="O1778" i="9"/>
  <c r="N1778" i="9"/>
  <c r="M1778" i="9"/>
  <c r="L1778" i="9"/>
  <c r="K1778" i="9"/>
  <c r="G1778" i="9"/>
  <c r="F1778" i="9"/>
  <c r="E1778" i="9"/>
  <c r="U1777" i="9"/>
  <c r="T1777" i="9"/>
  <c r="S1777" i="9"/>
  <c r="R1777" i="9"/>
  <c r="Q1777" i="9"/>
  <c r="P1777" i="9"/>
  <c r="O1777" i="9"/>
  <c r="N1777" i="9"/>
  <c r="M1777" i="9"/>
  <c r="L1777" i="9"/>
  <c r="K1777" i="9"/>
  <c r="G1777" i="9"/>
  <c r="F1777" i="9"/>
  <c r="E1777" i="9"/>
  <c r="U1776" i="9"/>
  <c r="T1776" i="9"/>
  <c r="S1776" i="9"/>
  <c r="R1776" i="9"/>
  <c r="Q1776" i="9"/>
  <c r="P1776" i="9"/>
  <c r="O1776" i="9"/>
  <c r="N1776" i="9"/>
  <c r="M1776" i="9"/>
  <c r="L1776" i="9"/>
  <c r="K1776" i="9"/>
  <c r="G1776" i="9"/>
  <c r="F1776" i="9"/>
  <c r="E1776" i="9"/>
  <c r="U1775" i="9"/>
  <c r="T1775" i="9"/>
  <c r="S1775" i="9"/>
  <c r="R1775" i="9"/>
  <c r="Q1775" i="9"/>
  <c r="P1775" i="9"/>
  <c r="O1775" i="9"/>
  <c r="N1775" i="9"/>
  <c r="M1775" i="9"/>
  <c r="L1775" i="9"/>
  <c r="K1775" i="9"/>
  <c r="G1775" i="9"/>
  <c r="F1775" i="9"/>
  <c r="E1775" i="9"/>
  <c r="U1774" i="9"/>
  <c r="T1774" i="9"/>
  <c r="S1774" i="9"/>
  <c r="R1774" i="9"/>
  <c r="Q1774" i="9"/>
  <c r="P1774" i="9"/>
  <c r="O1774" i="9"/>
  <c r="N1774" i="9"/>
  <c r="M1774" i="9"/>
  <c r="L1774" i="9"/>
  <c r="K1774" i="9"/>
  <c r="G1774" i="9"/>
  <c r="F1774" i="9"/>
  <c r="E1774" i="9"/>
  <c r="U1773" i="9"/>
  <c r="T1773" i="9"/>
  <c r="S1773" i="9"/>
  <c r="R1773" i="9"/>
  <c r="Q1773" i="9"/>
  <c r="P1773" i="9"/>
  <c r="O1773" i="9"/>
  <c r="N1773" i="9"/>
  <c r="M1773" i="9"/>
  <c r="L1773" i="9"/>
  <c r="K1773" i="9"/>
  <c r="G1773" i="9"/>
  <c r="F1773" i="9"/>
  <c r="E1773" i="9"/>
  <c r="U1772" i="9"/>
  <c r="T1772" i="9"/>
  <c r="S1772" i="9"/>
  <c r="R1772" i="9"/>
  <c r="Q1772" i="9"/>
  <c r="P1772" i="9"/>
  <c r="O1772" i="9"/>
  <c r="N1772" i="9"/>
  <c r="M1772" i="9"/>
  <c r="L1772" i="9"/>
  <c r="K1772" i="9"/>
  <c r="G1772" i="9"/>
  <c r="F1772" i="9"/>
  <c r="E1772" i="9"/>
  <c r="U1771" i="9"/>
  <c r="T1771" i="9"/>
  <c r="S1771" i="9"/>
  <c r="R1771" i="9"/>
  <c r="Q1771" i="9"/>
  <c r="P1771" i="9"/>
  <c r="O1771" i="9"/>
  <c r="N1771" i="9"/>
  <c r="M1771" i="9"/>
  <c r="L1771" i="9"/>
  <c r="K1771" i="9"/>
  <c r="G1771" i="9"/>
  <c r="F1771" i="9"/>
  <c r="E1771" i="9"/>
  <c r="U1770" i="9"/>
  <c r="T1770" i="9"/>
  <c r="S1770" i="9"/>
  <c r="R1770" i="9"/>
  <c r="Q1770" i="9"/>
  <c r="P1770" i="9"/>
  <c r="O1770" i="9"/>
  <c r="N1770" i="9"/>
  <c r="M1770" i="9"/>
  <c r="L1770" i="9"/>
  <c r="K1770" i="9"/>
  <c r="G1770" i="9"/>
  <c r="F1770" i="9"/>
  <c r="E1770" i="9"/>
  <c r="U1769" i="9"/>
  <c r="T1769" i="9"/>
  <c r="S1769" i="9"/>
  <c r="R1769" i="9"/>
  <c r="Q1769" i="9"/>
  <c r="P1769" i="9"/>
  <c r="O1769" i="9"/>
  <c r="N1769" i="9"/>
  <c r="M1769" i="9"/>
  <c r="L1769" i="9"/>
  <c r="K1769" i="9"/>
  <c r="G1769" i="9"/>
  <c r="F1769" i="9"/>
  <c r="E1769" i="9"/>
  <c r="U1768" i="9"/>
  <c r="T1768" i="9"/>
  <c r="S1768" i="9"/>
  <c r="R1768" i="9"/>
  <c r="Q1768" i="9"/>
  <c r="P1768" i="9"/>
  <c r="O1768" i="9"/>
  <c r="N1768" i="9"/>
  <c r="M1768" i="9"/>
  <c r="L1768" i="9"/>
  <c r="K1768" i="9"/>
  <c r="G1768" i="9"/>
  <c r="F1768" i="9"/>
  <c r="E1768" i="9"/>
  <c r="U1767" i="9"/>
  <c r="T1767" i="9"/>
  <c r="S1767" i="9"/>
  <c r="R1767" i="9"/>
  <c r="Q1767" i="9"/>
  <c r="P1767" i="9"/>
  <c r="O1767" i="9"/>
  <c r="N1767" i="9"/>
  <c r="M1767" i="9"/>
  <c r="L1767" i="9"/>
  <c r="K1767" i="9"/>
  <c r="G1767" i="9"/>
  <c r="F1767" i="9"/>
  <c r="E1767" i="9"/>
  <c r="U1766" i="9"/>
  <c r="T1766" i="9"/>
  <c r="S1766" i="9"/>
  <c r="R1766" i="9"/>
  <c r="Q1766" i="9"/>
  <c r="P1766" i="9"/>
  <c r="O1766" i="9"/>
  <c r="N1766" i="9"/>
  <c r="M1766" i="9"/>
  <c r="L1766" i="9"/>
  <c r="K1766" i="9"/>
  <c r="G1766" i="9"/>
  <c r="F1766" i="9"/>
  <c r="E1766" i="9"/>
  <c r="U1765" i="9"/>
  <c r="T1765" i="9"/>
  <c r="S1765" i="9"/>
  <c r="R1765" i="9"/>
  <c r="Q1765" i="9"/>
  <c r="P1765" i="9"/>
  <c r="O1765" i="9"/>
  <c r="N1765" i="9"/>
  <c r="M1765" i="9"/>
  <c r="L1765" i="9"/>
  <c r="K1765" i="9"/>
  <c r="G1765" i="9"/>
  <c r="F1765" i="9"/>
  <c r="E1765" i="9"/>
  <c r="U1764" i="9"/>
  <c r="T1764" i="9"/>
  <c r="S1764" i="9"/>
  <c r="R1764" i="9"/>
  <c r="Q1764" i="9"/>
  <c r="P1764" i="9"/>
  <c r="O1764" i="9"/>
  <c r="N1764" i="9"/>
  <c r="M1764" i="9"/>
  <c r="L1764" i="9"/>
  <c r="K1764" i="9"/>
  <c r="G1764" i="9"/>
  <c r="F1764" i="9"/>
  <c r="E1764" i="9"/>
  <c r="U1763" i="9"/>
  <c r="T1763" i="9"/>
  <c r="S1763" i="9"/>
  <c r="R1763" i="9"/>
  <c r="Q1763" i="9"/>
  <c r="P1763" i="9"/>
  <c r="O1763" i="9"/>
  <c r="N1763" i="9"/>
  <c r="M1763" i="9"/>
  <c r="L1763" i="9"/>
  <c r="K1763" i="9"/>
  <c r="G1763" i="9"/>
  <c r="F1763" i="9"/>
  <c r="E1763" i="9"/>
  <c r="U1762" i="9"/>
  <c r="T1762" i="9"/>
  <c r="S1762" i="9"/>
  <c r="R1762" i="9"/>
  <c r="Q1762" i="9"/>
  <c r="P1762" i="9"/>
  <c r="O1762" i="9"/>
  <c r="N1762" i="9"/>
  <c r="M1762" i="9"/>
  <c r="L1762" i="9"/>
  <c r="K1762" i="9"/>
  <c r="G1762" i="9"/>
  <c r="F1762" i="9"/>
  <c r="E1762" i="9"/>
  <c r="U1761" i="9"/>
  <c r="T1761" i="9"/>
  <c r="S1761" i="9"/>
  <c r="R1761" i="9"/>
  <c r="Q1761" i="9"/>
  <c r="P1761" i="9"/>
  <c r="O1761" i="9"/>
  <c r="N1761" i="9"/>
  <c r="M1761" i="9"/>
  <c r="L1761" i="9"/>
  <c r="K1761" i="9"/>
  <c r="G1761" i="9"/>
  <c r="F1761" i="9"/>
  <c r="E1761" i="9"/>
  <c r="U1760" i="9"/>
  <c r="T1760" i="9"/>
  <c r="S1760" i="9"/>
  <c r="R1760" i="9"/>
  <c r="Q1760" i="9"/>
  <c r="P1760" i="9"/>
  <c r="O1760" i="9"/>
  <c r="N1760" i="9"/>
  <c r="M1760" i="9"/>
  <c r="L1760" i="9"/>
  <c r="K1760" i="9"/>
  <c r="G1760" i="9"/>
  <c r="F1760" i="9"/>
  <c r="E1760" i="9"/>
  <c r="U1759" i="9"/>
  <c r="T1759" i="9"/>
  <c r="S1759" i="9"/>
  <c r="R1759" i="9"/>
  <c r="Q1759" i="9"/>
  <c r="P1759" i="9"/>
  <c r="O1759" i="9"/>
  <c r="N1759" i="9"/>
  <c r="M1759" i="9"/>
  <c r="L1759" i="9"/>
  <c r="K1759" i="9"/>
  <c r="G1759" i="9"/>
  <c r="F1759" i="9"/>
  <c r="E1759" i="9"/>
  <c r="U1758" i="9"/>
  <c r="T1758" i="9"/>
  <c r="S1758" i="9"/>
  <c r="R1758" i="9"/>
  <c r="Q1758" i="9"/>
  <c r="P1758" i="9"/>
  <c r="O1758" i="9"/>
  <c r="N1758" i="9"/>
  <c r="M1758" i="9"/>
  <c r="L1758" i="9"/>
  <c r="K1758" i="9"/>
  <c r="G1758" i="9"/>
  <c r="F1758" i="9"/>
  <c r="E1758" i="9"/>
  <c r="U1757" i="9"/>
  <c r="T1757" i="9"/>
  <c r="S1757" i="9"/>
  <c r="R1757" i="9"/>
  <c r="Q1757" i="9"/>
  <c r="P1757" i="9"/>
  <c r="O1757" i="9"/>
  <c r="N1757" i="9"/>
  <c r="M1757" i="9"/>
  <c r="L1757" i="9"/>
  <c r="K1757" i="9"/>
  <c r="G1757" i="9"/>
  <c r="F1757" i="9"/>
  <c r="E1757" i="9"/>
  <c r="U1756" i="9"/>
  <c r="T1756" i="9"/>
  <c r="S1756" i="9"/>
  <c r="R1756" i="9"/>
  <c r="Q1756" i="9"/>
  <c r="P1756" i="9"/>
  <c r="O1756" i="9"/>
  <c r="N1756" i="9"/>
  <c r="M1756" i="9"/>
  <c r="L1756" i="9"/>
  <c r="K1756" i="9"/>
  <c r="G1756" i="9"/>
  <c r="F1756" i="9"/>
  <c r="E1756" i="9"/>
  <c r="U1755" i="9"/>
  <c r="T1755" i="9"/>
  <c r="S1755" i="9"/>
  <c r="R1755" i="9"/>
  <c r="Q1755" i="9"/>
  <c r="P1755" i="9"/>
  <c r="O1755" i="9"/>
  <c r="N1755" i="9"/>
  <c r="M1755" i="9"/>
  <c r="L1755" i="9"/>
  <c r="K1755" i="9"/>
  <c r="G1755" i="9"/>
  <c r="F1755" i="9"/>
  <c r="E1755" i="9"/>
  <c r="U1754" i="9"/>
  <c r="T1754" i="9"/>
  <c r="S1754" i="9"/>
  <c r="R1754" i="9"/>
  <c r="Q1754" i="9"/>
  <c r="P1754" i="9"/>
  <c r="O1754" i="9"/>
  <c r="N1754" i="9"/>
  <c r="M1754" i="9"/>
  <c r="L1754" i="9"/>
  <c r="K1754" i="9"/>
  <c r="G1754" i="9"/>
  <c r="F1754" i="9"/>
  <c r="E1754" i="9"/>
  <c r="U1753" i="9"/>
  <c r="T1753" i="9"/>
  <c r="S1753" i="9"/>
  <c r="R1753" i="9"/>
  <c r="Q1753" i="9"/>
  <c r="P1753" i="9"/>
  <c r="O1753" i="9"/>
  <c r="N1753" i="9"/>
  <c r="M1753" i="9"/>
  <c r="L1753" i="9"/>
  <c r="K1753" i="9"/>
  <c r="G1753" i="9"/>
  <c r="F1753" i="9"/>
  <c r="E1753" i="9"/>
  <c r="U1752" i="9"/>
  <c r="T1752" i="9"/>
  <c r="S1752" i="9"/>
  <c r="R1752" i="9"/>
  <c r="Q1752" i="9"/>
  <c r="P1752" i="9"/>
  <c r="O1752" i="9"/>
  <c r="N1752" i="9"/>
  <c r="M1752" i="9"/>
  <c r="L1752" i="9"/>
  <c r="K1752" i="9"/>
  <c r="G1752" i="9"/>
  <c r="F1752" i="9"/>
  <c r="E1752" i="9"/>
  <c r="U1751" i="9"/>
  <c r="T1751" i="9"/>
  <c r="S1751" i="9"/>
  <c r="R1751" i="9"/>
  <c r="Q1751" i="9"/>
  <c r="P1751" i="9"/>
  <c r="O1751" i="9"/>
  <c r="N1751" i="9"/>
  <c r="M1751" i="9"/>
  <c r="L1751" i="9"/>
  <c r="K1751" i="9"/>
  <c r="G1751" i="9"/>
  <c r="F1751" i="9"/>
  <c r="E1751" i="9"/>
  <c r="U1750" i="9"/>
  <c r="T1750" i="9"/>
  <c r="S1750" i="9"/>
  <c r="R1750" i="9"/>
  <c r="Q1750" i="9"/>
  <c r="P1750" i="9"/>
  <c r="O1750" i="9"/>
  <c r="N1750" i="9"/>
  <c r="M1750" i="9"/>
  <c r="L1750" i="9"/>
  <c r="K1750" i="9"/>
  <c r="G1750" i="9"/>
  <c r="F1750" i="9"/>
  <c r="E1750" i="9"/>
  <c r="U1749" i="9"/>
  <c r="T1749" i="9"/>
  <c r="S1749" i="9"/>
  <c r="R1749" i="9"/>
  <c r="Q1749" i="9"/>
  <c r="P1749" i="9"/>
  <c r="O1749" i="9"/>
  <c r="N1749" i="9"/>
  <c r="M1749" i="9"/>
  <c r="L1749" i="9"/>
  <c r="K1749" i="9"/>
  <c r="G1749" i="9"/>
  <c r="F1749" i="9"/>
  <c r="E1749" i="9"/>
  <c r="U1748" i="9"/>
  <c r="T1748" i="9"/>
  <c r="S1748" i="9"/>
  <c r="R1748" i="9"/>
  <c r="Q1748" i="9"/>
  <c r="P1748" i="9"/>
  <c r="O1748" i="9"/>
  <c r="N1748" i="9"/>
  <c r="M1748" i="9"/>
  <c r="L1748" i="9"/>
  <c r="K1748" i="9"/>
  <c r="G1748" i="9"/>
  <c r="F1748" i="9"/>
  <c r="E1748" i="9"/>
  <c r="U1747" i="9"/>
  <c r="T1747" i="9"/>
  <c r="S1747" i="9"/>
  <c r="R1747" i="9"/>
  <c r="Q1747" i="9"/>
  <c r="P1747" i="9"/>
  <c r="O1747" i="9"/>
  <c r="N1747" i="9"/>
  <c r="M1747" i="9"/>
  <c r="L1747" i="9"/>
  <c r="K1747" i="9"/>
  <c r="G1747" i="9"/>
  <c r="F1747" i="9"/>
  <c r="E1747" i="9"/>
  <c r="U1746" i="9"/>
  <c r="T1746" i="9"/>
  <c r="S1746" i="9"/>
  <c r="R1746" i="9"/>
  <c r="Q1746" i="9"/>
  <c r="P1746" i="9"/>
  <c r="O1746" i="9"/>
  <c r="N1746" i="9"/>
  <c r="M1746" i="9"/>
  <c r="L1746" i="9"/>
  <c r="K1746" i="9"/>
  <c r="G1746" i="9"/>
  <c r="F1746" i="9"/>
  <c r="E1746" i="9"/>
  <c r="U1745" i="9"/>
  <c r="T1745" i="9"/>
  <c r="S1745" i="9"/>
  <c r="R1745" i="9"/>
  <c r="Q1745" i="9"/>
  <c r="P1745" i="9"/>
  <c r="O1745" i="9"/>
  <c r="N1745" i="9"/>
  <c r="M1745" i="9"/>
  <c r="L1745" i="9"/>
  <c r="K1745" i="9"/>
  <c r="G1745" i="9"/>
  <c r="F1745" i="9"/>
  <c r="E1745" i="9"/>
  <c r="U1744" i="9"/>
  <c r="T1744" i="9"/>
  <c r="S1744" i="9"/>
  <c r="R1744" i="9"/>
  <c r="Q1744" i="9"/>
  <c r="P1744" i="9"/>
  <c r="O1744" i="9"/>
  <c r="N1744" i="9"/>
  <c r="M1744" i="9"/>
  <c r="L1744" i="9"/>
  <c r="K1744" i="9"/>
  <c r="G1744" i="9"/>
  <c r="F1744" i="9"/>
  <c r="E1744" i="9"/>
  <c r="U1743" i="9"/>
  <c r="T1743" i="9"/>
  <c r="S1743" i="9"/>
  <c r="R1743" i="9"/>
  <c r="Q1743" i="9"/>
  <c r="P1743" i="9"/>
  <c r="O1743" i="9"/>
  <c r="N1743" i="9"/>
  <c r="M1743" i="9"/>
  <c r="L1743" i="9"/>
  <c r="K1743" i="9"/>
  <c r="G1743" i="9"/>
  <c r="F1743" i="9"/>
  <c r="E1743" i="9"/>
  <c r="U1742" i="9"/>
  <c r="T1742" i="9"/>
  <c r="S1742" i="9"/>
  <c r="R1742" i="9"/>
  <c r="Q1742" i="9"/>
  <c r="P1742" i="9"/>
  <c r="O1742" i="9"/>
  <c r="N1742" i="9"/>
  <c r="M1742" i="9"/>
  <c r="L1742" i="9"/>
  <c r="K1742" i="9"/>
  <c r="G1742" i="9"/>
  <c r="F1742" i="9"/>
  <c r="E1742" i="9"/>
  <c r="U1741" i="9"/>
  <c r="T1741" i="9"/>
  <c r="S1741" i="9"/>
  <c r="R1741" i="9"/>
  <c r="Q1741" i="9"/>
  <c r="P1741" i="9"/>
  <c r="O1741" i="9"/>
  <c r="N1741" i="9"/>
  <c r="M1741" i="9"/>
  <c r="L1741" i="9"/>
  <c r="K1741" i="9"/>
  <c r="G1741" i="9"/>
  <c r="F1741" i="9"/>
  <c r="E1741" i="9"/>
  <c r="U1740" i="9"/>
  <c r="T1740" i="9"/>
  <c r="S1740" i="9"/>
  <c r="R1740" i="9"/>
  <c r="Q1740" i="9"/>
  <c r="P1740" i="9"/>
  <c r="O1740" i="9"/>
  <c r="N1740" i="9"/>
  <c r="M1740" i="9"/>
  <c r="L1740" i="9"/>
  <c r="K1740" i="9"/>
  <c r="G1740" i="9"/>
  <c r="F1740" i="9"/>
  <c r="E1740" i="9"/>
  <c r="U1739" i="9"/>
  <c r="T1739" i="9"/>
  <c r="S1739" i="9"/>
  <c r="R1739" i="9"/>
  <c r="Q1739" i="9"/>
  <c r="P1739" i="9"/>
  <c r="O1739" i="9"/>
  <c r="N1739" i="9"/>
  <c r="M1739" i="9"/>
  <c r="L1739" i="9"/>
  <c r="K1739" i="9"/>
  <c r="G1739" i="9"/>
  <c r="F1739" i="9"/>
  <c r="E1739" i="9"/>
  <c r="U1738" i="9"/>
  <c r="T1738" i="9"/>
  <c r="S1738" i="9"/>
  <c r="R1738" i="9"/>
  <c r="Q1738" i="9"/>
  <c r="P1738" i="9"/>
  <c r="O1738" i="9"/>
  <c r="N1738" i="9"/>
  <c r="M1738" i="9"/>
  <c r="L1738" i="9"/>
  <c r="K1738" i="9"/>
  <c r="G1738" i="9"/>
  <c r="F1738" i="9"/>
  <c r="E1738" i="9"/>
  <c r="U1737" i="9"/>
  <c r="T1737" i="9"/>
  <c r="S1737" i="9"/>
  <c r="R1737" i="9"/>
  <c r="Q1737" i="9"/>
  <c r="P1737" i="9"/>
  <c r="O1737" i="9"/>
  <c r="N1737" i="9"/>
  <c r="M1737" i="9"/>
  <c r="L1737" i="9"/>
  <c r="K1737" i="9"/>
  <c r="G1737" i="9"/>
  <c r="F1737" i="9"/>
  <c r="E1737" i="9"/>
  <c r="U1736" i="9"/>
  <c r="T1736" i="9"/>
  <c r="S1736" i="9"/>
  <c r="R1736" i="9"/>
  <c r="Q1736" i="9"/>
  <c r="P1736" i="9"/>
  <c r="O1736" i="9"/>
  <c r="N1736" i="9"/>
  <c r="M1736" i="9"/>
  <c r="L1736" i="9"/>
  <c r="K1736" i="9"/>
  <c r="G1736" i="9"/>
  <c r="F1736" i="9"/>
  <c r="E1736" i="9"/>
  <c r="U1735" i="9"/>
  <c r="T1735" i="9"/>
  <c r="S1735" i="9"/>
  <c r="R1735" i="9"/>
  <c r="Q1735" i="9"/>
  <c r="P1735" i="9"/>
  <c r="O1735" i="9"/>
  <c r="N1735" i="9"/>
  <c r="M1735" i="9"/>
  <c r="L1735" i="9"/>
  <c r="K1735" i="9"/>
  <c r="G1735" i="9"/>
  <c r="F1735" i="9"/>
  <c r="E1735" i="9"/>
  <c r="U1734" i="9"/>
  <c r="T1734" i="9"/>
  <c r="S1734" i="9"/>
  <c r="R1734" i="9"/>
  <c r="Q1734" i="9"/>
  <c r="P1734" i="9"/>
  <c r="O1734" i="9"/>
  <c r="N1734" i="9"/>
  <c r="M1734" i="9"/>
  <c r="L1734" i="9"/>
  <c r="K1734" i="9"/>
  <c r="G1734" i="9"/>
  <c r="F1734" i="9"/>
  <c r="E1734" i="9"/>
  <c r="U1733" i="9"/>
  <c r="T1733" i="9"/>
  <c r="S1733" i="9"/>
  <c r="R1733" i="9"/>
  <c r="Q1733" i="9"/>
  <c r="P1733" i="9"/>
  <c r="O1733" i="9"/>
  <c r="N1733" i="9"/>
  <c r="M1733" i="9"/>
  <c r="L1733" i="9"/>
  <c r="K1733" i="9"/>
  <c r="G1733" i="9"/>
  <c r="F1733" i="9"/>
  <c r="E1733" i="9"/>
  <c r="U1732" i="9"/>
  <c r="T1732" i="9"/>
  <c r="S1732" i="9"/>
  <c r="R1732" i="9"/>
  <c r="Q1732" i="9"/>
  <c r="P1732" i="9"/>
  <c r="O1732" i="9"/>
  <c r="N1732" i="9"/>
  <c r="M1732" i="9"/>
  <c r="L1732" i="9"/>
  <c r="K1732" i="9"/>
  <c r="G1732" i="9"/>
  <c r="F1732" i="9"/>
  <c r="E1732" i="9"/>
  <c r="U1731" i="9"/>
  <c r="T1731" i="9"/>
  <c r="S1731" i="9"/>
  <c r="R1731" i="9"/>
  <c r="Q1731" i="9"/>
  <c r="P1731" i="9"/>
  <c r="O1731" i="9"/>
  <c r="N1731" i="9"/>
  <c r="M1731" i="9"/>
  <c r="L1731" i="9"/>
  <c r="K1731" i="9"/>
  <c r="G1731" i="9"/>
  <c r="F1731" i="9"/>
  <c r="E1731" i="9"/>
  <c r="U1730" i="9"/>
  <c r="T1730" i="9"/>
  <c r="S1730" i="9"/>
  <c r="R1730" i="9"/>
  <c r="Q1730" i="9"/>
  <c r="P1730" i="9"/>
  <c r="O1730" i="9"/>
  <c r="N1730" i="9"/>
  <c r="M1730" i="9"/>
  <c r="L1730" i="9"/>
  <c r="K1730" i="9"/>
  <c r="G1730" i="9"/>
  <c r="F1730" i="9"/>
  <c r="E1730" i="9"/>
  <c r="U1729" i="9"/>
  <c r="T1729" i="9"/>
  <c r="S1729" i="9"/>
  <c r="R1729" i="9"/>
  <c r="Q1729" i="9"/>
  <c r="P1729" i="9"/>
  <c r="O1729" i="9"/>
  <c r="N1729" i="9"/>
  <c r="M1729" i="9"/>
  <c r="L1729" i="9"/>
  <c r="K1729" i="9"/>
  <c r="G1729" i="9"/>
  <c r="F1729" i="9"/>
  <c r="E1729" i="9"/>
  <c r="U1728" i="9"/>
  <c r="T1728" i="9"/>
  <c r="S1728" i="9"/>
  <c r="R1728" i="9"/>
  <c r="Q1728" i="9"/>
  <c r="P1728" i="9"/>
  <c r="O1728" i="9"/>
  <c r="N1728" i="9"/>
  <c r="M1728" i="9"/>
  <c r="L1728" i="9"/>
  <c r="K1728" i="9"/>
  <c r="G1728" i="9"/>
  <c r="F1728" i="9"/>
  <c r="E1728" i="9"/>
  <c r="U1727" i="9"/>
  <c r="T1727" i="9"/>
  <c r="S1727" i="9"/>
  <c r="R1727" i="9"/>
  <c r="Q1727" i="9"/>
  <c r="P1727" i="9"/>
  <c r="O1727" i="9"/>
  <c r="N1727" i="9"/>
  <c r="M1727" i="9"/>
  <c r="L1727" i="9"/>
  <c r="K1727" i="9"/>
  <c r="G1727" i="9"/>
  <c r="F1727" i="9"/>
  <c r="E1727" i="9"/>
  <c r="U1726" i="9"/>
  <c r="T1726" i="9"/>
  <c r="S1726" i="9"/>
  <c r="R1726" i="9"/>
  <c r="Q1726" i="9"/>
  <c r="P1726" i="9"/>
  <c r="O1726" i="9"/>
  <c r="N1726" i="9"/>
  <c r="M1726" i="9"/>
  <c r="L1726" i="9"/>
  <c r="K1726" i="9"/>
  <c r="G1726" i="9"/>
  <c r="F1726" i="9"/>
  <c r="E1726" i="9"/>
  <c r="U1725" i="9"/>
  <c r="T1725" i="9"/>
  <c r="S1725" i="9"/>
  <c r="R1725" i="9"/>
  <c r="Q1725" i="9"/>
  <c r="P1725" i="9"/>
  <c r="O1725" i="9"/>
  <c r="N1725" i="9"/>
  <c r="M1725" i="9"/>
  <c r="L1725" i="9"/>
  <c r="K1725" i="9"/>
  <c r="G1725" i="9"/>
  <c r="F1725" i="9"/>
  <c r="E1725" i="9"/>
  <c r="U1724" i="9"/>
  <c r="T1724" i="9"/>
  <c r="S1724" i="9"/>
  <c r="R1724" i="9"/>
  <c r="Q1724" i="9"/>
  <c r="P1724" i="9"/>
  <c r="O1724" i="9"/>
  <c r="N1724" i="9"/>
  <c r="M1724" i="9"/>
  <c r="L1724" i="9"/>
  <c r="K1724" i="9"/>
  <c r="G1724" i="9"/>
  <c r="F1724" i="9"/>
  <c r="E1724" i="9"/>
  <c r="U1723" i="9"/>
  <c r="T1723" i="9"/>
  <c r="S1723" i="9"/>
  <c r="R1723" i="9"/>
  <c r="Q1723" i="9"/>
  <c r="P1723" i="9"/>
  <c r="O1723" i="9"/>
  <c r="N1723" i="9"/>
  <c r="M1723" i="9"/>
  <c r="L1723" i="9"/>
  <c r="K1723" i="9"/>
  <c r="G1723" i="9"/>
  <c r="F1723" i="9"/>
  <c r="E1723" i="9"/>
  <c r="U1722" i="9"/>
  <c r="T1722" i="9"/>
  <c r="S1722" i="9"/>
  <c r="R1722" i="9"/>
  <c r="Q1722" i="9"/>
  <c r="P1722" i="9"/>
  <c r="O1722" i="9"/>
  <c r="N1722" i="9"/>
  <c r="M1722" i="9"/>
  <c r="L1722" i="9"/>
  <c r="K1722" i="9"/>
  <c r="G1722" i="9"/>
  <c r="F1722" i="9"/>
  <c r="E1722" i="9"/>
  <c r="U1721" i="9"/>
  <c r="T1721" i="9"/>
  <c r="S1721" i="9"/>
  <c r="R1721" i="9"/>
  <c r="Q1721" i="9"/>
  <c r="P1721" i="9"/>
  <c r="O1721" i="9"/>
  <c r="N1721" i="9"/>
  <c r="M1721" i="9"/>
  <c r="L1721" i="9"/>
  <c r="K1721" i="9"/>
  <c r="G1721" i="9"/>
  <c r="F1721" i="9"/>
  <c r="E1721" i="9"/>
  <c r="U1720" i="9"/>
  <c r="T1720" i="9"/>
  <c r="S1720" i="9"/>
  <c r="R1720" i="9"/>
  <c r="Q1720" i="9"/>
  <c r="P1720" i="9"/>
  <c r="O1720" i="9"/>
  <c r="N1720" i="9"/>
  <c r="M1720" i="9"/>
  <c r="L1720" i="9"/>
  <c r="K1720" i="9"/>
  <c r="G1720" i="9"/>
  <c r="F1720" i="9"/>
  <c r="E1720" i="9"/>
  <c r="U1719" i="9"/>
  <c r="T1719" i="9"/>
  <c r="S1719" i="9"/>
  <c r="R1719" i="9"/>
  <c r="Q1719" i="9"/>
  <c r="P1719" i="9"/>
  <c r="O1719" i="9"/>
  <c r="N1719" i="9"/>
  <c r="M1719" i="9"/>
  <c r="L1719" i="9"/>
  <c r="K1719" i="9"/>
  <c r="G1719" i="9"/>
  <c r="F1719" i="9"/>
  <c r="E1719" i="9"/>
  <c r="U1718" i="9"/>
  <c r="T1718" i="9"/>
  <c r="S1718" i="9"/>
  <c r="R1718" i="9"/>
  <c r="Q1718" i="9"/>
  <c r="P1718" i="9"/>
  <c r="O1718" i="9"/>
  <c r="N1718" i="9"/>
  <c r="M1718" i="9"/>
  <c r="L1718" i="9"/>
  <c r="K1718" i="9"/>
  <c r="G1718" i="9"/>
  <c r="F1718" i="9"/>
  <c r="E1718" i="9"/>
  <c r="U1717" i="9"/>
  <c r="T1717" i="9"/>
  <c r="S1717" i="9"/>
  <c r="R1717" i="9"/>
  <c r="Q1717" i="9"/>
  <c r="P1717" i="9"/>
  <c r="O1717" i="9"/>
  <c r="N1717" i="9"/>
  <c r="M1717" i="9"/>
  <c r="L1717" i="9"/>
  <c r="K1717" i="9"/>
  <c r="G1717" i="9"/>
  <c r="F1717" i="9"/>
  <c r="E1717" i="9"/>
  <c r="U1716" i="9"/>
  <c r="T1716" i="9"/>
  <c r="S1716" i="9"/>
  <c r="R1716" i="9"/>
  <c r="Q1716" i="9"/>
  <c r="P1716" i="9"/>
  <c r="O1716" i="9"/>
  <c r="N1716" i="9"/>
  <c r="M1716" i="9"/>
  <c r="L1716" i="9"/>
  <c r="K1716" i="9"/>
  <c r="G1716" i="9"/>
  <c r="F1716" i="9"/>
  <c r="E1716" i="9"/>
  <c r="U1715" i="9"/>
  <c r="T1715" i="9"/>
  <c r="S1715" i="9"/>
  <c r="R1715" i="9"/>
  <c r="Q1715" i="9"/>
  <c r="P1715" i="9"/>
  <c r="O1715" i="9"/>
  <c r="N1715" i="9"/>
  <c r="M1715" i="9"/>
  <c r="L1715" i="9"/>
  <c r="K1715" i="9"/>
  <c r="G1715" i="9"/>
  <c r="F1715" i="9"/>
  <c r="E1715" i="9"/>
  <c r="U1714" i="9"/>
  <c r="T1714" i="9"/>
  <c r="S1714" i="9"/>
  <c r="R1714" i="9"/>
  <c r="Q1714" i="9"/>
  <c r="P1714" i="9"/>
  <c r="O1714" i="9"/>
  <c r="N1714" i="9"/>
  <c r="M1714" i="9"/>
  <c r="L1714" i="9"/>
  <c r="K1714" i="9"/>
  <c r="G1714" i="9"/>
  <c r="F1714" i="9"/>
  <c r="E1714" i="9"/>
  <c r="U1713" i="9"/>
  <c r="T1713" i="9"/>
  <c r="S1713" i="9"/>
  <c r="R1713" i="9"/>
  <c r="Q1713" i="9"/>
  <c r="P1713" i="9"/>
  <c r="O1713" i="9"/>
  <c r="N1713" i="9"/>
  <c r="M1713" i="9"/>
  <c r="L1713" i="9"/>
  <c r="K1713" i="9"/>
  <c r="G1713" i="9"/>
  <c r="F1713" i="9"/>
  <c r="E1713" i="9"/>
  <c r="U1712" i="9"/>
  <c r="T1712" i="9"/>
  <c r="S1712" i="9"/>
  <c r="R1712" i="9"/>
  <c r="Q1712" i="9"/>
  <c r="P1712" i="9"/>
  <c r="O1712" i="9"/>
  <c r="N1712" i="9"/>
  <c r="M1712" i="9"/>
  <c r="L1712" i="9"/>
  <c r="K1712" i="9"/>
  <c r="G1712" i="9"/>
  <c r="F1712" i="9"/>
  <c r="E1712" i="9"/>
  <c r="U1711" i="9"/>
  <c r="T1711" i="9"/>
  <c r="S1711" i="9"/>
  <c r="R1711" i="9"/>
  <c r="Q1711" i="9"/>
  <c r="P1711" i="9"/>
  <c r="O1711" i="9"/>
  <c r="N1711" i="9"/>
  <c r="M1711" i="9"/>
  <c r="L1711" i="9"/>
  <c r="K1711" i="9"/>
  <c r="G1711" i="9"/>
  <c r="F1711" i="9"/>
  <c r="E1711" i="9"/>
  <c r="U1710" i="9"/>
  <c r="T1710" i="9"/>
  <c r="S1710" i="9"/>
  <c r="R1710" i="9"/>
  <c r="Q1710" i="9"/>
  <c r="P1710" i="9"/>
  <c r="O1710" i="9"/>
  <c r="N1710" i="9"/>
  <c r="M1710" i="9"/>
  <c r="L1710" i="9"/>
  <c r="K1710" i="9"/>
  <c r="G1710" i="9"/>
  <c r="F1710" i="9"/>
  <c r="E1710" i="9"/>
  <c r="U1709" i="9"/>
  <c r="T1709" i="9"/>
  <c r="S1709" i="9"/>
  <c r="R1709" i="9"/>
  <c r="Q1709" i="9"/>
  <c r="P1709" i="9"/>
  <c r="O1709" i="9"/>
  <c r="N1709" i="9"/>
  <c r="M1709" i="9"/>
  <c r="L1709" i="9"/>
  <c r="K1709" i="9"/>
  <c r="G1709" i="9"/>
  <c r="F1709" i="9"/>
  <c r="E1709" i="9"/>
  <c r="U1708" i="9"/>
  <c r="T1708" i="9"/>
  <c r="S1708" i="9"/>
  <c r="R1708" i="9"/>
  <c r="Q1708" i="9"/>
  <c r="P1708" i="9"/>
  <c r="O1708" i="9"/>
  <c r="N1708" i="9"/>
  <c r="M1708" i="9"/>
  <c r="L1708" i="9"/>
  <c r="K1708" i="9"/>
  <c r="G1708" i="9"/>
  <c r="F1708" i="9"/>
  <c r="E1708" i="9"/>
  <c r="U1707" i="9"/>
  <c r="T1707" i="9"/>
  <c r="S1707" i="9"/>
  <c r="R1707" i="9"/>
  <c r="Q1707" i="9"/>
  <c r="P1707" i="9"/>
  <c r="O1707" i="9"/>
  <c r="N1707" i="9"/>
  <c r="M1707" i="9"/>
  <c r="L1707" i="9"/>
  <c r="K1707" i="9"/>
  <c r="G1707" i="9"/>
  <c r="F1707" i="9"/>
  <c r="E1707" i="9"/>
  <c r="U1706" i="9"/>
  <c r="T1706" i="9"/>
  <c r="S1706" i="9"/>
  <c r="R1706" i="9"/>
  <c r="Q1706" i="9"/>
  <c r="P1706" i="9"/>
  <c r="O1706" i="9"/>
  <c r="N1706" i="9"/>
  <c r="M1706" i="9"/>
  <c r="L1706" i="9"/>
  <c r="K1706" i="9"/>
  <c r="G1706" i="9"/>
  <c r="F1706" i="9"/>
  <c r="E1706" i="9"/>
  <c r="U1705" i="9"/>
  <c r="T1705" i="9"/>
  <c r="S1705" i="9"/>
  <c r="R1705" i="9"/>
  <c r="Q1705" i="9"/>
  <c r="P1705" i="9"/>
  <c r="O1705" i="9"/>
  <c r="N1705" i="9"/>
  <c r="M1705" i="9"/>
  <c r="L1705" i="9"/>
  <c r="K1705" i="9"/>
  <c r="G1705" i="9"/>
  <c r="F1705" i="9"/>
  <c r="E1705" i="9"/>
  <c r="U1704" i="9"/>
  <c r="T1704" i="9"/>
  <c r="S1704" i="9"/>
  <c r="R1704" i="9"/>
  <c r="Q1704" i="9"/>
  <c r="P1704" i="9"/>
  <c r="O1704" i="9"/>
  <c r="N1704" i="9"/>
  <c r="M1704" i="9"/>
  <c r="L1704" i="9"/>
  <c r="K1704" i="9"/>
  <c r="G1704" i="9"/>
  <c r="F1704" i="9"/>
  <c r="E1704" i="9"/>
  <c r="U1703" i="9"/>
  <c r="T1703" i="9"/>
  <c r="S1703" i="9"/>
  <c r="R1703" i="9"/>
  <c r="Q1703" i="9"/>
  <c r="P1703" i="9"/>
  <c r="O1703" i="9"/>
  <c r="N1703" i="9"/>
  <c r="M1703" i="9"/>
  <c r="L1703" i="9"/>
  <c r="K1703" i="9"/>
  <c r="G1703" i="9"/>
  <c r="F1703" i="9"/>
  <c r="E1703" i="9"/>
  <c r="U1702" i="9"/>
  <c r="T1702" i="9"/>
  <c r="S1702" i="9"/>
  <c r="R1702" i="9"/>
  <c r="Q1702" i="9"/>
  <c r="P1702" i="9"/>
  <c r="O1702" i="9"/>
  <c r="N1702" i="9"/>
  <c r="M1702" i="9"/>
  <c r="L1702" i="9"/>
  <c r="K1702" i="9"/>
  <c r="G1702" i="9"/>
  <c r="F1702" i="9"/>
  <c r="E1702" i="9"/>
  <c r="U1701" i="9"/>
  <c r="T1701" i="9"/>
  <c r="S1701" i="9"/>
  <c r="R1701" i="9"/>
  <c r="Q1701" i="9"/>
  <c r="P1701" i="9"/>
  <c r="O1701" i="9"/>
  <c r="N1701" i="9"/>
  <c r="M1701" i="9"/>
  <c r="L1701" i="9"/>
  <c r="K1701" i="9"/>
  <c r="G1701" i="9"/>
  <c r="F1701" i="9"/>
  <c r="E1701" i="9"/>
  <c r="U1700" i="9"/>
  <c r="T1700" i="9"/>
  <c r="S1700" i="9"/>
  <c r="R1700" i="9"/>
  <c r="Q1700" i="9"/>
  <c r="P1700" i="9"/>
  <c r="O1700" i="9"/>
  <c r="N1700" i="9"/>
  <c r="M1700" i="9"/>
  <c r="L1700" i="9"/>
  <c r="K1700" i="9"/>
  <c r="G1700" i="9"/>
  <c r="F1700" i="9"/>
  <c r="E1700" i="9"/>
  <c r="U1699" i="9"/>
  <c r="T1699" i="9"/>
  <c r="S1699" i="9"/>
  <c r="R1699" i="9"/>
  <c r="Q1699" i="9"/>
  <c r="P1699" i="9"/>
  <c r="O1699" i="9"/>
  <c r="N1699" i="9"/>
  <c r="M1699" i="9"/>
  <c r="L1699" i="9"/>
  <c r="K1699" i="9"/>
  <c r="G1699" i="9"/>
  <c r="F1699" i="9"/>
  <c r="E1699" i="9"/>
  <c r="U1698" i="9"/>
  <c r="T1698" i="9"/>
  <c r="S1698" i="9"/>
  <c r="R1698" i="9"/>
  <c r="Q1698" i="9"/>
  <c r="P1698" i="9"/>
  <c r="O1698" i="9"/>
  <c r="N1698" i="9"/>
  <c r="M1698" i="9"/>
  <c r="L1698" i="9"/>
  <c r="K1698" i="9"/>
  <c r="G1698" i="9"/>
  <c r="F1698" i="9"/>
  <c r="E1698" i="9"/>
  <c r="U1697" i="9"/>
  <c r="T1697" i="9"/>
  <c r="S1697" i="9"/>
  <c r="R1697" i="9"/>
  <c r="Q1697" i="9"/>
  <c r="P1697" i="9"/>
  <c r="O1697" i="9"/>
  <c r="N1697" i="9"/>
  <c r="M1697" i="9"/>
  <c r="L1697" i="9"/>
  <c r="K1697" i="9"/>
  <c r="G1697" i="9"/>
  <c r="F1697" i="9"/>
  <c r="E1697" i="9"/>
  <c r="U1696" i="9"/>
  <c r="T1696" i="9"/>
  <c r="S1696" i="9"/>
  <c r="R1696" i="9"/>
  <c r="Q1696" i="9"/>
  <c r="P1696" i="9"/>
  <c r="O1696" i="9"/>
  <c r="N1696" i="9"/>
  <c r="M1696" i="9"/>
  <c r="L1696" i="9"/>
  <c r="K1696" i="9"/>
  <c r="G1696" i="9"/>
  <c r="F1696" i="9"/>
  <c r="E1696" i="9"/>
  <c r="U1695" i="9"/>
  <c r="T1695" i="9"/>
  <c r="S1695" i="9"/>
  <c r="R1695" i="9"/>
  <c r="Q1695" i="9"/>
  <c r="P1695" i="9"/>
  <c r="O1695" i="9"/>
  <c r="N1695" i="9"/>
  <c r="M1695" i="9"/>
  <c r="L1695" i="9"/>
  <c r="K1695" i="9"/>
  <c r="G1695" i="9"/>
  <c r="F1695" i="9"/>
  <c r="E1695" i="9"/>
  <c r="U1694" i="9"/>
  <c r="T1694" i="9"/>
  <c r="S1694" i="9"/>
  <c r="R1694" i="9"/>
  <c r="Q1694" i="9"/>
  <c r="P1694" i="9"/>
  <c r="O1694" i="9"/>
  <c r="N1694" i="9"/>
  <c r="M1694" i="9"/>
  <c r="L1694" i="9"/>
  <c r="K1694" i="9"/>
  <c r="G1694" i="9"/>
  <c r="F1694" i="9"/>
  <c r="E1694" i="9"/>
  <c r="U1693" i="9"/>
  <c r="T1693" i="9"/>
  <c r="S1693" i="9"/>
  <c r="R1693" i="9"/>
  <c r="Q1693" i="9"/>
  <c r="P1693" i="9"/>
  <c r="O1693" i="9"/>
  <c r="N1693" i="9"/>
  <c r="M1693" i="9"/>
  <c r="L1693" i="9"/>
  <c r="K1693" i="9"/>
  <c r="G1693" i="9"/>
  <c r="F1693" i="9"/>
  <c r="E1693" i="9"/>
  <c r="U1692" i="9"/>
  <c r="T1692" i="9"/>
  <c r="S1692" i="9"/>
  <c r="R1692" i="9"/>
  <c r="Q1692" i="9"/>
  <c r="P1692" i="9"/>
  <c r="O1692" i="9"/>
  <c r="N1692" i="9"/>
  <c r="M1692" i="9"/>
  <c r="L1692" i="9"/>
  <c r="K1692" i="9"/>
  <c r="G1692" i="9"/>
  <c r="F1692" i="9"/>
  <c r="E1692" i="9"/>
  <c r="U1691" i="9"/>
  <c r="T1691" i="9"/>
  <c r="S1691" i="9"/>
  <c r="R1691" i="9"/>
  <c r="Q1691" i="9"/>
  <c r="P1691" i="9"/>
  <c r="O1691" i="9"/>
  <c r="N1691" i="9"/>
  <c r="M1691" i="9"/>
  <c r="L1691" i="9"/>
  <c r="K1691" i="9"/>
  <c r="G1691" i="9"/>
  <c r="F1691" i="9"/>
  <c r="E1691" i="9"/>
  <c r="U1690" i="9"/>
  <c r="T1690" i="9"/>
  <c r="S1690" i="9"/>
  <c r="R1690" i="9"/>
  <c r="Q1690" i="9"/>
  <c r="P1690" i="9"/>
  <c r="O1690" i="9"/>
  <c r="N1690" i="9"/>
  <c r="M1690" i="9"/>
  <c r="L1690" i="9"/>
  <c r="K1690" i="9"/>
  <c r="G1690" i="9"/>
  <c r="F1690" i="9"/>
  <c r="E1690" i="9"/>
  <c r="U1689" i="9"/>
  <c r="T1689" i="9"/>
  <c r="S1689" i="9"/>
  <c r="R1689" i="9"/>
  <c r="Q1689" i="9"/>
  <c r="P1689" i="9"/>
  <c r="O1689" i="9"/>
  <c r="N1689" i="9"/>
  <c r="M1689" i="9"/>
  <c r="L1689" i="9"/>
  <c r="K1689" i="9"/>
  <c r="G1689" i="9"/>
  <c r="F1689" i="9"/>
  <c r="E1689" i="9"/>
  <c r="U1688" i="9"/>
  <c r="T1688" i="9"/>
  <c r="S1688" i="9"/>
  <c r="R1688" i="9"/>
  <c r="Q1688" i="9"/>
  <c r="P1688" i="9"/>
  <c r="O1688" i="9"/>
  <c r="N1688" i="9"/>
  <c r="M1688" i="9"/>
  <c r="L1688" i="9"/>
  <c r="K1688" i="9"/>
  <c r="G1688" i="9"/>
  <c r="F1688" i="9"/>
  <c r="E1688" i="9"/>
  <c r="F1681" i="9"/>
  <c r="F1680" i="9"/>
  <c r="F1679" i="9"/>
  <c r="F1678" i="9"/>
  <c r="F1677" i="9"/>
  <c r="F1676" i="9"/>
  <c r="F1675" i="9"/>
  <c r="F1674" i="9"/>
  <c r="F1673" i="9"/>
  <c r="F1672" i="9"/>
  <c r="F1671" i="9"/>
  <c r="F1670" i="9"/>
  <c r="N1666" i="9"/>
  <c r="M1666" i="9"/>
  <c r="L1666" i="9"/>
  <c r="K1666" i="9"/>
  <c r="G1666" i="9"/>
  <c r="F1666" i="9"/>
  <c r="E1666" i="9"/>
  <c r="N1665" i="9"/>
  <c r="M1665" i="9"/>
  <c r="L1665" i="9"/>
  <c r="K1665" i="9"/>
  <c r="G1665" i="9"/>
  <c r="F1665" i="9"/>
  <c r="E1665" i="9"/>
  <c r="N1664" i="9"/>
  <c r="M1664" i="9"/>
  <c r="L1664" i="9"/>
  <c r="K1664" i="9"/>
  <c r="G1664" i="9"/>
  <c r="F1664" i="9"/>
  <c r="E1664" i="9"/>
  <c r="N1663" i="9"/>
  <c r="M1663" i="9"/>
  <c r="L1663" i="9"/>
  <c r="K1663" i="9"/>
  <c r="G1663" i="9"/>
  <c r="F1663" i="9"/>
  <c r="E1663" i="9"/>
  <c r="N1662" i="9"/>
  <c r="M1662" i="9"/>
  <c r="L1662" i="9"/>
  <c r="K1662" i="9"/>
  <c r="G1662" i="9"/>
  <c r="F1662" i="9"/>
  <c r="E1662" i="9"/>
  <c r="N1661" i="9"/>
  <c r="M1661" i="9"/>
  <c r="L1661" i="9"/>
  <c r="K1661" i="9"/>
  <c r="G1661" i="9"/>
  <c r="F1661" i="9"/>
  <c r="E1661" i="9"/>
  <c r="N1660" i="9"/>
  <c r="M1660" i="9"/>
  <c r="L1660" i="9"/>
  <c r="K1660" i="9"/>
  <c r="G1660" i="9"/>
  <c r="F1660" i="9"/>
  <c r="E1660" i="9"/>
  <c r="N1659" i="9"/>
  <c r="M1659" i="9"/>
  <c r="L1659" i="9"/>
  <c r="K1659" i="9"/>
  <c r="G1659" i="9"/>
  <c r="F1659" i="9"/>
  <c r="E1659" i="9"/>
  <c r="N1658" i="9"/>
  <c r="M1658" i="9"/>
  <c r="L1658" i="9"/>
  <c r="K1658" i="9"/>
  <c r="G1658" i="9"/>
  <c r="F1658" i="9"/>
  <c r="E1658" i="9"/>
  <c r="N1657" i="9"/>
  <c r="M1657" i="9"/>
  <c r="L1657" i="9"/>
  <c r="K1657" i="9"/>
  <c r="G1657" i="9"/>
  <c r="F1657" i="9"/>
  <c r="E1657" i="9"/>
  <c r="N1656" i="9"/>
  <c r="M1656" i="9"/>
  <c r="L1656" i="9"/>
  <c r="K1656" i="9"/>
  <c r="G1656" i="9"/>
  <c r="F1656" i="9"/>
  <c r="E1656" i="9"/>
  <c r="N1655" i="9"/>
  <c r="M1655" i="9"/>
  <c r="L1655" i="9"/>
  <c r="K1655" i="9"/>
  <c r="G1655" i="9"/>
  <c r="F1655" i="9"/>
  <c r="E1655" i="9"/>
  <c r="N1654" i="9"/>
  <c r="M1654" i="9"/>
  <c r="L1654" i="9"/>
  <c r="K1654" i="9"/>
  <c r="G1654" i="9"/>
  <c r="F1654" i="9"/>
  <c r="E1654" i="9"/>
  <c r="N1653" i="9"/>
  <c r="M1653" i="9"/>
  <c r="L1653" i="9"/>
  <c r="K1653" i="9"/>
  <c r="G1653" i="9"/>
  <c r="F1653" i="9"/>
  <c r="E1653" i="9"/>
  <c r="N1652" i="9"/>
  <c r="M1652" i="9"/>
  <c r="L1652" i="9"/>
  <c r="K1652" i="9"/>
  <c r="G1652" i="9"/>
  <c r="F1652" i="9"/>
  <c r="E1652" i="9"/>
  <c r="N1651" i="9"/>
  <c r="M1651" i="9"/>
  <c r="L1651" i="9"/>
  <c r="K1651" i="9"/>
  <c r="G1651" i="9"/>
  <c r="F1651" i="9"/>
  <c r="E1651" i="9"/>
  <c r="N1650" i="9"/>
  <c r="M1650" i="9"/>
  <c r="L1650" i="9"/>
  <c r="K1650" i="9"/>
  <c r="G1650" i="9"/>
  <c r="F1650" i="9"/>
  <c r="E1650" i="9"/>
  <c r="N1649" i="9"/>
  <c r="M1649" i="9"/>
  <c r="L1649" i="9"/>
  <c r="K1649" i="9"/>
  <c r="G1649" i="9"/>
  <c r="F1649" i="9"/>
  <c r="E1649" i="9"/>
  <c r="N1648" i="9"/>
  <c r="M1648" i="9"/>
  <c r="L1648" i="9"/>
  <c r="K1648" i="9"/>
  <c r="G1648" i="9"/>
  <c r="F1648" i="9"/>
  <c r="E1648" i="9"/>
  <c r="N1647" i="9"/>
  <c r="M1647" i="9"/>
  <c r="L1647" i="9"/>
  <c r="K1647" i="9"/>
  <c r="G1647" i="9"/>
  <c r="F1647" i="9"/>
  <c r="E1647" i="9"/>
  <c r="N1646" i="9"/>
  <c r="M1646" i="9"/>
  <c r="L1646" i="9"/>
  <c r="K1646" i="9"/>
  <c r="G1646" i="9"/>
  <c r="F1646" i="9"/>
  <c r="E1646" i="9"/>
  <c r="N1645" i="9"/>
  <c r="M1645" i="9"/>
  <c r="L1645" i="9"/>
  <c r="K1645" i="9"/>
  <c r="G1645" i="9"/>
  <c r="F1645" i="9"/>
  <c r="E1645" i="9"/>
  <c r="N1644" i="9"/>
  <c r="M1644" i="9"/>
  <c r="L1644" i="9"/>
  <c r="K1644" i="9"/>
  <c r="G1644" i="9"/>
  <c r="F1644" i="9"/>
  <c r="E1644" i="9"/>
  <c r="N1643" i="9"/>
  <c r="M1643" i="9"/>
  <c r="L1643" i="9"/>
  <c r="K1643" i="9"/>
  <c r="G1643" i="9"/>
  <c r="F1643" i="9"/>
  <c r="E1643" i="9"/>
  <c r="N1642" i="9"/>
  <c r="M1642" i="9"/>
  <c r="L1642" i="9"/>
  <c r="K1642" i="9"/>
  <c r="G1642" i="9"/>
  <c r="F1642" i="9"/>
  <c r="E1642" i="9"/>
  <c r="N1641" i="9"/>
  <c r="M1641" i="9"/>
  <c r="L1641" i="9"/>
  <c r="K1641" i="9"/>
  <c r="G1641" i="9"/>
  <c r="F1641" i="9"/>
  <c r="E1641" i="9"/>
  <c r="N1640" i="9"/>
  <c r="M1640" i="9"/>
  <c r="L1640" i="9"/>
  <c r="K1640" i="9"/>
  <c r="G1640" i="9"/>
  <c r="F1640" i="9"/>
  <c r="E1640" i="9"/>
  <c r="N1639" i="9"/>
  <c r="M1639" i="9"/>
  <c r="L1639" i="9"/>
  <c r="K1639" i="9"/>
  <c r="G1639" i="9"/>
  <c r="F1639" i="9"/>
  <c r="E1639" i="9"/>
  <c r="N1638" i="9"/>
  <c r="M1638" i="9"/>
  <c r="L1638" i="9"/>
  <c r="K1638" i="9"/>
  <c r="G1638" i="9"/>
  <c r="F1638" i="9"/>
  <c r="E1638" i="9"/>
  <c r="N1637" i="9"/>
  <c r="M1637" i="9"/>
  <c r="L1637" i="9"/>
  <c r="K1637" i="9"/>
  <c r="G1637" i="9"/>
  <c r="F1637" i="9"/>
  <c r="E1637" i="9"/>
  <c r="N1636" i="9"/>
  <c r="M1636" i="9"/>
  <c r="L1636" i="9"/>
  <c r="K1636" i="9"/>
  <c r="G1636" i="9"/>
  <c r="F1636" i="9"/>
  <c r="E1636" i="9"/>
  <c r="N1635" i="9"/>
  <c r="M1635" i="9"/>
  <c r="L1635" i="9"/>
  <c r="K1635" i="9"/>
  <c r="G1635" i="9"/>
  <c r="F1635" i="9"/>
  <c r="E1635" i="9"/>
  <c r="N1634" i="9"/>
  <c r="M1634" i="9"/>
  <c r="L1634" i="9"/>
  <c r="K1634" i="9"/>
  <c r="G1634" i="9"/>
  <c r="F1634" i="9"/>
  <c r="E1634" i="9"/>
  <c r="N1633" i="9"/>
  <c r="M1633" i="9"/>
  <c r="L1633" i="9"/>
  <c r="K1633" i="9"/>
  <c r="G1633" i="9"/>
  <c r="F1633" i="9"/>
  <c r="E1633" i="9"/>
  <c r="N1632" i="9"/>
  <c r="M1632" i="9"/>
  <c r="L1632" i="9"/>
  <c r="K1632" i="9"/>
  <c r="G1632" i="9"/>
  <c r="F1632" i="9"/>
  <c r="E1632" i="9"/>
  <c r="N1631" i="9"/>
  <c r="M1631" i="9"/>
  <c r="L1631" i="9"/>
  <c r="K1631" i="9"/>
  <c r="G1631" i="9"/>
  <c r="F1631" i="9"/>
  <c r="E1631" i="9"/>
  <c r="N1630" i="9"/>
  <c r="M1630" i="9"/>
  <c r="L1630" i="9"/>
  <c r="K1630" i="9"/>
  <c r="G1630" i="9"/>
  <c r="F1630" i="9"/>
  <c r="E1630" i="9"/>
  <c r="N1629" i="9"/>
  <c r="M1629" i="9"/>
  <c r="L1629" i="9"/>
  <c r="K1629" i="9"/>
  <c r="G1629" i="9"/>
  <c r="F1629" i="9"/>
  <c r="E1629" i="9"/>
  <c r="N1628" i="9"/>
  <c r="M1628" i="9"/>
  <c r="L1628" i="9"/>
  <c r="K1628" i="9"/>
  <c r="G1628" i="9"/>
  <c r="F1628" i="9"/>
  <c r="E1628" i="9"/>
  <c r="N1627" i="9"/>
  <c r="M1627" i="9"/>
  <c r="L1627" i="9"/>
  <c r="K1627" i="9"/>
  <c r="G1627" i="9"/>
  <c r="F1627" i="9"/>
  <c r="E1627" i="9"/>
  <c r="N1626" i="9"/>
  <c r="M1626" i="9"/>
  <c r="L1626" i="9"/>
  <c r="K1626" i="9"/>
  <c r="G1626" i="9"/>
  <c r="F1626" i="9"/>
  <c r="E1626" i="9"/>
  <c r="N1625" i="9"/>
  <c r="M1625" i="9"/>
  <c r="L1625" i="9"/>
  <c r="K1625" i="9"/>
  <c r="G1625" i="9"/>
  <c r="F1625" i="9"/>
  <c r="E1625" i="9"/>
  <c r="N1624" i="9"/>
  <c r="M1624" i="9"/>
  <c r="L1624" i="9"/>
  <c r="K1624" i="9"/>
  <c r="G1624" i="9"/>
  <c r="F1624" i="9"/>
  <c r="E1624" i="9"/>
  <c r="N1623" i="9"/>
  <c r="M1623" i="9"/>
  <c r="L1623" i="9"/>
  <c r="K1623" i="9"/>
  <c r="G1623" i="9"/>
  <c r="F1623" i="9"/>
  <c r="E1623" i="9"/>
  <c r="N1622" i="9"/>
  <c r="M1622" i="9"/>
  <c r="L1622" i="9"/>
  <c r="K1622" i="9"/>
  <c r="G1622" i="9"/>
  <c r="F1622" i="9"/>
  <c r="E1622" i="9"/>
  <c r="N1621" i="9"/>
  <c r="M1621" i="9"/>
  <c r="L1621" i="9"/>
  <c r="K1621" i="9"/>
  <c r="G1621" i="9"/>
  <c r="F1621" i="9"/>
  <c r="E1621" i="9"/>
  <c r="N1620" i="9"/>
  <c r="M1620" i="9"/>
  <c r="L1620" i="9"/>
  <c r="K1620" i="9"/>
  <c r="G1620" i="9"/>
  <c r="F1620" i="9"/>
  <c r="E1620" i="9"/>
  <c r="N1619" i="9"/>
  <c r="M1619" i="9"/>
  <c r="L1619" i="9"/>
  <c r="K1619" i="9"/>
  <c r="G1619" i="9"/>
  <c r="F1619" i="9"/>
  <c r="E1619" i="9"/>
  <c r="N1618" i="9"/>
  <c r="M1618" i="9"/>
  <c r="L1618" i="9"/>
  <c r="K1618" i="9"/>
  <c r="G1618" i="9"/>
  <c r="F1618" i="9"/>
  <c r="E1618" i="9"/>
  <c r="N1617" i="9"/>
  <c r="M1617" i="9"/>
  <c r="L1617" i="9"/>
  <c r="K1617" i="9"/>
  <c r="G1617" i="9"/>
  <c r="F1617" i="9"/>
  <c r="E1617" i="9"/>
  <c r="N1616" i="9"/>
  <c r="M1616" i="9"/>
  <c r="L1616" i="9"/>
  <c r="K1616" i="9"/>
  <c r="G1616" i="9"/>
  <c r="F1616" i="9"/>
  <c r="E1616" i="9"/>
  <c r="N1615" i="9"/>
  <c r="M1615" i="9"/>
  <c r="L1615" i="9"/>
  <c r="K1615" i="9"/>
  <c r="G1615" i="9"/>
  <c r="F1615" i="9"/>
  <c r="E1615" i="9"/>
  <c r="N1614" i="9"/>
  <c r="M1614" i="9"/>
  <c r="L1614" i="9"/>
  <c r="K1614" i="9"/>
  <c r="G1614" i="9"/>
  <c r="F1614" i="9"/>
  <c r="E1614" i="9"/>
  <c r="N1613" i="9"/>
  <c r="M1613" i="9"/>
  <c r="L1613" i="9"/>
  <c r="K1613" i="9"/>
  <c r="G1613" i="9"/>
  <c r="F1613" i="9"/>
  <c r="E1613" i="9"/>
  <c r="N1612" i="9"/>
  <c r="M1612" i="9"/>
  <c r="L1612" i="9"/>
  <c r="K1612" i="9"/>
  <c r="G1612" i="9"/>
  <c r="F1612" i="9"/>
  <c r="E1612" i="9"/>
  <c r="N1611" i="9"/>
  <c r="M1611" i="9"/>
  <c r="L1611" i="9"/>
  <c r="K1611" i="9"/>
  <c r="G1611" i="9"/>
  <c r="F1611" i="9"/>
  <c r="E1611" i="9"/>
  <c r="N1610" i="9"/>
  <c r="M1610" i="9"/>
  <c r="L1610" i="9"/>
  <c r="K1610" i="9"/>
  <c r="G1610" i="9"/>
  <c r="F1610" i="9"/>
  <c r="E1610" i="9"/>
  <c r="N1609" i="9"/>
  <c r="M1609" i="9"/>
  <c r="L1609" i="9"/>
  <c r="K1609" i="9"/>
  <c r="G1609" i="9"/>
  <c r="F1609" i="9"/>
  <c r="E1609" i="9"/>
  <c r="N1608" i="9"/>
  <c r="M1608" i="9"/>
  <c r="L1608" i="9"/>
  <c r="K1608" i="9"/>
  <c r="G1608" i="9"/>
  <c r="F1608" i="9"/>
  <c r="E1608" i="9"/>
  <c r="N1607" i="9"/>
  <c r="M1607" i="9"/>
  <c r="L1607" i="9"/>
  <c r="K1607" i="9"/>
  <c r="G1607" i="9"/>
  <c r="F1607" i="9"/>
  <c r="E1607" i="9"/>
  <c r="N1606" i="9"/>
  <c r="M1606" i="9"/>
  <c r="L1606" i="9"/>
  <c r="K1606" i="9"/>
  <c r="G1606" i="9"/>
  <c r="F1606" i="9"/>
  <c r="E1606" i="9"/>
  <c r="N1605" i="9"/>
  <c r="M1605" i="9"/>
  <c r="L1605" i="9"/>
  <c r="K1605" i="9"/>
  <c r="G1605" i="9"/>
  <c r="F1605" i="9"/>
  <c r="E1605" i="9"/>
  <c r="N1604" i="9"/>
  <c r="M1604" i="9"/>
  <c r="L1604" i="9"/>
  <c r="K1604" i="9"/>
  <c r="G1604" i="9"/>
  <c r="F1604" i="9"/>
  <c r="E1604" i="9"/>
  <c r="N1603" i="9"/>
  <c r="M1603" i="9"/>
  <c r="L1603" i="9"/>
  <c r="K1603" i="9"/>
  <c r="G1603" i="9"/>
  <c r="F1603" i="9"/>
  <c r="E1603" i="9"/>
  <c r="N1602" i="9"/>
  <c r="M1602" i="9"/>
  <c r="L1602" i="9"/>
  <c r="K1602" i="9"/>
  <c r="G1602" i="9"/>
  <c r="F1602" i="9"/>
  <c r="E1602" i="9"/>
  <c r="N1601" i="9"/>
  <c r="M1601" i="9"/>
  <c r="L1601" i="9"/>
  <c r="K1601" i="9"/>
  <c r="G1601" i="9"/>
  <c r="F1601" i="9"/>
  <c r="E1601" i="9"/>
  <c r="N1600" i="9"/>
  <c r="M1600" i="9"/>
  <c r="L1600" i="9"/>
  <c r="K1600" i="9"/>
  <c r="G1600" i="9"/>
  <c r="F1600" i="9"/>
  <c r="E1600" i="9"/>
  <c r="N1599" i="9"/>
  <c r="M1599" i="9"/>
  <c r="L1599" i="9"/>
  <c r="K1599" i="9"/>
  <c r="G1599" i="9"/>
  <c r="F1599" i="9"/>
  <c r="E1599" i="9"/>
  <c r="N1598" i="9"/>
  <c r="M1598" i="9"/>
  <c r="L1598" i="9"/>
  <c r="K1598" i="9"/>
  <c r="G1598" i="9"/>
  <c r="F1598" i="9"/>
  <c r="E1598" i="9"/>
  <c r="N1597" i="9"/>
  <c r="M1597" i="9"/>
  <c r="L1597" i="9"/>
  <c r="K1597" i="9"/>
  <c r="G1597" i="9"/>
  <c r="F1597" i="9"/>
  <c r="E1597" i="9"/>
  <c r="N1596" i="9"/>
  <c r="M1596" i="9"/>
  <c r="L1596" i="9"/>
  <c r="K1596" i="9"/>
  <c r="G1596" i="9"/>
  <c r="F1596" i="9"/>
  <c r="E1596" i="9"/>
  <c r="N1595" i="9"/>
  <c r="M1595" i="9"/>
  <c r="L1595" i="9"/>
  <c r="K1595" i="9"/>
  <c r="G1595" i="9"/>
  <c r="F1595" i="9"/>
  <c r="E1595" i="9"/>
  <c r="N1594" i="9"/>
  <c r="M1594" i="9"/>
  <c r="L1594" i="9"/>
  <c r="K1594" i="9"/>
  <c r="G1594" i="9"/>
  <c r="F1594" i="9"/>
  <c r="E1594" i="9"/>
  <c r="N1593" i="9"/>
  <c r="M1593" i="9"/>
  <c r="L1593" i="9"/>
  <c r="K1593" i="9"/>
  <c r="G1593" i="9"/>
  <c r="F1593" i="9"/>
  <c r="E1593" i="9"/>
  <c r="N1592" i="9"/>
  <c r="M1592" i="9"/>
  <c r="L1592" i="9"/>
  <c r="K1592" i="9"/>
  <c r="G1592" i="9"/>
  <c r="F1592" i="9"/>
  <c r="E1592" i="9"/>
  <c r="N1591" i="9"/>
  <c r="M1591" i="9"/>
  <c r="L1591" i="9"/>
  <c r="K1591" i="9"/>
  <c r="G1591" i="9"/>
  <c r="F1591" i="9"/>
  <c r="E1591" i="9"/>
  <c r="N1590" i="9"/>
  <c r="M1590" i="9"/>
  <c r="L1590" i="9"/>
  <c r="K1590" i="9"/>
  <c r="G1590" i="9"/>
  <c r="F1590" i="9"/>
  <c r="E1590" i="9"/>
  <c r="N1589" i="9"/>
  <c r="M1589" i="9"/>
  <c r="L1589" i="9"/>
  <c r="K1589" i="9"/>
  <c r="G1589" i="9"/>
  <c r="F1589" i="9"/>
  <c r="E1589" i="9"/>
  <c r="N1588" i="9"/>
  <c r="M1588" i="9"/>
  <c r="L1588" i="9"/>
  <c r="K1588" i="9"/>
  <c r="G1588" i="9"/>
  <c r="F1588" i="9"/>
  <c r="E1588" i="9"/>
  <c r="N1587" i="9"/>
  <c r="M1587" i="9"/>
  <c r="L1587" i="9"/>
  <c r="K1587" i="9"/>
  <c r="G1587" i="9"/>
  <c r="F1587" i="9"/>
  <c r="E1587" i="9"/>
  <c r="N1586" i="9"/>
  <c r="M1586" i="9"/>
  <c r="L1586" i="9"/>
  <c r="K1586" i="9"/>
  <c r="G1586" i="9"/>
  <c r="F1586" i="9"/>
  <c r="E1586" i="9"/>
  <c r="N1585" i="9"/>
  <c r="M1585" i="9"/>
  <c r="L1585" i="9"/>
  <c r="K1585" i="9"/>
  <c r="G1585" i="9"/>
  <c r="F1585" i="9"/>
  <c r="E1585" i="9"/>
  <c r="N1584" i="9"/>
  <c r="M1584" i="9"/>
  <c r="L1584" i="9"/>
  <c r="K1584" i="9"/>
  <c r="G1584" i="9"/>
  <c r="F1584" i="9"/>
  <c r="E1584" i="9"/>
  <c r="N1583" i="9"/>
  <c r="M1583" i="9"/>
  <c r="L1583" i="9"/>
  <c r="K1583" i="9"/>
  <c r="G1583" i="9"/>
  <c r="F1583" i="9"/>
  <c r="E1583" i="9"/>
  <c r="N1582" i="9"/>
  <c r="M1582" i="9"/>
  <c r="L1582" i="9"/>
  <c r="K1582" i="9"/>
  <c r="G1582" i="9"/>
  <c r="F1582" i="9"/>
  <c r="E1582" i="9"/>
  <c r="N1581" i="9"/>
  <c r="M1581" i="9"/>
  <c r="L1581" i="9"/>
  <c r="K1581" i="9"/>
  <c r="G1581" i="9"/>
  <c r="F1581" i="9"/>
  <c r="E1581" i="9"/>
  <c r="N1580" i="9"/>
  <c r="M1580" i="9"/>
  <c r="L1580" i="9"/>
  <c r="K1580" i="9"/>
  <c r="G1580" i="9"/>
  <c r="F1580" i="9"/>
  <c r="E1580" i="9"/>
  <c r="N1579" i="9"/>
  <c r="M1579" i="9"/>
  <c r="L1579" i="9"/>
  <c r="K1579" i="9"/>
  <c r="G1579" i="9"/>
  <c r="F1579" i="9"/>
  <c r="E1579" i="9"/>
  <c r="N1578" i="9"/>
  <c r="M1578" i="9"/>
  <c r="L1578" i="9"/>
  <c r="K1578" i="9"/>
  <c r="G1578" i="9"/>
  <c r="F1578" i="9"/>
  <c r="E1578" i="9"/>
  <c r="N1577" i="9"/>
  <c r="M1577" i="9"/>
  <c r="L1577" i="9"/>
  <c r="K1577" i="9"/>
  <c r="G1577" i="9"/>
  <c r="F1577" i="9"/>
  <c r="E1577" i="9"/>
  <c r="N1576" i="9"/>
  <c r="M1576" i="9"/>
  <c r="L1576" i="9"/>
  <c r="K1576" i="9"/>
  <c r="G1576" i="9"/>
  <c r="F1576" i="9"/>
  <c r="E1576" i="9"/>
  <c r="N1575" i="9"/>
  <c r="M1575" i="9"/>
  <c r="L1575" i="9"/>
  <c r="K1575" i="9"/>
  <c r="G1575" i="9"/>
  <c r="F1575" i="9"/>
  <c r="E1575" i="9"/>
  <c r="N1574" i="9"/>
  <c r="M1574" i="9"/>
  <c r="L1574" i="9"/>
  <c r="K1574" i="9"/>
  <c r="G1574" i="9"/>
  <c r="F1574" i="9"/>
  <c r="E1574" i="9"/>
  <c r="N1573" i="9"/>
  <c r="M1573" i="9"/>
  <c r="L1573" i="9"/>
  <c r="K1573" i="9"/>
  <c r="G1573" i="9"/>
  <c r="F1573" i="9"/>
  <c r="E1573" i="9"/>
  <c r="N1572" i="9"/>
  <c r="M1572" i="9"/>
  <c r="L1572" i="9"/>
  <c r="K1572" i="9"/>
  <c r="G1572" i="9"/>
  <c r="F1572" i="9"/>
  <c r="E1572" i="9"/>
  <c r="N1571" i="9"/>
  <c r="M1571" i="9"/>
  <c r="L1571" i="9"/>
  <c r="K1571" i="9"/>
  <c r="G1571" i="9"/>
  <c r="F1571" i="9"/>
  <c r="E1571" i="9"/>
  <c r="N1570" i="9"/>
  <c r="M1570" i="9"/>
  <c r="L1570" i="9"/>
  <c r="K1570" i="9"/>
  <c r="G1570" i="9"/>
  <c r="F1570" i="9"/>
  <c r="E1570" i="9"/>
  <c r="N1569" i="9"/>
  <c r="M1569" i="9"/>
  <c r="L1569" i="9"/>
  <c r="K1569" i="9"/>
  <c r="G1569" i="9"/>
  <c r="F1569" i="9"/>
  <c r="E1569" i="9"/>
  <c r="N1568" i="9"/>
  <c r="M1568" i="9"/>
  <c r="L1568" i="9"/>
  <c r="K1568" i="9"/>
  <c r="G1568" i="9"/>
  <c r="F1568" i="9"/>
  <c r="E1568" i="9"/>
  <c r="N1567" i="9"/>
  <c r="M1567" i="9"/>
  <c r="L1567" i="9"/>
  <c r="K1567" i="9"/>
  <c r="G1567" i="9"/>
  <c r="F1567" i="9"/>
  <c r="E1567" i="9"/>
  <c r="N1566" i="9"/>
  <c r="M1566" i="9"/>
  <c r="L1566" i="9"/>
  <c r="K1566" i="9"/>
  <c r="G1566" i="9"/>
  <c r="F1566" i="9"/>
  <c r="E1566" i="9"/>
  <c r="N1565" i="9"/>
  <c r="M1565" i="9"/>
  <c r="L1565" i="9"/>
  <c r="K1565" i="9"/>
  <c r="G1565" i="9"/>
  <c r="F1565" i="9"/>
  <c r="E1565" i="9"/>
  <c r="N1564" i="9"/>
  <c r="M1564" i="9"/>
  <c r="L1564" i="9"/>
  <c r="K1564" i="9"/>
  <c r="G1564" i="9"/>
  <c r="F1564" i="9"/>
  <c r="E1564" i="9"/>
  <c r="N1563" i="9"/>
  <c r="M1563" i="9"/>
  <c r="L1563" i="9"/>
  <c r="K1563" i="9"/>
  <c r="G1563" i="9"/>
  <c r="F1563" i="9"/>
  <c r="E1563" i="9"/>
  <c r="N1562" i="9"/>
  <c r="M1562" i="9"/>
  <c r="L1562" i="9"/>
  <c r="K1562" i="9"/>
  <c r="G1562" i="9"/>
  <c r="F1562" i="9"/>
  <c r="E1562" i="9"/>
  <c r="N1561" i="9"/>
  <c r="M1561" i="9"/>
  <c r="L1561" i="9"/>
  <c r="K1561" i="9"/>
  <c r="G1561" i="9"/>
  <c r="F1561" i="9"/>
  <c r="E1561" i="9"/>
  <c r="N1560" i="9"/>
  <c r="M1560" i="9"/>
  <c r="L1560" i="9"/>
  <c r="K1560" i="9"/>
  <c r="G1560" i="9"/>
  <c r="F1560" i="9"/>
  <c r="E1560" i="9"/>
  <c r="N1559" i="9"/>
  <c r="M1559" i="9"/>
  <c r="L1559" i="9"/>
  <c r="K1559" i="9"/>
  <c r="G1559" i="9"/>
  <c r="F1559" i="9"/>
  <c r="E1559" i="9"/>
  <c r="N1558" i="9"/>
  <c r="M1558" i="9"/>
  <c r="L1558" i="9"/>
  <c r="K1558" i="9"/>
  <c r="G1558" i="9"/>
  <c r="F1558" i="9"/>
  <c r="E1558" i="9"/>
  <c r="N1557" i="9"/>
  <c r="M1557" i="9"/>
  <c r="L1557" i="9"/>
  <c r="K1557" i="9"/>
  <c r="G1557" i="9"/>
  <c r="F1557" i="9"/>
  <c r="E1557" i="9"/>
  <c r="N1556" i="9"/>
  <c r="M1556" i="9"/>
  <c r="L1556" i="9"/>
  <c r="K1556" i="9"/>
  <c r="G1556" i="9"/>
  <c r="F1556" i="9"/>
  <c r="E1556" i="9"/>
  <c r="N1555" i="9"/>
  <c r="M1555" i="9"/>
  <c r="L1555" i="9"/>
  <c r="K1555" i="9"/>
  <c r="G1555" i="9"/>
  <c r="F1555" i="9"/>
  <c r="E1555" i="9"/>
  <c r="N1554" i="9"/>
  <c r="M1554" i="9"/>
  <c r="L1554" i="9"/>
  <c r="K1554" i="9"/>
  <c r="G1554" i="9"/>
  <c r="F1554" i="9"/>
  <c r="E1554" i="9"/>
  <c r="N1553" i="9"/>
  <c r="M1553" i="9"/>
  <c r="L1553" i="9"/>
  <c r="K1553" i="9"/>
  <c r="G1553" i="9"/>
  <c r="F1553" i="9"/>
  <c r="E1553" i="9"/>
  <c r="N1552" i="9"/>
  <c r="M1552" i="9"/>
  <c r="L1552" i="9"/>
  <c r="K1552" i="9"/>
  <c r="G1552" i="9"/>
  <c r="F1552" i="9"/>
  <c r="E1552" i="9"/>
  <c r="N1551" i="9"/>
  <c r="M1551" i="9"/>
  <c r="L1551" i="9"/>
  <c r="K1551" i="9"/>
  <c r="G1551" i="9"/>
  <c r="F1551" i="9"/>
  <c r="E1551" i="9"/>
  <c r="N1550" i="9"/>
  <c r="M1550" i="9"/>
  <c r="L1550" i="9"/>
  <c r="K1550" i="9"/>
  <c r="G1550" i="9"/>
  <c r="F1550" i="9"/>
  <c r="E1550" i="9"/>
  <c r="N1549" i="9"/>
  <c r="M1549" i="9"/>
  <c r="L1549" i="9"/>
  <c r="K1549" i="9"/>
  <c r="G1549" i="9"/>
  <c r="F1549" i="9"/>
  <c r="E1549" i="9"/>
  <c r="N1548" i="9"/>
  <c r="M1548" i="9"/>
  <c r="L1548" i="9"/>
  <c r="K1548" i="9"/>
  <c r="G1548" i="9"/>
  <c r="F1548" i="9"/>
  <c r="E1548" i="9"/>
  <c r="N1547" i="9"/>
  <c r="M1547" i="9"/>
  <c r="L1547" i="9"/>
  <c r="K1547" i="9"/>
  <c r="G1547" i="9"/>
  <c r="F1547" i="9"/>
  <c r="E1547" i="9"/>
  <c r="N1546" i="9"/>
  <c r="M1546" i="9"/>
  <c r="L1546" i="9"/>
  <c r="K1546" i="9"/>
  <c r="G1546" i="9"/>
  <c r="F1546" i="9"/>
  <c r="E1546" i="9"/>
  <c r="N1545" i="9"/>
  <c r="M1545" i="9"/>
  <c r="L1545" i="9"/>
  <c r="K1545" i="9"/>
  <c r="G1545" i="9"/>
  <c r="F1545" i="9"/>
  <c r="E1545" i="9"/>
  <c r="N1544" i="9"/>
  <c r="M1544" i="9"/>
  <c r="L1544" i="9"/>
  <c r="K1544" i="9"/>
  <c r="G1544" i="9"/>
  <c r="F1544" i="9"/>
  <c r="E1544" i="9"/>
  <c r="N1543" i="9"/>
  <c r="M1543" i="9"/>
  <c r="L1543" i="9"/>
  <c r="K1543" i="9"/>
  <c r="G1543" i="9"/>
  <c r="F1543" i="9"/>
  <c r="E1543" i="9"/>
  <c r="N1542" i="9"/>
  <c r="M1542" i="9"/>
  <c r="L1542" i="9"/>
  <c r="K1542" i="9"/>
  <c r="G1542" i="9"/>
  <c r="F1542" i="9"/>
  <c r="E1542" i="9"/>
  <c r="N1541" i="9"/>
  <c r="M1541" i="9"/>
  <c r="L1541" i="9"/>
  <c r="K1541" i="9"/>
  <c r="G1541" i="9"/>
  <c r="F1541" i="9"/>
  <c r="E1541" i="9"/>
  <c r="N1540" i="9"/>
  <c r="M1540" i="9"/>
  <c r="L1540" i="9"/>
  <c r="K1540" i="9"/>
  <c r="G1540" i="9"/>
  <c r="F1540" i="9"/>
  <c r="E1540" i="9"/>
  <c r="N1539" i="9"/>
  <c r="M1539" i="9"/>
  <c r="L1539" i="9"/>
  <c r="K1539" i="9"/>
  <c r="G1539" i="9"/>
  <c r="F1539" i="9"/>
  <c r="E1539" i="9"/>
  <c r="N1538" i="9"/>
  <c r="M1538" i="9"/>
  <c r="L1538" i="9"/>
  <c r="K1538" i="9"/>
  <c r="G1538" i="9"/>
  <c r="F1538" i="9"/>
  <c r="E1538" i="9"/>
  <c r="N1537" i="9"/>
  <c r="M1537" i="9"/>
  <c r="L1537" i="9"/>
  <c r="K1537" i="9"/>
  <c r="G1537" i="9"/>
  <c r="F1537" i="9"/>
  <c r="E1537" i="9"/>
  <c r="N1536" i="9"/>
  <c r="M1536" i="9"/>
  <c r="L1536" i="9"/>
  <c r="K1536" i="9"/>
  <c r="G1536" i="9"/>
  <c r="F1536" i="9"/>
  <c r="E1536" i="9"/>
  <c r="N1535" i="9"/>
  <c r="M1535" i="9"/>
  <c r="L1535" i="9"/>
  <c r="K1535" i="9"/>
  <c r="G1535" i="9"/>
  <c r="F1535" i="9"/>
  <c r="E1535" i="9"/>
  <c r="N1534" i="9"/>
  <c r="M1534" i="9"/>
  <c r="L1534" i="9"/>
  <c r="K1534" i="9"/>
  <c r="G1534" i="9"/>
  <c r="F1534" i="9"/>
  <c r="E1534" i="9"/>
  <c r="N1533" i="9"/>
  <c r="M1533" i="9"/>
  <c r="L1533" i="9"/>
  <c r="K1533" i="9"/>
  <c r="G1533" i="9"/>
  <c r="F1533" i="9"/>
  <c r="E1533" i="9"/>
  <c r="N1532" i="9"/>
  <c r="M1532" i="9"/>
  <c r="L1532" i="9"/>
  <c r="K1532" i="9"/>
  <c r="G1532" i="9"/>
  <c r="F1532" i="9"/>
  <c r="E1532" i="9"/>
  <c r="N1531" i="9"/>
  <c r="M1531" i="9"/>
  <c r="L1531" i="9"/>
  <c r="K1531" i="9"/>
  <c r="G1531" i="9"/>
  <c r="F1531" i="9"/>
  <c r="E1531" i="9"/>
  <c r="N1530" i="9"/>
  <c r="M1530" i="9"/>
  <c r="L1530" i="9"/>
  <c r="K1530" i="9"/>
  <c r="G1530" i="9"/>
  <c r="F1530" i="9"/>
  <c r="E1530" i="9"/>
  <c r="N1529" i="9"/>
  <c r="M1529" i="9"/>
  <c r="L1529" i="9"/>
  <c r="K1529" i="9"/>
  <c r="G1529" i="9"/>
  <c r="F1529" i="9"/>
  <c r="E1529" i="9"/>
  <c r="N1528" i="9"/>
  <c r="M1528" i="9"/>
  <c r="L1528" i="9"/>
  <c r="K1528" i="9"/>
  <c r="G1528" i="9"/>
  <c r="F1528" i="9"/>
  <c r="E1528" i="9"/>
  <c r="N1527" i="9"/>
  <c r="M1527" i="9"/>
  <c r="L1527" i="9"/>
  <c r="K1527" i="9"/>
  <c r="G1527" i="9"/>
  <c r="F1527" i="9"/>
  <c r="E1527" i="9"/>
  <c r="N1526" i="9"/>
  <c r="M1526" i="9"/>
  <c r="L1526" i="9"/>
  <c r="K1526" i="9"/>
  <c r="G1526" i="9"/>
  <c r="F1526" i="9"/>
  <c r="E1526" i="9"/>
  <c r="N1525" i="9"/>
  <c r="M1525" i="9"/>
  <c r="L1525" i="9"/>
  <c r="K1525" i="9"/>
  <c r="G1525" i="9"/>
  <c r="F1525" i="9"/>
  <c r="E1525" i="9"/>
  <c r="N1524" i="9"/>
  <c r="M1524" i="9"/>
  <c r="L1524" i="9"/>
  <c r="K1524" i="9"/>
  <c r="G1524" i="9"/>
  <c r="F1524" i="9"/>
  <c r="E1524" i="9"/>
  <c r="N1523" i="9"/>
  <c r="M1523" i="9"/>
  <c r="L1523" i="9"/>
  <c r="K1523" i="9"/>
  <c r="G1523" i="9"/>
  <c r="F1523" i="9"/>
  <c r="E1523" i="9"/>
  <c r="N1522" i="9"/>
  <c r="M1522" i="9"/>
  <c r="L1522" i="9"/>
  <c r="K1522" i="9"/>
  <c r="G1522" i="9"/>
  <c r="F1522" i="9"/>
  <c r="E1522" i="9"/>
  <c r="N1521" i="9"/>
  <c r="M1521" i="9"/>
  <c r="L1521" i="9"/>
  <c r="K1521" i="9"/>
  <c r="G1521" i="9"/>
  <c r="F1521" i="9"/>
  <c r="E1521" i="9"/>
  <c r="N1520" i="9"/>
  <c r="M1520" i="9"/>
  <c r="L1520" i="9"/>
  <c r="K1520" i="9"/>
  <c r="G1520" i="9"/>
  <c r="F1520" i="9"/>
  <c r="E1520" i="9"/>
  <c r="N1519" i="9"/>
  <c r="M1519" i="9"/>
  <c r="L1519" i="9"/>
  <c r="K1519" i="9"/>
  <c r="G1519" i="9"/>
  <c r="F1519" i="9"/>
  <c r="E1519" i="9"/>
  <c r="N1518" i="9"/>
  <c r="M1518" i="9"/>
  <c r="L1518" i="9"/>
  <c r="K1518" i="9"/>
  <c r="G1518" i="9"/>
  <c r="F1518" i="9"/>
  <c r="E1518" i="9"/>
  <c r="N1517" i="9"/>
  <c r="M1517" i="9"/>
  <c r="L1517" i="9"/>
  <c r="K1517" i="9"/>
  <c r="G1517" i="9"/>
  <c r="F1517" i="9"/>
  <c r="E1517" i="9"/>
  <c r="N1516" i="9"/>
  <c r="M1516" i="9"/>
  <c r="L1516" i="9"/>
  <c r="K1516" i="9"/>
  <c r="G1516" i="9"/>
  <c r="F1516" i="9"/>
  <c r="E1516" i="9"/>
  <c r="N1515" i="9"/>
  <c r="M1515" i="9"/>
  <c r="L1515" i="9"/>
  <c r="K1515" i="9"/>
  <c r="G1515" i="9"/>
  <c r="F1515" i="9"/>
  <c r="E1515" i="9"/>
  <c r="N1514" i="9"/>
  <c r="M1514" i="9"/>
  <c r="L1514" i="9"/>
  <c r="K1514" i="9"/>
  <c r="G1514" i="9"/>
  <c r="F1514" i="9"/>
  <c r="E1514" i="9"/>
  <c r="N1513" i="9"/>
  <c r="M1513" i="9"/>
  <c r="L1513" i="9"/>
  <c r="K1513" i="9"/>
  <c r="G1513" i="9"/>
  <c r="F1513" i="9"/>
  <c r="E1513" i="9"/>
  <c r="N1512" i="9"/>
  <c r="M1512" i="9"/>
  <c r="L1512" i="9"/>
  <c r="K1512" i="9"/>
  <c r="G1512" i="9"/>
  <c r="F1512" i="9"/>
  <c r="E1512" i="9"/>
  <c r="N1511" i="9"/>
  <c r="M1511" i="9"/>
  <c r="L1511" i="9"/>
  <c r="K1511" i="9"/>
  <c r="G1511" i="9"/>
  <c r="F1511" i="9"/>
  <c r="E1511" i="9"/>
  <c r="N1510" i="9"/>
  <c r="M1510" i="9"/>
  <c r="L1510" i="9"/>
  <c r="K1510" i="9"/>
  <c r="G1510" i="9"/>
  <c r="F1510" i="9"/>
  <c r="E1510" i="9"/>
  <c r="N1509" i="9"/>
  <c r="M1509" i="9"/>
  <c r="L1509" i="9"/>
  <c r="K1509" i="9"/>
  <c r="G1509" i="9"/>
  <c r="F1509" i="9"/>
  <c r="E1509" i="9"/>
  <c r="N1508" i="9"/>
  <c r="M1508" i="9"/>
  <c r="L1508" i="9"/>
  <c r="K1508" i="9"/>
  <c r="G1508" i="9"/>
  <c r="F1508" i="9"/>
  <c r="E1508" i="9"/>
  <c r="N1507" i="9"/>
  <c r="M1507" i="9"/>
  <c r="L1507" i="9"/>
  <c r="K1507" i="9"/>
  <c r="G1507" i="9"/>
  <c r="F1507" i="9"/>
  <c r="E1507" i="9"/>
  <c r="N1506" i="9"/>
  <c r="M1506" i="9"/>
  <c r="L1506" i="9"/>
  <c r="K1506" i="9"/>
  <c r="G1506" i="9"/>
  <c r="F1506" i="9"/>
  <c r="E1506" i="9"/>
  <c r="N1505" i="9"/>
  <c r="M1505" i="9"/>
  <c r="L1505" i="9"/>
  <c r="K1505" i="9"/>
  <c r="G1505" i="9"/>
  <c r="F1505" i="9"/>
  <c r="E1505" i="9"/>
  <c r="N1504" i="9"/>
  <c r="M1504" i="9"/>
  <c r="L1504" i="9"/>
  <c r="K1504" i="9"/>
  <c r="G1504" i="9"/>
  <c r="F1504" i="9"/>
  <c r="E1504" i="9"/>
  <c r="N1503" i="9"/>
  <c r="M1503" i="9"/>
  <c r="L1503" i="9"/>
  <c r="K1503" i="9"/>
  <c r="G1503" i="9"/>
  <c r="F1503" i="9"/>
  <c r="E1503" i="9"/>
  <c r="N1502" i="9"/>
  <c r="M1502" i="9"/>
  <c r="L1502" i="9"/>
  <c r="K1502" i="9"/>
  <c r="G1502" i="9"/>
  <c r="F1502" i="9"/>
  <c r="E1502" i="9"/>
  <c r="N1501" i="9"/>
  <c r="M1501" i="9"/>
  <c r="L1501" i="9"/>
  <c r="K1501" i="9"/>
  <c r="G1501" i="9"/>
  <c r="F1501" i="9"/>
  <c r="E1501" i="9"/>
  <c r="N1500" i="9"/>
  <c r="M1500" i="9"/>
  <c r="L1500" i="9"/>
  <c r="K1500" i="9"/>
  <c r="G1500" i="9"/>
  <c r="F1500" i="9"/>
  <c r="E1500" i="9"/>
  <c r="N1499" i="9"/>
  <c r="M1499" i="9"/>
  <c r="L1499" i="9"/>
  <c r="K1499" i="9"/>
  <c r="G1499" i="9"/>
  <c r="F1499" i="9"/>
  <c r="E1499" i="9"/>
  <c r="N1498" i="9"/>
  <c r="M1498" i="9"/>
  <c r="L1498" i="9"/>
  <c r="K1498" i="9"/>
  <c r="G1498" i="9"/>
  <c r="F1498" i="9"/>
  <c r="E1498" i="9"/>
  <c r="N1497" i="9"/>
  <c r="M1497" i="9"/>
  <c r="L1497" i="9"/>
  <c r="K1497" i="9"/>
  <c r="G1497" i="9"/>
  <c r="F1497" i="9"/>
  <c r="E1497" i="9"/>
  <c r="N1496" i="9"/>
  <c r="M1496" i="9"/>
  <c r="L1496" i="9"/>
  <c r="K1496" i="9"/>
  <c r="G1496" i="9"/>
  <c r="F1496" i="9"/>
  <c r="E1496" i="9"/>
  <c r="N1495" i="9"/>
  <c r="M1495" i="9"/>
  <c r="L1495" i="9"/>
  <c r="K1495" i="9"/>
  <c r="G1495" i="9"/>
  <c r="F1495" i="9"/>
  <c r="E1495" i="9"/>
  <c r="N1494" i="9"/>
  <c r="M1494" i="9"/>
  <c r="L1494" i="9"/>
  <c r="K1494" i="9"/>
  <c r="G1494" i="9"/>
  <c r="F1494" i="9"/>
  <c r="E1494" i="9"/>
  <c r="N1493" i="9"/>
  <c r="M1493" i="9"/>
  <c r="L1493" i="9"/>
  <c r="K1493" i="9"/>
  <c r="G1493" i="9"/>
  <c r="F1493" i="9"/>
  <c r="E1493" i="9"/>
  <c r="N1492" i="9"/>
  <c r="M1492" i="9"/>
  <c r="L1492" i="9"/>
  <c r="K1492" i="9"/>
  <c r="G1492" i="9"/>
  <c r="F1492" i="9"/>
  <c r="E1492" i="9"/>
  <c r="N1491" i="9"/>
  <c r="M1491" i="9"/>
  <c r="L1491" i="9"/>
  <c r="K1491" i="9"/>
  <c r="G1491" i="9"/>
  <c r="F1491" i="9"/>
  <c r="E1491" i="9"/>
  <c r="N1490" i="9"/>
  <c r="M1490" i="9"/>
  <c r="L1490" i="9"/>
  <c r="K1490" i="9"/>
  <c r="G1490" i="9"/>
  <c r="F1490" i="9"/>
  <c r="E1490" i="9"/>
  <c r="N1489" i="9"/>
  <c r="M1489" i="9"/>
  <c r="L1489" i="9"/>
  <c r="K1489" i="9"/>
  <c r="G1489" i="9"/>
  <c r="F1489" i="9"/>
  <c r="E1489" i="9"/>
  <c r="N1488" i="9"/>
  <c r="M1488" i="9"/>
  <c r="L1488" i="9"/>
  <c r="K1488" i="9"/>
  <c r="G1488" i="9"/>
  <c r="F1488" i="9"/>
  <c r="E1488" i="9"/>
  <c r="N1487" i="9"/>
  <c r="M1487" i="9"/>
  <c r="L1487" i="9"/>
  <c r="K1487" i="9"/>
  <c r="G1487" i="9"/>
  <c r="F1487" i="9"/>
  <c r="E1487" i="9"/>
  <c r="N1486" i="9"/>
  <c r="M1486" i="9"/>
  <c r="L1486" i="9"/>
  <c r="K1486" i="9"/>
  <c r="G1486" i="9"/>
  <c r="F1486" i="9"/>
  <c r="E1486" i="9"/>
  <c r="N1485" i="9"/>
  <c r="M1485" i="9"/>
  <c r="L1485" i="9"/>
  <c r="K1485" i="9"/>
  <c r="G1485" i="9"/>
  <c r="F1485" i="9"/>
  <c r="E1485" i="9"/>
  <c r="N1484" i="9"/>
  <c r="M1484" i="9"/>
  <c r="L1484" i="9"/>
  <c r="K1484" i="9"/>
  <c r="G1484" i="9"/>
  <c r="F1484" i="9"/>
  <c r="E1484" i="9"/>
  <c r="N1483" i="9"/>
  <c r="M1483" i="9"/>
  <c r="L1483" i="9"/>
  <c r="K1483" i="9"/>
  <c r="G1483" i="9"/>
  <c r="F1483" i="9"/>
  <c r="E1483" i="9"/>
  <c r="N1482" i="9"/>
  <c r="M1482" i="9"/>
  <c r="L1482" i="9"/>
  <c r="K1482" i="9"/>
  <c r="G1482" i="9"/>
  <c r="F1482" i="9"/>
  <c r="E1482" i="9"/>
  <c r="N1481" i="9"/>
  <c r="M1481" i="9"/>
  <c r="L1481" i="9"/>
  <c r="K1481" i="9"/>
  <c r="G1481" i="9"/>
  <c r="F1481" i="9"/>
  <c r="E1481" i="9"/>
  <c r="N1480" i="9"/>
  <c r="M1480" i="9"/>
  <c r="L1480" i="9"/>
  <c r="K1480" i="9"/>
  <c r="G1480" i="9"/>
  <c r="F1480" i="9"/>
  <c r="E1480" i="9"/>
  <c r="N1479" i="9"/>
  <c r="M1479" i="9"/>
  <c r="L1479" i="9"/>
  <c r="K1479" i="9"/>
  <c r="G1479" i="9"/>
  <c r="F1479" i="9"/>
  <c r="E1479" i="9"/>
  <c r="N1478" i="9"/>
  <c r="M1478" i="9"/>
  <c r="L1478" i="9"/>
  <c r="K1478" i="9"/>
  <c r="G1478" i="9"/>
  <c r="F1478" i="9"/>
  <c r="E1478" i="9"/>
  <c r="N1477" i="9"/>
  <c r="M1477" i="9"/>
  <c r="L1477" i="9"/>
  <c r="K1477" i="9"/>
  <c r="G1477" i="9"/>
  <c r="F1477" i="9"/>
  <c r="E1477" i="9"/>
  <c r="N1476" i="9"/>
  <c r="M1476" i="9"/>
  <c r="L1476" i="9"/>
  <c r="K1476" i="9"/>
  <c r="G1476" i="9"/>
  <c r="F1476" i="9"/>
  <c r="E1476" i="9"/>
  <c r="N1475" i="9"/>
  <c r="M1475" i="9"/>
  <c r="L1475" i="9"/>
  <c r="K1475" i="9"/>
  <c r="G1475" i="9"/>
  <c r="F1475" i="9"/>
  <c r="E1475" i="9"/>
  <c r="N1474" i="9"/>
  <c r="M1474" i="9"/>
  <c r="L1474" i="9"/>
  <c r="K1474" i="9"/>
  <c r="G1474" i="9"/>
  <c r="F1474" i="9"/>
  <c r="E1474" i="9"/>
  <c r="N1473" i="9"/>
  <c r="M1473" i="9"/>
  <c r="L1473" i="9"/>
  <c r="K1473" i="9"/>
  <c r="G1473" i="9"/>
  <c r="F1473" i="9"/>
  <c r="E1473" i="9"/>
  <c r="N1472" i="9"/>
  <c r="M1472" i="9"/>
  <c r="L1472" i="9"/>
  <c r="K1472" i="9"/>
  <c r="G1472" i="9"/>
  <c r="F1472" i="9"/>
  <c r="E1472" i="9"/>
  <c r="N1471" i="9"/>
  <c r="M1471" i="9"/>
  <c r="L1471" i="9"/>
  <c r="K1471" i="9"/>
  <c r="G1471" i="9"/>
  <c r="F1471" i="9"/>
  <c r="E1471" i="9"/>
  <c r="N1470" i="9"/>
  <c r="M1470" i="9"/>
  <c r="L1470" i="9"/>
  <c r="K1470" i="9"/>
  <c r="G1470" i="9"/>
  <c r="F1470" i="9"/>
  <c r="E1470" i="9"/>
  <c r="N1469" i="9"/>
  <c r="M1469" i="9"/>
  <c r="L1469" i="9"/>
  <c r="K1469" i="9"/>
  <c r="G1469" i="9"/>
  <c r="F1469" i="9"/>
  <c r="E1469" i="9"/>
  <c r="N1468" i="9"/>
  <c r="M1468" i="9"/>
  <c r="L1468" i="9"/>
  <c r="K1468" i="9"/>
  <c r="G1468" i="9"/>
  <c r="F1468" i="9"/>
  <c r="E1468" i="9"/>
  <c r="N1467" i="9"/>
  <c r="M1467" i="9"/>
  <c r="L1467" i="9"/>
  <c r="K1467" i="9"/>
  <c r="G1467" i="9"/>
  <c r="F1467" i="9"/>
  <c r="E1467" i="9"/>
  <c r="N1466" i="9"/>
  <c r="M1466" i="9"/>
  <c r="L1466" i="9"/>
  <c r="K1466" i="9"/>
  <c r="G1466" i="9"/>
  <c r="F1466" i="9"/>
  <c r="E1466" i="9"/>
  <c r="N1465" i="9"/>
  <c r="M1465" i="9"/>
  <c r="L1465" i="9"/>
  <c r="K1465" i="9"/>
  <c r="G1465" i="9"/>
  <c r="F1465" i="9"/>
  <c r="E1465" i="9"/>
  <c r="N1464" i="9"/>
  <c r="M1464" i="9"/>
  <c r="L1464" i="9"/>
  <c r="K1464" i="9"/>
  <c r="G1464" i="9"/>
  <c r="F1464" i="9"/>
  <c r="E1464" i="9"/>
  <c r="N1463" i="9"/>
  <c r="M1463" i="9"/>
  <c r="L1463" i="9"/>
  <c r="K1463" i="9"/>
  <c r="G1463" i="9"/>
  <c r="F1463" i="9"/>
  <c r="E1463" i="9"/>
  <c r="N1462" i="9"/>
  <c r="M1462" i="9"/>
  <c r="L1462" i="9"/>
  <c r="K1462" i="9"/>
  <c r="G1462" i="9"/>
  <c r="F1462" i="9"/>
  <c r="E1462" i="9"/>
  <c r="N1461" i="9"/>
  <c r="M1461" i="9"/>
  <c r="L1461" i="9"/>
  <c r="K1461" i="9"/>
  <c r="G1461" i="9"/>
  <c r="F1461" i="9"/>
  <c r="E1461" i="9"/>
  <c r="N1460" i="9"/>
  <c r="M1460" i="9"/>
  <c r="L1460" i="9"/>
  <c r="K1460" i="9"/>
  <c r="G1460" i="9"/>
  <c r="F1460" i="9"/>
  <c r="E1460" i="9"/>
  <c r="N1459" i="9"/>
  <c r="M1459" i="9"/>
  <c r="L1459" i="9"/>
  <c r="K1459" i="9"/>
  <c r="G1459" i="9"/>
  <c r="F1459" i="9"/>
  <c r="E1459" i="9"/>
  <c r="N1458" i="9"/>
  <c r="M1458" i="9"/>
  <c r="L1458" i="9"/>
  <c r="K1458" i="9"/>
  <c r="G1458" i="9"/>
  <c r="F1458" i="9"/>
  <c r="E1458" i="9"/>
  <c r="N1457" i="9"/>
  <c r="M1457" i="9"/>
  <c r="L1457" i="9"/>
  <c r="K1457" i="9"/>
  <c r="G1457" i="9"/>
  <c r="F1457" i="9"/>
  <c r="E1457" i="9"/>
  <c r="N1456" i="9"/>
  <c r="M1456" i="9"/>
  <c r="L1456" i="9"/>
  <c r="K1456" i="9"/>
  <c r="G1456" i="9"/>
  <c r="F1456" i="9"/>
  <c r="E1456" i="9"/>
  <c r="N1455" i="9"/>
  <c r="M1455" i="9"/>
  <c r="L1455" i="9"/>
  <c r="K1455" i="9"/>
  <c r="G1455" i="9"/>
  <c r="F1455" i="9"/>
  <c r="E1455" i="9"/>
  <c r="N1454" i="9"/>
  <c r="M1454" i="9"/>
  <c r="L1454" i="9"/>
  <c r="K1454" i="9"/>
  <c r="G1454" i="9"/>
  <c r="F1454" i="9"/>
  <c r="E1454" i="9"/>
  <c r="N1453" i="9"/>
  <c r="M1453" i="9"/>
  <c r="L1453" i="9"/>
  <c r="K1453" i="9"/>
  <c r="G1453" i="9"/>
  <c r="F1453" i="9"/>
  <c r="E1453" i="9"/>
  <c r="N1452" i="9"/>
  <c r="M1452" i="9"/>
  <c r="L1452" i="9"/>
  <c r="K1452" i="9"/>
  <c r="G1452" i="9"/>
  <c r="F1452" i="9"/>
  <c r="E1452" i="9"/>
  <c r="N1451" i="9"/>
  <c r="M1451" i="9"/>
  <c r="L1451" i="9"/>
  <c r="K1451" i="9"/>
  <c r="G1451" i="9"/>
  <c r="F1451" i="9"/>
  <c r="E1451" i="9"/>
  <c r="N1450" i="9"/>
  <c r="M1450" i="9"/>
  <c r="L1450" i="9"/>
  <c r="K1450" i="9"/>
  <c r="G1450" i="9"/>
  <c r="F1450" i="9"/>
  <c r="E1450" i="9"/>
  <c r="N1449" i="9"/>
  <c r="M1449" i="9"/>
  <c r="L1449" i="9"/>
  <c r="K1449" i="9"/>
  <c r="G1449" i="9"/>
  <c r="F1449" i="9"/>
  <c r="E1449" i="9"/>
  <c r="N1448" i="9"/>
  <c r="M1448" i="9"/>
  <c r="L1448" i="9"/>
  <c r="K1448" i="9"/>
  <c r="G1448" i="9"/>
  <c r="F1448" i="9"/>
  <c r="E1448" i="9"/>
  <c r="N1447" i="9"/>
  <c r="M1447" i="9"/>
  <c r="L1447" i="9"/>
  <c r="K1447" i="9"/>
  <c r="G1447" i="9"/>
  <c r="F1447" i="9"/>
  <c r="E1447" i="9"/>
  <c r="N1446" i="9"/>
  <c r="M1446" i="9"/>
  <c r="L1446" i="9"/>
  <c r="K1446" i="9"/>
  <c r="G1446" i="9"/>
  <c r="F1446" i="9"/>
  <c r="E1446" i="9"/>
  <c r="N1445" i="9"/>
  <c r="M1445" i="9"/>
  <c r="L1445" i="9"/>
  <c r="K1445" i="9"/>
  <c r="G1445" i="9"/>
  <c r="F1445" i="9"/>
  <c r="E1445" i="9"/>
  <c r="N1444" i="9"/>
  <c r="M1444" i="9"/>
  <c r="L1444" i="9"/>
  <c r="K1444" i="9"/>
  <c r="G1444" i="9"/>
  <c r="F1444" i="9"/>
  <c r="E1444" i="9"/>
  <c r="N1443" i="9"/>
  <c r="M1443" i="9"/>
  <c r="L1443" i="9"/>
  <c r="K1443" i="9"/>
  <c r="G1443" i="9"/>
  <c r="F1443" i="9"/>
  <c r="E1443" i="9"/>
  <c r="F1436" i="9"/>
  <c r="F1435" i="9"/>
  <c r="F1434" i="9"/>
  <c r="F1433" i="9"/>
  <c r="F1432" i="9"/>
  <c r="F1431" i="9"/>
  <c r="F1430" i="9"/>
  <c r="F1429" i="9"/>
  <c r="F1428" i="9"/>
  <c r="F1427" i="9"/>
  <c r="F1426" i="9"/>
  <c r="F1425" i="9"/>
  <c r="F1424" i="9"/>
  <c r="O1420" i="9"/>
  <c r="N1420" i="9"/>
  <c r="M1420" i="9"/>
  <c r="L1420" i="9"/>
  <c r="O1419" i="9"/>
  <c r="N1419" i="9"/>
  <c r="M1419" i="9"/>
  <c r="L1419" i="9"/>
  <c r="O1418" i="9"/>
  <c r="N1418" i="9"/>
  <c r="M1418" i="9"/>
  <c r="L1418" i="9"/>
  <c r="O1417" i="9"/>
  <c r="N1417" i="9"/>
  <c r="M1417" i="9"/>
  <c r="L1417" i="9"/>
  <c r="O1416" i="9"/>
  <c r="N1416" i="9"/>
  <c r="M1416" i="9"/>
  <c r="L1416" i="9"/>
  <c r="O1415" i="9"/>
  <c r="N1415" i="9"/>
  <c r="M1415" i="9"/>
  <c r="L1415" i="9"/>
  <c r="O1414" i="9"/>
  <c r="N1414" i="9"/>
  <c r="M1414" i="9"/>
  <c r="L1414" i="9"/>
  <c r="O1413" i="9"/>
  <c r="N1413" i="9"/>
  <c r="M1413" i="9"/>
  <c r="L1413" i="9"/>
  <c r="O1412" i="9"/>
  <c r="N1412" i="9"/>
  <c r="M1412" i="9"/>
  <c r="L1412" i="9"/>
  <c r="O1411" i="9"/>
  <c r="N1411" i="9"/>
  <c r="M1411" i="9"/>
  <c r="L1411" i="9"/>
  <c r="O1410" i="9"/>
  <c r="N1410" i="9"/>
  <c r="M1410" i="9"/>
  <c r="L1410" i="9"/>
  <c r="O1409" i="9"/>
  <c r="N1409" i="9"/>
  <c r="M1409" i="9"/>
  <c r="L1409" i="9"/>
  <c r="O1408" i="9"/>
  <c r="N1408" i="9"/>
  <c r="M1408" i="9"/>
  <c r="L1408" i="9"/>
  <c r="O1407" i="9"/>
  <c r="N1407" i="9"/>
  <c r="M1407" i="9"/>
  <c r="L1407" i="9"/>
  <c r="O1406" i="9"/>
  <c r="N1406" i="9"/>
  <c r="M1406" i="9"/>
  <c r="L1406" i="9"/>
  <c r="O1405" i="9"/>
  <c r="N1405" i="9"/>
  <c r="M1405" i="9"/>
  <c r="L1405" i="9"/>
  <c r="O1404" i="9"/>
  <c r="N1404" i="9"/>
  <c r="M1404" i="9"/>
  <c r="L1404" i="9"/>
  <c r="O1403" i="9"/>
  <c r="N1403" i="9"/>
  <c r="M1403" i="9"/>
  <c r="L1403" i="9"/>
  <c r="O1402" i="9"/>
  <c r="N1402" i="9"/>
  <c r="M1402" i="9"/>
  <c r="L1402" i="9"/>
  <c r="O1401" i="9"/>
  <c r="N1401" i="9"/>
  <c r="M1401" i="9"/>
  <c r="L1401" i="9"/>
  <c r="O1400" i="9"/>
  <c r="N1400" i="9"/>
  <c r="M1400" i="9"/>
  <c r="L1400" i="9"/>
  <c r="O1399" i="9"/>
  <c r="N1399" i="9"/>
  <c r="M1399" i="9"/>
  <c r="L1399" i="9"/>
  <c r="O1398" i="9"/>
  <c r="N1398" i="9"/>
  <c r="M1398" i="9"/>
  <c r="L1398" i="9"/>
  <c r="O1397" i="9"/>
  <c r="N1397" i="9"/>
  <c r="M1397" i="9"/>
  <c r="L1397" i="9"/>
  <c r="O1396" i="9"/>
  <c r="N1396" i="9"/>
  <c r="M1396" i="9"/>
  <c r="L1396" i="9"/>
  <c r="O1395" i="9"/>
  <c r="N1395" i="9"/>
  <c r="M1395" i="9"/>
  <c r="L1395" i="9"/>
  <c r="O1394" i="9"/>
  <c r="N1394" i="9"/>
  <c r="M1394" i="9"/>
  <c r="L1394" i="9"/>
  <c r="O1393" i="9"/>
  <c r="N1393" i="9"/>
  <c r="M1393" i="9"/>
  <c r="L1393" i="9"/>
  <c r="O1392" i="9"/>
  <c r="N1392" i="9"/>
  <c r="M1392" i="9"/>
  <c r="L1392" i="9"/>
  <c r="O1391" i="9"/>
  <c r="N1391" i="9"/>
  <c r="M1391" i="9"/>
  <c r="L1391" i="9"/>
  <c r="O1390" i="9"/>
  <c r="N1390" i="9"/>
  <c r="M1390" i="9"/>
  <c r="L1390" i="9"/>
  <c r="O1389" i="9"/>
  <c r="N1389" i="9"/>
  <c r="M1389" i="9"/>
  <c r="L1389" i="9"/>
  <c r="O1388" i="9"/>
  <c r="N1388" i="9"/>
  <c r="M1388" i="9"/>
  <c r="L1388" i="9"/>
  <c r="O1387" i="9"/>
  <c r="N1387" i="9"/>
  <c r="M1387" i="9"/>
  <c r="L1387" i="9"/>
  <c r="O1386" i="9"/>
  <c r="N1386" i="9"/>
  <c r="M1386" i="9"/>
  <c r="L1386" i="9"/>
  <c r="O1385" i="9"/>
  <c r="N1385" i="9"/>
  <c r="M1385" i="9"/>
  <c r="L1385" i="9"/>
  <c r="O1384" i="9"/>
  <c r="N1384" i="9"/>
  <c r="M1384" i="9"/>
  <c r="L1384" i="9"/>
  <c r="O1383" i="9"/>
  <c r="N1383" i="9"/>
  <c r="M1383" i="9"/>
  <c r="L1383" i="9"/>
  <c r="O1382" i="9"/>
  <c r="N1382" i="9"/>
  <c r="M1382" i="9"/>
  <c r="L1382" i="9"/>
  <c r="O1381" i="9"/>
  <c r="N1381" i="9"/>
  <c r="M1381" i="9"/>
  <c r="L1381" i="9"/>
  <c r="O1380" i="9"/>
  <c r="N1380" i="9"/>
  <c r="M1380" i="9"/>
  <c r="L1380" i="9"/>
  <c r="O1379" i="9"/>
  <c r="N1379" i="9"/>
  <c r="M1379" i="9"/>
  <c r="L1379" i="9"/>
  <c r="O1378" i="9"/>
  <c r="N1378" i="9"/>
  <c r="M1378" i="9"/>
  <c r="L1378" i="9"/>
  <c r="O1377" i="9"/>
  <c r="N1377" i="9"/>
  <c r="M1377" i="9"/>
  <c r="L1377" i="9"/>
  <c r="O1376" i="9"/>
  <c r="N1376" i="9"/>
  <c r="M1376" i="9"/>
  <c r="L1376" i="9"/>
  <c r="O1375" i="9"/>
  <c r="N1375" i="9"/>
  <c r="M1375" i="9"/>
  <c r="L1375" i="9"/>
  <c r="O1374" i="9"/>
  <c r="N1374" i="9"/>
  <c r="M1374" i="9"/>
  <c r="L1374" i="9"/>
  <c r="O1373" i="9"/>
  <c r="N1373" i="9"/>
  <c r="M1373" i="9"/>
  <c r="L1373" i="9"/>
  <c r="O1372" i="9"/>
  <c r="N1372" i="9"/>
  <c r="M1372" i="9"/>
  <c r="L1372" i="9"/>
  <c r="O1371" i="9"/>
  <c r="N1371" i="9"/>
  <c r="M1371" i="9"/>
  <c r="L1371" i="9"/>
  <c r="O1370" i="9"/>
  <c r="N1370" i="9"/>
  <c r="M1370" i="9"/>
  <c r="L1370" i="9"/>
  <c r="O1369" i="9"/>
  <c r="N1369" i="9"/>
  <c r="M1369" i="9"/>
  <c r="L1369" i="9"/>
  <c r="O1368" i="9"/>
  <c r="N1368" i="9"/>
  <c r="M1368" i="9"/>
  <c r="L1368" i="9"/>
  <c r="O1367" i="9"/>
  <c r="N1367" i="9"/>
  <c r="M1367" i="9"/>
  <c r="L1367" i="9"/>
  <c r="O1366" i="9"/>
  <c r="N1366" i="9"/>
  <c r="M1366" i="9"/>
  <c r="L1366" i="9"/>
  <c r="O1365" i="9"/>
  <c r="N1365" i="9"/>
  <c r="M1365" i="9"/>
  <c r="L1365" i="9"/>
  <c r="O1364" i="9"/>
  <c r="N1364" i="9"/>
  <c r="M1364" i="9"/>
  <c r="L1364" i="9"/>
  <c r="O1363" i="9"/>
  <c r="N1363" i="9"/>
  <c r="M1363" i="9"/>
  <c r="L1363" i="9"/>
  <c r="O1362" i="9"/>
  <c r="N1362" i="9"/>
  <c r="M1362" i="9"/>
  <c r="L1362" i="9"/>
  <c r="O1361" i="9"/>
  <c r="N1361" i="9"/>
  <c r="M1361" i="9"/>
  <c r="L1361" i="9"/>
  <c r="O1360" i="9"/>
  <c r="N1360" i="9"/>
  <c r="M1360" i="9"/>
  <c r="L1360" i="9"/>
  <c r="O1359" i="9"/>
  <c r="N1359" i="9"/>
  <c r="M1359" i="9"/>
  <c r="L1359" i="9"/>
  <c r="O1358" i="9"/>
  <c r="N1358" i="9"/>
  <c r="M1358" i="9"/>
  <c r="L1358" i="9"/>
  <c r="O1357" i="9"/>
  <c r="N1357" i="9"/>
  <c r="M1357" i="9"/>
  <c r="L1357" i="9"/>
  <c r="O1356" i="9"/>
  <c r="N1356" i="9"/>
  <c r="M1356" i="9"/>
  <c r="L1356" i="9"/>
  <c r="O1355" i="9"/>
  <c r="N1355" i="9"/>
  <c r="M1355" i="9"/>
  <c r="L1355" i="9"/>
  <c r="O1354" i="9"/>
  <c r="N1354" i="9"/>
  <c r="M1354" i="9"/>
  <c r="L1354" i="9"/>
  <c r="O1353" i="9"/>
  <c r="N1353" i="9"/>
  <c r="M1353" i="9"/>
  <c r="L1353" i="9"/>
  <c r="O1352" i="9"/>
  <c r="N1352" i="9"/>
  <c r="M1352" i="9"/>
  <c r="L1352" i="9"/>
  <c r="O1351" i="9"/>
  <c r="N1351" i="9"/>
  <c r="M1351" i="9"/>
  <c r="L1351" i="9"/>
  <c r="O1350" i="9"/>
  <c r="N1350" i="9"/>
  <c r="M1350" i="9"/>
  <c r="L1350" i="9"/>
  <c r="O1349" i="9"/>
  <c r="N1349" i="9"/>
  <c r="M1349" i="9"/>
  <c r="L1349" i="9"/>
  <c r="O1348" i="9"/>
  <c r="N1348" i="9"/>
  <c r="M1348" i="9"/>
  <c r="L1348" i="9"/>
  <c r="O1347" i="9"/>
  <c r="N1347" i="9"/>
  <c r="M1347" i="9"/>
  <c r="L1347" i="9"/>
  <c r="O1346" i="9"/>
  <c r="N1346" i="9"/>
  <c r="M1346" i="9"/>
  <c r="L1346" i="9"/>
  <c r="O1345" i="9"/>
  <c r="N1345" i="9"/>
  <c r="M1345" i="9"/>
  <c r="L1345" i="9"/>
  <c r="O1344" i="9"/>
  <c r="N1344" i="9"/>
  <c r="M1344" i="9"/>
  <c r="L1344" i="9"/>
  <c r="O1343" i="9"/>
  <c r="N1343" i="9"/>
  <c r="M1343" i="9"/>
  <c r="L1343" i="9"/>
  <c r="O1342" i="9"/>
  <c r="N1342" i="9"/>
  <c r="M1342" i="9"/>
  <c r="L1342" i="9"/>
  <c r="O1341" i="9"/>
  <c r="N1341" i="9"/>
  <c r="M1341" i="9"/>
  <c r="L1341" i="9"/>
  <c r="O1340" i="9"/>
  <c r="N1340" i="9"/>
  <c r="M1340" i="9"/>
  <c r="L1340" i="9"/>
  <c r="O1339" i="9"/>
  <c r="N1339" i="9"/>
  <c r="M1339" i="9"/>
  <c r="L1339" i="9"/>
  <c r="O1338" i="9"/>
  <c r="N1338" i="9"/>
  <c r="M1338" i="9"/>
  <c r="L1338" i="9"/>
  <c r="O1337" i="9"/>
  <c r="N1337" i="9"/>
  <c r="M1337" i="9"/>
  <c r="L1337" i="9"/>
  <c r="O1336" i="9"/>
  <c r="N1336" i="9"/>
  <c r="M1336" i="9"/>
  <c r="L1336" i="9"/>
  <c r="O1335" i="9"/>
  <c r="N1335" i="9"/>
  <c r="M1335" i="9"/>
  <c r="L1335" i="9"/>
  <c r="O1334" i="9"/>
  <c r="N1334" i="9"/>
  <c r="M1334" i="9"/>
  <c r="L1334" i="9"/>
  <c r="O1333" i="9"/>
  <c r="N1333" i="9"/>
  <c r="M1333" i="9"/>
  <c r="L1333" i="9"/>
  <c r="O1332" i="9"/>
  <c r="N1332" i="9"/>
  <c r="M1332" i="9"/>
  <c r="L1332" i="9"/>
  <c r="O1331" i="9"/>
  <c r="N1331" i="9"/>
  <c r="M1331" i="9"/>
  <c r="L1331" i="9"/>
  <c r="O1330" i="9"/>
  <c r="N1330" i="9"/>
  <c r="M1330" i="9"/>
  <c r="L1330" i="9"/>
  <c r="O1329" i="9"/>
  <c r="N1329" i="9"/>
  <c r="M1329" i="9"/>
  <c r="L1329" i="9"/>
  <c r="O1328" i="9"/>
  <c r="N1328" i="9"/>
  <c r="M1328" i="9"/>
  <c r="L1328" i="9"/>
  <c r="O1327" i="9"/>
  <c r="N1327" i="9"/>
  <c r="M1327" i="9"/>
  <c r="L1327" i="9"/>
  <c r="O1326" i="9"/>
  <c r="N1326" i="9"/>
  <c r="M1326" i="9"/>
  <c r="L1326" i="9"/>
  <c r="O1325" i="9"/>
  <c r="N1325" i="9"/>
  <c r="M1325" i="9"/>
  <c r="L1325" i="9"/>
  <c r="O1324" i="9"/>
  <c r="N1324" i="9"/>
  <c r="M1324" i="9"/>
  <c r="L1324" i="9"/>
  <c r="O1323" i="9"/>
  <c r="N1323" i="9"/>
  <c r="M1323" i="9"/>
  <c r="L1323" i="9"/>
  <c r="O1322" i="9"/>
  <c r="N1322" i="9"/>
  <c r="M1322" i="9"/>
  <c r="L1322" i="9"/>
  <c r="O1321" i="9"/>
  <c r="N1321" i="9"/>
  <c r="M1321" i="9"/>
  <c r="L1321" i="9"/>
  <c r="O1320" i="9"/>
  <c r="N1320" i="9"/>
  <c r="M1320" i="9"/>
  <c r="L1320" i="9"/>
  <c r="O1319" i="9"/>
  <c r="N1319" i="9"/>
  <c r="M1319" i="9"/>
  <c r="L1319" i="9"/>
  <c r="O1318" i="9"/>
  <c r="N1318" i="9"/>
  <c r="M1318" i="9"/>
  <c r="L1318" i="9"/>
  <c r="O1317" i="9"/>
  <c r="N1317" i="9"/>
  <c r="M1317" i="9"/>
  <c r="L1317" i="9"/>
  <c r="O1316" i="9"/>
  <c r="N1316" i="9"/>
  <c r="M1316" i="9"/>
  <c r="L1316" i="9"/>
  <c r="O1315" i="9"/>
  <c r="N1315" i="9"/>
  <c r="M1315" i="9"/>
  <c r="L1315" i="9"/>
  <c r="O1314" i="9"/>
  <c r="N1314" i="9"/>
  <c r="M1314" i="9"/>
  <c r="L1314" i="9"/>
  <c r="O1313" i="9"/>
  <c r="N1313" i="9"/>
  <c r="M1313" i="9"/>
  <c r="L1313" i="9"/>
  <c r="O1312" i="9"/>
  <c r="N1312" i="9"/>
  <c r="M1312" i="9"/>
  <c r="L1312" i="9"/>
  <c r="O1311" i="9"/>
  <c r="N1311" i="9"/>
  <c r="M1311" i="9"/>
  <c r="L1311" i="9"/>
  <c r="O1310" i="9"/>
  <c r="N1310" i="9"/>
  <c r="M1310" i="9"/>
  <c r="L1310" i="9"/>
  <c r="O1309" i="9"/>
  <c r="N1309" i="9"/>
  <c r="M1309" i="9"/>
  <c r="L1309" i="9"/>
  <c r="O1308" i="9"/>
  <c r="N1308" i="9"/>
  <c r="M1308" i="9"/>
  <c r="L1308" i="9"/>
  <c r="O1307" i="9"/>
  <c r="N1307" i="9"/>
  <c r="M1307" i="9"/>
  <c r="L1307" i="9"/>
  <c r="O1306" i="9"/>
  <c r="N1306" i="9"/>
  <c r="M1306" i="9"/>
  <c r="L1306" i="9"/>
  <c r="O1305" i="9"/>
  <c r="N1305" i="9"/>
  <c r="M1305" i="9"/>
  <c r="L1305" i="9"/>
  <c r="O1304" i="9"/>
  <c r="N1304" i="9"/>
  <c r="M1304" i="9"/>
  <c r="L1304" i="9"/>
  <c r="O1303" i="9"/>
  <c r="N1303" i="9"/>
  <c r="M1303" i="9"/>
  <c r="L1303" i="9"/>
  <c r="O1302" i="9"/>
  <c r="N1302" i="9"/>
  <c r="M1302" i="9"/>
  <c r="L1302" i="9"/>
  <c r="O1301" i="9"/>
  <c r="N1301" i="9"/>
  <c r="M1301" i="9"/>
  <c r="L1301" i="9"/>
  <c r="O1300" i="9"/>
  <c r="N1300" i="9"/>
  <c r="M1300" i="9"/>
  <c r="L1300" i="9"/>
  <c r="O1299" i="9"/>
  <c r="N1299" i="9"/>
  <c r="M1299" i="9"/>
  <c r="L1299" i="9"/>
  <c r="O1298" i="9"/>
  <c r="N1298" i="9"/>
  <c r="M1298" i="9"/>
  <c r="L1298" i="9"/>
  <c r="O1297" i="9"/>
  <c r="N1297" i="9"/>
  <c r="M1297" i="9"/>
  <c r="L1297" i="9"/>
  <c r="O1296" i="9"/>
  <c r="N1296" i="9"/>
  <c r="M1296" i="9"/>
  <c r="L1296" i="9"/>
  <c r="O1295" i="9"/>
  <c r="N1295" i="9"/>
  <c r="M1295" i="9"/>
  <c r="L1295" i="9"/>
  <c r="O1294" i="9"/>
  <c r="N1294" i="9"/>
  <c r="M1294" i="9"/>
  <c r="L1294" i="9"/>
  <c r="O1293" i="9"/>
  <c r="N1293" i="9"/>
  <c r="M1293" i="9"/>
  <c r="L1293" i="9"/>
  <c r="O1292" i="9"/>
  <c r="N1292" i="9"/>
  <c r="M1292" i="9"/>
  <c r="L1292" i="9"/>
  <c r="O1291" i="9"/>
  <c r="N1291" i="9"/>
  <c r="M1291" i="9"/>
  <c r="L1291" i="9"/>
  <c r="O1290" i="9"/>
  <c r="N1290" i="9"/>
  <c r="M1290" i="9"/>
  <c r="L1290" i="9"/>
  <c r="O1289" i="9"/>
  <c r="N1289" i="9"/>
  <c r="M1289" i="9"/>
  <c r="L1289" i="9"/>
  <c r="O1288" i="9"/>
  <c r="N1288" i="9"/>
  <c r="M1288" i="9"/>
  <c r="L1288" i="9"/>
  <c r="O1287" i="9"/>
  <c r="N1287" i="9"/>
  <c r="M1287" i="9"/>
  <c r="L1287" i="9"/>
  <c r="O1286" i="9"/>
  <c r="N1286" i="9"/>
  <c r="M1286" i="9"/>
  <c r="L1286" i="9"/>
  <c r="O1285" i="9"/>
  <c r="N1285" i="9"/>
  <c r="M1285" i="9"/>
  <c r="L1285" i="9"/>
  <c r="O1284" i="9"/>
  <c r="N1284" i="9"/>
  <c r="M1284" i="9"/>
  <c r="L1284" i="9"/>
  <c r="O1283" i="9"/>
  <c r="N1283" i="9"/>
  <c r="M1283" i="9"/>
  <c r="L1283" i="9"/>
  <c r="O1282" i="9"/>
  <c r="N1282" i="9"/>
  <c r="M1282" i="9"/>
  <c r="L1282" i="9"/>
  <c r="O1281" i="9"/>
  <c r="N1281" i="9"/>
  <c r="M1281" i="9"/>
  <c r="L1281" i="9"/>
  <c r="O1280" i="9"/>
  <c r="N1280" i="9"/>
  <c r="M1280" i="9"/>
  <c r="L1280" i="9"/>
  <c r="O1279" i="9"/>
  <c r="N1279" i="9"/>
  <c r="M1279" i="9"/>
  <c r="L1279" i="9"/>
  <c r="O1278" i="9"/>
  <c r="N1278" i="9"/>
  <c r="M1278" i="9"/>
  <c r="L1278" i="9"/>
  <c r="O1277" i="9"/>
  <c r="N1277" i="9"/>
  <c r="M1277" i="9"/>
  <c r="L1277" i="9"/>
  <c r="O1276" i="9"/>
  <c r="N1276" i="9"/>
  <c r="M1276" i="9"/>
  <c r="L1276" i="9"/>
  <c r="O1275" i="9"/>
  <c r="N1275" i="9"/>
  <c r="M1275" i="9"/>
  <c r="L1275" i="9"/>
  <c r="O1274" i="9"/>
  <c r="N1274" i="9"/>
  <c r="M1274" i="9"/>
  <c r="L1274" i="9"/>
  <c r="O1273" i="9"/>
  <c r="N1273" i="9"/>
  <c r="M1273" i="9"/>
  <c r="L1273" i="9"/>
  <c r="O1272" i="9"/>
  <c r="N1272" i="9"/>
  <c r="M1272" i="9"/>
  <c r="L1272" i="9"/>
  <c r="O1271" i="9"/>
  <c r="N1271" i="9"/>
  <c r="M1271" i="9"/>
  <c r="L1271" i="9"/>
  <c r="O1270" i="9"/>
  <c r="N1270" i="9"/>
  <c r="M1270" i="9"/>
  <c r="L1270" i="9"/>
  <c r="O1269" i="9"/>
  <c r="N1269" i="9"/>
  <c r="M1269" i="9"/>
  <c r="L1269" i="9"/>
  <c r="O1268" i="9"/>
  <c r="N1268" i="9"/>
  <c r="M1268" i="9"/>
  <c r="L1268" i="9"/>
  <c r="O1267" i="9"/>
  <c r="N1267" i="9"/>
  <c r="M1267" i="9"/>
  <c r="L1267" i="9"/>
  <c r="O1266" i="9"/>
  <c r="N1266" i="9"/>
  <c r="M1266" i="9"/>
  <c r="L1266" i="9"/>
  <c r="O1265" i="9"/>
  <c r="N1265" i="9"/>
  <c r="M1265" i="9"/>
  <c r="L1265" i="9"/>
  <c r="O1264" i="9"/>
  <c r="N1264" i="9"/>
  <c r="M1264" i="9"/>
  <c r="L1264" i="9"/>
  <c r="O1263" i="9"/>
  <c r="N1263" i="9"/>
  <c r="M1263" i="9"/>
  <c r="L1263" i="9"/>
  <c r="O1262" i="9"/>
  <c r="N1262" i="9"/>
  <c r="M1262" i="9"/>
  <c r="L1262" i="9"/>
  <c r="O1261" i="9"/>
  <c r="N1261" i="9"/>
  <c r="M1261" i="9"/>
  <c r="L1261" i="9"/>
  <c r="O1260" i="9"/>
  <c r="N1260" i="9"/>
  <c r="M1260" i="9"/>
  <c r="L1260" i="9"/>
  <c r="O1259" i="9"/>
  <c r="N1259" i="9"/>
  <c r="M1259" i="9"/>
  <c r="L1259" i="9"/>
  <c r="O1258" i="9"/>
  <c r="N1258" i="9"/>
  <c r="M1258" i="9"/>
  <c r="L1258" i="9"/>
  <c r="O1257" i="9"/>
  <c r="N1257" i="9"/>
  <c r="M1257" i="9"/>
  <c r="L1257" i="9"/>
  <c r="O1256" i="9"/>
  <c r="N1256" i="9"/>
  <c r="M1256" i="9"/>
  <c r="L1256" i="9"/>
  <c r="O1255" i="9"/>
  <c r="N1255" i="9"/>
  <c r="M1255" i="9"/>
  <c r="L1255" i="9"/>
  <c r="O1254" i="9"/>
  <c r="N1254" i="9"/>
  <c r="M1254" i="9"/>
  <c r="L1254" i="9"/>
  <c r="O1253" i="9"/>
  <c r="N1253" i="9"/>
  <c r="M1253" i="9"/>
  <c r="L1253" i="9"/>
  <c r="O1252" i="9"/>
  <c r="N1252" i="9"/>
  <c r="M1252" i="9"/>
  <c r="L1252" i="9"/>
  <c r="O1251" i="9"/>
  <c r="N1251" i="9"/>
  <c r="M1251" i="9"/>
  <c r="L1251" i="9"/>
  <c r="O1250" i="9"/>
  <c r="N1250" i="9"/>
  <c r="M1250" i="9"/>
  <c r="L1250" i="9"/>
  <c r="O1249" i="9"/>
  <c r="N1249" i="9"/>
  <c r="M1249" i="9"/>
  <c r="L1249" i="9"/>
  <c r="O1248" i="9"/>
  <c r="N1248" i="9"/>
  <c r="M1248" i="9"/>
  <c r="L1248" i="9"/>
  <c r="O1247" i="9"/>
  <c r="N1247" i="9"/>
  <c r="M1247" i="9"/>
  <c r="L1247" i="9"/>
  <c r="O1246" i="9"/>
  <c r="N1246" i="9"/>
  <c r="M1246" i="9"/>
  <c r="L1246" i="9"/>
  <c r="O1245" i="9"/>
  <c r="N1245" i="9"/>
  <c r="M1245" i="9"/>
  <c r="L1245" i="9"/>
  <c r="O1244" i="9"/>
  <c r="N1244" i="9"/>
  <c r="M1244" i="9"/>
  <c r="L1244" i="9"/>
  <c r="O1243" i="9"/>
  <c r="N1243" i="9"/>
  <c r="M1243" i="9"/>
  <c r="L1243" i="9"/>
  <c r="O1242" i="9"/>
  <c r="N1242" i="9"/>
  <c r="M1242" i="9"/>
  <c r="L1242" i="9"/>
  <c r="O1241" i="9"/>
  <c r="N1241" i="9"/>
  <c r="M1241" i="9"/>
  <c r="L1241" i="9"/>
  <c r="O1240" i="9"/>
  <c r="N1240" i="9"/>
  <c r="M1240" i="9"/>
  <c r="L1240" i="9"/>
  <c r="O1239" i="9"/>
  <c r="N1239" i="9"/>
  <c r="M1239" i="9"/>
  <c r="L1239" i="9"/>
  <c r="O1238" i="9"/>
  <c r="N1238" i="9"/>
  <c r="M1238" i="9"/>
  <c r="L1238" i="9"/>
  <c r="O1237" i="9"/>
  <c r="N1237" i="9"/>
  <c r="M1237" i="9"/>
  <c r="L1237" i="9"/>
  <c r="O1236" i="9"/>
  <c r="N1236" i="9"/>
  <c r="M1236" i="9"/>
  <c r="L1236" i="9"/>
  <c r="O1235" i="9"/>
  <c r="N1235" i="9"/>
  <c r="M1235" i="9"/>
  <c r="L1235" i="9"/>
  <c r="O1234" i="9"/>
  <c r="N1234" i="9"/>
  <c r="M1234" i="9"/>
  <c r="L1234" i="9"/>
  <c r="O1233" i="9"/>
  <c r="N1233" i="9"/>
  <c r="M1233" i="9"/>
  <c r="L1233" i="9"/>
  <c r="O1232" i="9"/>
  <c r="N1232" i="9"/>
  <c r="M1232" i="9"/>
  <c r="L1232" i="9"/>
  <c r="O1231" i="9"/>
  <c r="N1231" i="9"/>
  <c r="M1231" i="9"/>
  <c r="L1231" i="9"/>
  <c r="O1230" i="9"/>
  <c r="N1230" i="9"/>
  <c r="M1230" i="9"/>
  <c r="L1230" i="9"/>
  <c r="O1229" i="9"/>
  <c r="N1229" i="9"/>
  <c r="M1229" i="9"/>
  <c r="L1229" i="9"/>
  <c r="O1228" i="9"/>
  <c r="N1228" i="9"/>
  <c r="M1228" i="9"/>
  <c r="L1228" i="9"/>
  <c r="O1227" i="9"/>
  <c r="N1227" i="9"/>
  <c r="M1227" i="9"/>
  <c r="L1227" i="9"/>
  <c r="O1226" i="9"/>
  <c r="N1226" i="9"/>
  <c r="M1226" i="9"/>
  <c r="L1226" i="9"/>
  <c r="O1225" i="9"/>
  <c r="N1225" i="9"/>
  <c r="M1225" i="9"/>
  <c r="L1225" i="9"/>
  <c r="O1224" i="9"/>
  <c r="N1224" i="9"/>
  <c r="M1224" i="9"/>
  <c r="L1224" i="9"/>
  <c r="O1223" i="9"/>
  <c r="N1223" i="9"/>
  <c r="M1223" i="9"/>
  <c r="L1223" i="9"/>
  <c r="O1222" i="9"/>
  <c r="N1222" i="9"/>
  <c r="M1222" i="9"/>
  <c r="L1222" i="9"/>
  <c r="O1221" i="9"/>
  <c r="N1221" i="9"/>
  <c r="M1221" i="9"/>
  <c r="L1221" i="9"/>
  <c r="O1220" i="9"/>
  <c r="N1220" i="9"/>
  <c r="M1220" i="9"/>
  <c r="L1220" i="9"/>
  <c r="O1219" i="9"/>
  <c r="N1219" i="9"/>
  <c r="M1219" i="9"/>
  <c r="L1219" i="9"/>
  <c r="O1218" i="9"/>
  <c r="N1218" i="9"/>
  <c r="M1218" i="9"/>
  <c r="L1218" i="9"/>
  <c r="O1217" i="9"/>
  <c r="N1217" i="9"/>
  <c r="M1217" i="9"/>
  <c r="L1217" i="9"/>
  <c r="O1216" i="9"/>
  <c r="N1216" i="9"/>
  <c r="M1216" i="9"/>
  <c r="L1216" i="9"/>
  <c r="O1215" i="9"/>
  <c r="N1215" i="9"/>
  <c r="M1215" i="9"/>
  <c r="L1215" i="9"/>
  <c r="O1214" i="9"/>
  <c r="N1214" i="9"/>
  <c r="M1214" i="9"/>
  <c r="L1214" i="9"/>
  <c r="O1213" i="9"/>
  <c r="N1213" i="9"/>
  <c r="M1213" i="9"/>
  <c r="L1213" i="9"/>
  <c r="O1212" i="9"/>
  <c r="N1212" i="9"/>
  <c r="M1212" i="9"/>
  <c r="L1212" i="9"/>
  <c r="O1211" i="9"/>
  <c r="N1211" i="9"/>
  <c r="M1211" i="9"/>
  <c r="L1211" i="9"/>
  <c r="O1210" i="9"/>
  <c r="N1210" i="9"/>
  <c r="M1210" i="9"/>
  <c r="L1210" i="9"/>
  <c r="O1209" i="9"/>
  <c r="N1209" i="9"/>
  <c r="M1209" i="9"/>
  <c r="L1209" i="9"/>
  <c r="O1208" i="9"/>
  <c r="N1208" i="9"/>
  <c r="M1208" i="9"/>
  <c r="L1208" i="9"/>
  <c r="O1207" i="9"/>
  <c r="N1207" i="9"/>
  <c r="M1207" i="9"/>
  <c r="L1207" i="9"/>
  <c r="O1206" i="9"/>
  <c r="N1206" i="9"/>
  <c r="M1206" i="9"/>
  <c r="L1206" i="9"/>
  <c r="O1205" i="9"/>
  <c r="N1205" i="9"/>
  <c r="M1205" i="9"/>
  <c r="L1205" i="9"/>
  <c r="O1204" i="9"/>
  <c r="N1204" i="9"/>
  <c r="M1204" i="9"/>
  <c r="L1204" i="9"/>
  <c r="O1203" i="9"/>
  <c r="N1203" i="9"/>
  <c r="M1203" i="9"/>
  <c r="L1203" i="9"/>
  <c r="O1202" i="9"/>
  <c r="N1202" i="9"/>
  <c r="M1202" i="9"/>
  <c r="L1202" i="9"/>
  <c r="O1201" i="9"/>
  <c r="N1201" i="9"/>
  <c r="M1201" i="9"/>
  <c r="L1201" i="9"/>
  <c r="O1200" i="9"/>
  <c r="N1200" i="9"/>
  <c r="M1200" i="9"/>
  <c r="L1200" i="9"/>
  <c r="O1199" i="9"/>
  <c r="N1199" i="9"/>
  <c r="M1199" i="9"/>
  <c r="L1199" i="9"/>
  <c r="O1198" i="9"/>
  <c r="N1198" i="9"/>
  <c r="M1198" i="9"/>
  <c r="L1198" i="9"/>
  <c r="O1197" i="9"/>
  <c r="N1197" i="9"/>
  <c r="M1197" i="9"/>
  <c r="L1197" i="9"/>
  <c r="O1196" i="9"/>
  <c r="N1196" i="9"/>
  <c r="M1196" i="9"/>
  <c r="L1196" i="9"/>
  <c r="O1195" i="9"/>
  <c r="N1195" i="9"/>
  <c r="M1195" i="9"/>
  <c r="L1195" i="9"/>
  <c r="O1194" i="9"/>
  <c r="N1194" i="9"/>
  <c r="M1194" i="9"/>
  <c r="L1194" i="9"/>
  <c r="O1193" i="9"/>
  <c r="N1193" i="9"/>
  <c r="M1193" i="9"/>
  <c r="L1193" i="9"/>
  <c r="O1192" i="9"/>
  <c r="N1192" i="9"/>
  <c r="M1192" i="9"/>
  <c r="L1192" i="9"/>
  <c r="O1191" i="9"/>
  <c r="N1191" i="9"/>
  <c r="M1191" i="9"/>
  <c r="L1191" i="9"/>
  <c r="O1190" i="9"/>
  <c r="N1190" i="9"/>
  <c r="M1190" i="9"/>
  <c r="L1190" i="9"/>
  <c r="O1189" i="9"/>
  <c r="N1189" i="9"/>
  <c r="M1189" i="9"/>
  <c r="L1189" i="9"/>
  <c r="O1188" i="9"/>
  <c r="N1188" i="9"/>
  <c r="M1188" i="9"/>
  <c r="L1188" i="9"/>
  <c r="O1187" i="9"/>
  <c r="N1187" i="9"/>
  <c r="M1187" i="9"/>
  <c r="L1187" i="9"/>
  <c r="O1186" i="9"/>
  <c r="N1186" i="9"/>
  <c r="M1186" i="9"/>
  <c r="L1186" i="9"/>
  <c r="O1185" i="9"/>
  <c r="N1185" i="9"/>
  <c r="M1185" i="9"/>
  <c r="L1185" i="9"/>
  <c r="O1184" i="9"/>
  <c r="N1184" i="9"/>
  <c r="M1184" i="9"/>
  <c r="L1184" i="9"/>
  <c r="O1183" i="9"/>
  <c r="N1183" i="9"/>
  <c r="M1183" i="9"/>
  <c r="L1183" i="9"/>
  <c r="O1182" i="9"/>
  <c r="N1182" i="9"/>
  <c r="M1182" i="9"/>
  <c r="L1182" i="9"/>
  <c r="O1181" i="9"/>
  <c r="N1181" i="9"/>
  <c r="M1181" i="9"/>
  <c r="L1181" i="9"/>
  <c r="O1180" i="9"/>
  <c r="N1180" i="9"/>
  <c r="M1180" i="9"/>
  <c r="L1180" i="9"/>
  <c r="O1179" i="9"/>
  <c r="N1179" i="9"/>
  <c r="M1179" i="9"/>
  <c r="L1179" i="9"/>
  <c r="O1178" i="9"/>
  <c r="N1178" i="9"/>
  <c r="M1178" i="9"/>
  <c r="L1178" i="9"/>
  <c r="O1177" i="9"/>
  <c r="N1177" i="9"/>
  <c r="M1177" i="9"/>
  <c r="L1177" i="9"/>
  <c r="O1176" i="9"/>
  <c r="N1176" i="9"/>
  <c r="M1176" i="9"/>
  <c r="L1176" i="9"/>
  <c r="O1175" i="9"/>
  <c r="N1175" i="9"/>
  <c r="M1175" i="9"/>
  <c r="L1175" i="9"/>
  <c r="O1174" i="9"/>
  <c r="N1174" i="9"/>
  <c r="M1174" i="9"/>
  <c r="L1174" i="9"/>
  <c r="O1173" i="9"/>
  <c r="N1173" i="9"/>
  <c r="M1173" i="9"/>
  <c r="L1173" i="9"/>
  <c r="O1172" i="9"/>
  <c r="N1172" i="9"/>
  <c r="M1172" i="9"/>
  <c r="L1172" i="9"/>
  <c r="O1171" i="9"/>
  <c r="N1171" i="9"/>
  <c r="M1171" i="9"/>
  <c r="L1171" i="9"/>
  <c r="O1170" i="9"/>
  <c r="N1170" i="9"/>
  <c r="M1170" i="9"/>
  <c r="L1170" i="9"/>
  <c r="O1169" i="9"/>
  <c r="N1169" i="9"/>
  <c r="M1169" i="9"/>
  <c r="L1169" i="9"/>
  <c r="O1168" i="9"/>
  <c r="N1168" i="9"/>
  <c r="M1168" i="9"/>
  <c r="L1168" i="9"/>
  <c r="O1167" i="9"/>
  <c r="N1167" i="9"/>
  <c r="M1167" i="9"/>
  <c r="L1167" i="9"/>
  <c r="O1166" i="9"/>
  <c r="N1166" i="9"/>
  <c r="M1166" i="9"/>
  <c r="L1166" i="9"/>
  <c r="O1165" i="9"/>
  <c r="N1165" i="9"/>
  <c r="M1165" i="9"/>
  <c r="L1165" i="9"/>
  <c r="O1164" i="9"/>
  <c r="N1164" i="9"/>
  <c r="M1164" i="9"/>
  <c r="L1164" i="9"/>
  <c r="O1163" i="9"/>
  <c r="N1163" i="9"/>
  <c r="M1163" i="9"/>
  <c r="L1163" i="9"/>
  <c r="O1162" i="9"/>
  <c r="N1162" i="9"/>
  <c r="M1162" i="9"/>
  <c r="L1162" i="9"/>
  <c r="O1161" i="9"/>
  <c r="N1161" i="9"/>
  <c r="M1161" i="9"/>
  <c r="L1161" i="9"/>
  <c r="O1160" i="9"/>
  <c r="N1160" i="9"/>
  <c r="M1160" i="9"/>
  <c r="L1160" i="9"/>
  <c r="O1159" i="9"/>
  <c r="N1159" i="9"/>
  <c r="M1159" i="9"/>
  <c r="L1159" i="9"/>
  <c r="O1158" i="9"/>
  <c r="N1158" i="9"/>
  <c r="M1158" i="9"/>
  <c r="L1158" i="9"/>
  <c r="O1157" i="9"/>
  <c r="N1157" i="9"/>
  <c r="M1157" i="9"/>
  <c r="L1157" i="9"/>
  <c r="O1156" i="9"/>
  <c r="N1156" i="9"/>
  <c r="M1156" i="9"/>
  <c r="L1156" i="9"/>
  <c r="O1155" i="9"/>
  <c r="N1155" i="9"/>
  <c r="M1155" i="9"/>
  <c r="L1155" i="9"/>
  <c r="O1154" i="9"/>
  <c r="N1154" i="9"/>
  <c r="M1154" i="9"/>
  <c r="L1154" i="9"/>
  <c r="O1153" i="9"/>
  <c r="N1153" i="9"/>
  <c r="M1153" i="9"/>
  <c r="L1153" i="9"/>
  <c r="O1152" i="9"/>
  <c r="N1152" i="9"/>
  <c r="M1152" i="9"/>
  <c r="L1152" i="9"/>
  <c r="O1151" i="9"/>
  <c r="N1151" i="9"/>
  <c r="M1151" i="9"/>
  <c r="L1151" i="9"/>
  <c r="O1150" i="9"/>
  <c r="N1150" i="9"/>
  <c r="M1150" i="9"/>
  <c r="L1150" i="9"/>
  <c r="O1149" i="9"/>
  <c r="N1149" i="9"/>
  <c r="M1149" i="9"/>
  <c r="L1149" i="9"/>
  <c r="O1148" i="9"/>
  <c r="N1148" i="9"/>
  <c r="M1148" i="9"/>
  <c r="L1148" i="9"/>
  <c r="O1147" i="9"/>
  <c r="N1147" i="9"/>
  <c r="M1147" i="9"/>
  <c r="L1147" i="9"/>
  <c r="O1146" i="9"/>
  <c r="N1146" i="9"/>
  <c r="M1146" i="9"/>
  <c r="L1146" i="9"/>
  <c r="O1145" i="9"/>
  <c r="N1145" i="9"/>
  <c r="M1145" i="9"/>
  <c r="L1145" i="9"/>
  <c r="O1144" i="9"/>
  <c r="N1144" i="9"/>
  <c r="M1144" i="9"/>
  <c r="L1144" i="9"/>
  <c r="O1143" i="9"/>
  <c r="N1143" i="9"/>
  <c r="M1143" i="9"/>
  <c r="L1143" i="9"/>
  <c r="F1136" i="9"/>
  <c r="F1135" i="9"/>
  <c r="F1134" i="9"/>
  <c r="F1133" i="9"/>
  <c r="F1132" i="9"/>
  <c r="F1131" i="9"/>
  <c r="F1130" i="9"/>
  <c r="F1129" i="9"/>
  <c r="F1128" i="9"/>
  <c r="F1127" i="9"/>
  <c r="F1126" i="9"/>
  <c r="F1125" i="9"/>
  <c r="F1124" i="9"/>
  <c r="F1123" i="9"/>
  <c r="P1119" i="9"/>
  <c r="O1119" i="9"/>
  <c r="N1119" i="9"/>
  <c r="M1119" i="9"/>
  <c r="L1119" i="9"/>
  <c r="K1119" i="9"/>
  <c r="G1119" i="9"/>
  <c r="F1119" i="9"/>
  <c r="E1119" i="9"/>
  <c r="P1118" i="9"/>
  <c r="O1118" i="9"/>
  <c r="N1118" i="9"/>
  <c r="M1118" i="9"/>
  <c r="L1118" i="9"/>
  <c r="K1118" i="9"/>
  <c r="G1118" i="9"/>
  <c r="F1118" i="9"/>
  <c r="E1118" i="9"/>
  <c r="P1117" i="9"/>
  <c r="O1117" i="9"/>
  <c r="N1117" i="9"/>
  <c r="M1117" i="9"/>
  <c r="L1117" i="9"/>
  <c r="K1117" i="9"/>
  <c r="G1117" i="9"/>
  <c r="F1117" i="9"/>
  <c r="E1117" i="9"/>
  <c r="P1116" i="9"/>
  <c r="O1116" i="9"/>
  <c r="N1116" i="9"/>
  <c r="M1116" i="9"/>
  <c r="L1116" i="9"/>
  <c r="K1116" i="9"/>
  <c r="G1116" i="9"/>
  <c r="F1116" i="9"/>
  <c r="E1116" i="9"/>
  <c r="P1115" i="9"/>
  <c r="O1115" i="9"/>
  <c r="N1115" i="9"/>
  <c r="M1115" i="9"/>
  <c r="L1115" i="9"/>
  <c r="K1115" i="9"/>
  <c r="G1115" i="9"/>
  <c r="F1115" i="9"/>
  <c r="E1115" i="9"/>
  <c r="P1114" i="9"/>
  <c r="O1114" i="9"/>
  <c r="N1114" i="9"/>
  <c r="M1114" i="9"/>
  <c r="L1114" i="9"/>
  <c r="K1114" i="9"/>
  <c r="G1114" i="9"/>
  <c r="F1114" i="9"/>
  <c r="E1114" i="9"/>
  <c r="P1113" i="9"/>
  <c r="O1113" i="9"/>
  <c r="N1113" i="9"/>
  <c r="M1113" i="9"/>
  <c r="L1113" i="9"/>
  <c r="K1113" i="9"/>
  <c r="G1113" i="9"/>
  <c r="F1113" i="9"/>
  <c r="E1113" i="9"/>
  <c r="P1112" i="9"/>
  <c r="O1112" i="9"/>
  <c r="N1112" i="9"/>
  <c r="M1112" i="9"/>
  <c r="L1112" i="9"/>
  <c r="K1112" i="9"/>
  <c r="G1112" i="9"/>
  <c r="F1112" i="9"/>
  <c r="E1112" i="9"/>
  <c r="P1111" i="9"/>
  <c r="O1111" i="9"/>
  <c r="N1111" i="9"/>
  <c r="M1111" i="9"/>
  <c r="L1111" i="9"/>
  <c r="K1111" i="9"/>
  <c r="G1111" i="9"/>
  <c r="F1111" i="9"/>
  <c r="E1111" i="9"/>
  <c r="P1110" i="9"/>
  <c r="O1110" i="9"/>
  <c r="N1110" i="9"/>
  <c r="M1110" i="9"/>
  <c r="L1110" i="9"/>
  <c r="K1110" i="9"/>
  <c r="G1110" i="9"/>
  <c r="F1110" i="9"/>
  <c r="E1110" i="9"/>
  <c r="P1109" i="9"/>
  <c r="O1109" i="9"/>
  <c r="N1109" i="9"/>
  <c r="M1109" i="9"/>
  <c r="L1109" i="9"/>
  <c r="K1109" i="9"/>
  <c r="G1109" i="9"/>
  <c r="F1109" i="9"/>
  <c r="E1109" i="9"/>
  <c r="P1108" i="9"/>
  <c r="O1108" i="9"/>
  <c r="N1108" i="9"/>
  <c r="M1108" i="9"/>
  <c r="L1108" i="9"/>
  <c r="K1108" i="9"/>
  <c r="G1108" i="9"/>
  <c r="F1108" i="9"/>
  <c r="E1108" i="9"/>
  <c r="P1107" i="9"/>
  <c r="O1107" i="9"/>
  <c r="N1107" i="9"/>
  <c r="M1107" i="9"/>
  <c r="L1107" i="9"/>
  <c r="K1107" i="9"/>
  <c r="G1107" i="9"/>
  <c r="F1107" i="9"/>
  <c r="E1107" i="9"/>
  <c r="P1106" i="9"/>
  <c r="O1106" i="9"/>
  <c r="N1106" i="9"/>
  <c r="M1106" i="9"/>
  <c r="L1106" i="9"/>
  <c r="K1106" i="9"/>
  <c r="G1106" i="9"/>
  <c r="F1106" i="9"/>
  <c r="E1106" i="9"/>
  <c r="P1105" i="9"/>
  <c r="O1105" i="9"/>
  <c r="N1105" i="9"/>
  <c r="M1105" i="9"/>
  <c r="L1105" i="9"/>
  <c r="K1105" i="9"/>
  <c r="G1105" i="9"/>
  <c r="F1105" i="9"/>
  <c r="E1105" i="9"/>
  <c r="P1104" i="9"/>
  <c r="O1104" i="9"/>
  <c r="N1104" i="9"/>
  <c r="M1104" i="9"/>
  <c r="L1104" i="9"/>
  <c r="K1104" i="9"/>
  <c r="G1104" i="9"/>
  <c r="F1104" i="9"/>
  <c r="E1104" i="9"/>
  <c r="P1103" i="9"/>
  <c r="O1103" i="9"/>
  <c r="N1103" i="9"/>
  <c r="M1103" i="9"/>
  <c r="L1103" i="9"/>
  <c r="K1103" i="9"/>
  <c r="G1103" i="9"/>
  <c r="F1103" i="9"/>
  <c r="E1103" i="9"/>
  <c r="P1102" i="9"/>
  <c r="O1102" i="9"/>
  <c r="N1102" i="9"/>
  <c r="M1102" i="9"/>
  <c r="L1102" i="9"/>
  <c r="K1102" i="9"/>
  <c r="G1102" i="9"/>
  <c r="F1102" i="9"/>
  <c r="E1102" i="9"/>
  <c r="P1101" i="9"/>
  <c r="O1101" i="9"/>
  <c r="N1101" i="9"/>
  <c r="M1101" i="9"/>
  <c r="L1101" i="9"/>
  <c r="K1101" i="9"/>
  <c r="G1101" i="9"/>
  <c r="F1101" i="9"/>
  <c r="E1101" i="9"/>
  <c r="P1100" i="9"/>
  <c r="O1100" i="9"/>
  <c r="N1100" i="9"/>
  <c r="M1100" i="9"/>
  <c r="L1100" i="9"/>
  <c r="K1100" i="9"/>
  <c r="G1100" i="9"/>
  <c r="F1100" i="9"/>
  <c r="E1100" i="9"/>
  <c r="P1099" i="9"/>
  <c r="O1099" i="9"/>
  <c r="N1099" i="9"/>
  <c r="M1099" i="9"/>
  <c r="L1099" i="9"/>
  <c r="K1099" i="9"/>
  <c r="G1099" i="9"/>
  <c r="F1099" i="9"/>
  <c r="E1099" i="9"/>
  <c r="P1098" i="9"/>
  <c r="O1098" i="9"/>
  <c r="N1098" i="9"/>
  <c r="M1098" i="9"/>
  <c r="L1098" i="9"/>
  <c r="K1098" i="9"/>
  <c r="G1098" i="9"/>
  <c r="F1098" i="9"/>
  <c r="E1098" i="9"/>
  <c r="P1097" i="9"/>
  <c r="O1097" i="9"/>
  <c r="N1097" i="9"/>
  <c r="M1097" i="9"/>
  <c r="L1097" i="9"/>
  <c r="K1097" i="9"/>
  <c r="G1097" i="9"/>
  <c r="F1097" i="9"/>
  <c r="E1097" i="9"/>
  <c r="P1096" i="9"/>
  <c r="O1096" i="9"/>
  <c r="N1096" i="9"/>
  <c r="M1096" i="9"/>
  <c r="L1096" i="9"/>
  <c r="K1096" i="9"/>
  <c r="G1096" i="9"/>
  <c r="F1096" i="9"/>
  <c r="E1096" i="9"/>
  <c r="P1095" i="9"/>
  <c r="O1095" i="9"/>
  <c r="N1095" i="9"/>
  <c r="M1095" i="9"/>
  <c r="L1095" i="9"/>
  <c r="K1095" i="9"/>
  <c r="G1095" i="9"/>
  <c r="F1095" i="9"/>
  <c r="E1095" i="9"/>
  <c r="P1094" i="9"/>
  <c r="O1094" i="9"/>
  <c r="N1094" i="9"/>
  <c r="M1094" i="9"/>
  <c r="L1094" i="9"/>
  <c r="K1094" i="9"/>
  <c r="G1094" i="9"/>
  <c r="F1094" i="9"/>
  <c r="E1094" i="9"/>
  <c r="P1093" i="9"/>
  <c r="O1093" i="9"/>
  <c r="N1093" i="9"/>
  <c r="M1093" i="9"/>
  <c r="L1093" i="9"/>
  <c r="K1093" i="9"/>
  <c r="G1093" i="9"/>
  <c r="F1093" i="9"/>
  <c r="E1093" i="9"/>
  <c r="P1092" i="9"/>
  <c r="O1092" i="9"/>
  <c r="N1092" i="9"/>
  <c r="M1092" i="9"/>
  <c r="L1092" i="9"/>
  <c r="K1092" i="9"/>
  <c r="G1092" i="9"/>
  <c r="F1092" i="9"/>
  <c r="E1092" i="9"/>
  <c r="P1091" i="9"/>
  <c r="O1091" i="9"/>
  <c r="N1091" i="9"/>
  <c r="M1091" i="9"/>
  <c r="L1091" i="9"/>
  <c r="K1091" i="9"/>
  <c r="G1091" i="9"/>
  <c r="F1091" i="9"/>
  <c r="E1091" i="9"/>
  <c r="P1090" i="9"/>
  <c r="O1090" i="9"/>
  <c r="N1090" i="9"/>
  <c r="M1090" i="9"/>
  <c r="L1090" i="9"/>
  <c r="K1090" i="9"/>
  <c r="G1090" i="9"/>
  <c r="F1090" i="9"/>
  <c r="E1090" i="9"/>
  <c r="P1089" i="9"/>
  <c r="O1089" i="9"/>
  <c r="N1089" i="9"/>
  <c r="M1089" i="9"/>
  <c r="L1089" i="9"/>
  <c r="K1089" i="9"/>
  <c r="G1089" i="9"/>
  <c r="F1089" i="9"/>
  <c r="E1089" i="9"/>
  <c r="P1088" i="9"/>
  <c r="O1088" i="9"/>
  <c r="N1088" i="9"/>
  <c r="M1088" i="9"/>
  <c r="L1088" i="9"/>
  <c r="K1088" i="9"/>
  <c r="G1088" i="9"/>
  <c r="F1088" i="9"/>
  <c r="E1088" i="9"/>
  <c r="P1087" i="9"/>
  <c r="O1087" i="9"/>
  <c r="N1087" i="9"/>
  <c r="M1087" i="9"/>
  <c r="L1087" i="9"/>
  <c r="K1087" i="9"/>
  <c r="G1087" i="9"/>
  <c r="F1087" i="9"/>
  <c r="E1087" i="9"/>
  <c r="P1086" i="9"/>
  <c r="O1086" i="9"/>
  <c r="N1086" i="9"/>
  <c r="M1086" i="9"/>
  <c r="L1086" i="9"/>
  <c r="K1086" i="9"/>
  <c r="G1086" i="9"/>
  <c r="F1086" i="9"/>
  <c r="E1086" i="9"/>
  <c r="P1085" i="9"/>
  <c r="O1085" i="9"/>
  <c r="N1085" i="9"/>
  <c r="M1085" i="9"/>
  <c r="L1085" i="9"/>
  <c r="K1085" i="9"/>
  <c r="G1085" i="9"/>
  <c r="F1085" i="9"/>
  <c r="E1085" i="9"/>
  <c r="P1084" i="9"/>
  <c r="O1084" i="9"/>
  <c r="N1084" i="9"/>
  <c r="M1084" i="9"/>
  <c r="L1084" i="9"/>
  <c r="K1084" i="9"/>
  <c r="G1084" i="9"/>
  <c r="F1084" i="9"/>
  <c r="E1084" i="9"/>
  <c r="P1083" i="9"/>
  <c r="O1083" i="9"/>
  <c r="N1083" i="9"/>
  <c r="M1083" i="9"/>
  <c r="L1083" i="9"/>
  <c r="K1083" i="9"/>
  <c r="G1083" i="9"/>
  <c r="F1083" i="9"/>
  <c r="E1083" i="9"/>
  <c r="P1082" i="9"/>
  <c r="O1082" i="9"/>
  <c r="N1082" i="9"/>
  <c r="M1082" i="9"/>
  <c r="L1082" i="9"/>
  <c r="K1082" i="9"/>
  <c r="G1082" i="9"/>
  <c r="F1082" i="9"/>
  <c r="E1082" i="9"/>
  <c r="P1081" i="9"/>
  <c r="O1081" i="9"/>
  <c r="N1081" i="9"/>
  <c r="M1081" i="9"/>
  <c r="L1081" i="9"/>
  <c r="K1081" i="9"/>
  <c r="G1081" i="9"/>
  <c r="F1081" i="9"/>
  <c r="E1081" i="9"/>
  <c r="P1080" i="9"/>
  <c r="O1080" i="9"/>
  <c r="N1080" i="9"/>
  <c r="M1080" i="9"/>
  <c r="L1080" i="9"/>
  <c r="K1080" i="9"/>
  <c r="G1080" i="9"/>
  <c r="F1080" i="9"/>
  <c r="E1080" i="9"/>
  <c r="P1079" i="9"/>
  <c r="O1079" i="9"/>
  <c r="N1079" i="9"/>
  <c r="M1079" i="9"/>
  <c r="L1079" i="9"/>
  <c r="K1079" i="9"/>
  <c r="G1079" i="9"/>
  <c r="F1079" i="9"/>
  <c r="E1079" i="9"/>
  <c r="P1078" i="9"/>
  <c r="O1078" i="9"/>
  <c r="N1078" i="9"/>
  <c r="M1078" i="9"/>
  <c r="L1078" i="9"/>
  <c r="K1078" i="9"/>
  <c r="G1078" i="9"/>
  <c r="F1078" i="9"/>
  <c r="E1078" i="9"/>
  <c r="P1077" i="9"/>
  <c r="O1077" i="9"/>
  <c r="N1077" i="9"/>
  <c r="M1077" i="9"/>
  <c r="L1077" i="9"/>
  <c r="K1077" i="9"/>
  <c r="G1077" i="9"/>
  <c r="F1077" i="9"/>
  <c r="E1077" i="9"/>
  <c r="P1076" i="9"/>
  <c r="O1076" i="9"/>
  <c r="N1076" i="9"/>
  <c r="M1076" i="9"/>
  <c r="L1076" i="9"/>
  <c r="K1076" i="9"/>
  <c r="G1076" i="9"/>
  <c r="F1076" i="9"/>
  <c r="E1076" i="9"/>
  <c r="P1075" i="9"/>
  <c r="O1075" i="9"/>
  <c r="N1075" i="9"/>
  <c r="M1075" i="9"/>
  <c r="L1075" i="9"/>
  <c r="K1075" i="9"/>
  <c r="G1075" i="9"/>
  <c r="F1075" i="9"/>
  <c r="E1075" i="9"/>
  <c r="P1074" i="9"/>
  <c r="O1074" i="9"/>
  <c r="N1074" i="9"/>
  <c r="M1074" i="9"/>
  <c r="L1074" i="9"/>
  <c r="K1074" i="9"/>
  <c r="G1074" i="9"/>
  <c r="F1074" i="9"/>
  <c r="E1074" i="9"/>
  <c r="P1073" i="9"/>
  <c r="O1073" i="9"/>
  <c r="N1073" i="9"/>
  <c r="M1073" i="9"/>
  <c r="L1073" i="9"/>
  <c r="K1073" i="9"/>
  <c r="G1073" i="9"/>
  <c r="F1073" i="9"/>
  <c r="E1073" i="9"/>
  <c r="P1072" i="9"/>
  <c r="O1072" i="9"/>
  <c r="N1072" i="9"/>
  <c r="M1072" i="9"/>
  <c r="L1072" i="9"/>
  <c r="K1072" i="9"/>
  <c r="G1072" i="9"/>
  <c r="F1072" i="9"/>
  <c r="E1072" i="9"/>
  <c r="P1071" i="9"/>
  <c r="O1071" i="9"/>
  <c r="N1071" i="9"/>
  <c r="M1071" i="9"/>
  <c r="L1071" i="9"/>
  <c r="K1071" i="9"/>
  <c r="G1071" i="9"/>
  <c r="F1071" i="9"/>
  <c r="E1071" i="9"/>
  <c r="P1070" i="9"/>
  <c r="O1070" i="9"/>
  <c r="N1070" i="9"/>
  <c r="M1070" i="9"/>
  <c r="L1070" i="9"/>
  <c r="K1070" i="9"/>
  <c r="G1070" i="9"/>
  <c r="F1070" i="9"/>
  <c r="E1070" i="9"/>
  <c r="P1069" i="9"/>
  <c r="O1069" i="9"/>
  <c r="N1069" i="9"/>
  <c r="M1069" i="9"/>
  <c r="L1069" i="9"/>
  <c r="K1069" i="9"/>
  <c r="G1069" i="9"/>
  <c r="F1069" i="9"/>
  <c r="E1069" i="9"/>
  <c r="P1068" i="9"/>
  <c r="O1068" i="9"/>
  <c r="N1068" i="9"/>
  <c r="M1068" i="9"/>
  <c r="L1068" i="9"/>
  <c r="K1068" i="9"/>
  <c r="G1068" i="9"/>
  <c r="F1068" i="9"/>
  <c r="E1068" i="9"/>
  <c r="P1067" i="9"/>
  <c r="O1067" i="9"/>
  <c r="N1067" i="9"/>
  <c r="M1067" i="9"/>
  <c r="L1067" i="9"/>
  <c r="K1067" i="9"/>
  <c r="G1067" i="9"/>
  <c r="F1067" i="9"/>
  <c r="E1067" i="9"/>
  <c r="P1066" i="9"/>
  <c r="O1066" i="9"/>
  <c r="N1066" i="9"/>
  <c r="M1066" i="9"/>
  <c r="L1066" i="9"/>
  <c r="K1066" i="9"/>
  <c r="G1066" i="9"/>
  <c r="F1066" i="9"/>
  <c r="E1066" i="9"/>
  <c r="P1065" i="9"/>
  <c r="O1065" i="9"/>
  <c r="N1065" i="9"/>
  <c r="M1065" i="9"/>
  <c r="L1065" i="9"/>
  <c r="K1065" i="9"/>
  <c r="G1065" i="9"/>
  <c r="F1065" i="9"/>
  <c r="E1065" i="9"/>
  <c r="P1064" i="9"/>
  <c r="O1064" i="9"/>
  <c r="N1064" i="9"/>
  <c r="M1064" i="9"/>
  <c r="L1064" i="9"/>
  <c r="K1064" i="9"/>
  <c r="G1064" i="9"/>
  <c r="F1064" i="9"/>
  <c r="E1064" i="9"/>
  <c r="P1063" i="9"/>
  <c r="O1063" i="9"/>
  <c r="N1063" i="9"/>
  <c r="M1063" i="9"/>
  <c r="L1063" i="9"/>
  <c r="K1063" i="9"/>
  <c r="G1063" i="9"/>
  <c r="F1063" i="9"/>
  <c r="E1063" i="9"/>
  <c r="P1062" i="9"/>
  <c r="O1062" i="9"/>
  <c r="N1062" i="9"/>
  <c r="M1062" i="9"/>
  <c r="L1062" i="9"/>
  <c r="K1062" i="9"/>
  <c r="G1062" i="9"/>
  <c r="F1062" i="9"/>
  <c r="E1062" i="9"/>
  <c r="P1061" i="9"/>
  <c r="O1061" i="9"/>
  <c r="N1061" i="9"/>
  <c r="M1061" i="9"/>
  <c r="L1061" i="9"/>
  <c r="K1061" i="9"/>
  <c r="G1061" i="9"/>
  <c r="F1061" i="9"/>
  <c r="E1061" i="9"/>
  <c r="P1060" i="9"/>
  <c r="O1060" i="9"/>
  <c r="N1060" i="9"/>
  <c r="M1060" i="9"/>
  <c r="L1060" i="9"/>
  <c r="K1060" i="9"/>
  <c r="G1060" i="9"/>
  <c r="F1060" i="9"/>
  <c r="E1060" i="9"/>
  <c r="P1059" i="9"/>
  <c r="O1059" i="9"/>
  <c r="N1059" i="9"/>
  <c r="M1059" i="9"/>
  <c r="L1059" i="9"/>
  <c r="K1059" i="9"/>
  <c r="G1059" i="9"/>
  <c r="F1059" i="9"/>
  <c r="E1059" i="9"/>
  <c r="P1058" i="9"/>
  <c r="O1058" i="9"/>
  <c r="N1058" i="9"/>
  <c r="M1058" i="9"/>
  <c r="L1058" i="9"/>
  <c r="K1058" i="9"/>
  <c r="G1058" i="9"/>
  <c r="F1058" i="9"/>
  <c r="E1058" i="9"/>
  <c r="P1057" i="9"/>
  <c r="O1057" i="9"/>
  <c r="N1057" i="9"/>
  <c r="M1057" i="9"/>
  <c r="L1057" i="9"/>
  <c r="K1057" i="9"/>
  <c r="G1057" i="9"/>
  <c r="F1057" i="9"/>
  <c r="E1057" i="9"/>
  <c r="P1056" i="9"/>
  <c r="O1056" i="9"/>
  <c r="N1056" i="9"/>
  <c r="M1056" i="9"/>
  <c r="L1056" i="9"/>
  <c r="K1056" i="9"/>
  <c r="G1056" i="9"/>
  <c r="F1056" i="9"/>
  <c r="E1056" i="9"/>
  <c r="P1055" i="9"/>
  <c r="O1055" i="9"/>
  <c r="N1055" i="9"/>
  <c r="M1055" i="9"/>
  <c r="L1055" i="9"/>
  <c r="K1055" i="9"/>
  <c r="G1055" i="9"/>
  <c r="F1055" i="9"/>
  <c r="E1055" i="9"/>
  <c r="P1054" i="9"/>
  <c r="O1054" i="9"/>
  <c r="N1054" i="9"/>
  <c r="M1054" i="9"/>
  <c r="L1054" i="9"/>
  <c r="K1054" i="9"/>
  <c r="G1054" i="9"/>
  <c r="F1054" i="9"/>
  <c r="E1054" i="9"/>
  <c r="P1053" i="9"/>
  <c r="O1053" i="9"/>
  <c r="N1053" i="9"/>
  <c r="M1053" i="9"/>
  <c r="L1053" i="9"/>
  <c r="K1053" i="9"/>
  <c r="G1053" i="9"/>
  <c r="F1053" i="9"/>
  <c r="E1053" i="9"/>
  <c r="P1052" i="9"/>
  <c r="O1052" i="9"/>
  <c r="N1052" i="9"/>
  <c r="M1052" i="9"/>
  <c r="L1052" i="9"/>
  <c r="K1052" i="9"/>
  <c r="G1052" i="9"/>
  <c r="F1052" i="9"/>
  <c r="E1052" i="9"/>
  <c r="P1051" i="9"/>
  <c r="O1051" i="9"/>
  <c r="N1051" i="9"/>
  <c r="M1051" i="9"/>
  <c r="L1051" i="9"/>
  <c r="K1051" i="9"/>
  <c r="G1051" i="9"/>
  <c r="F1051" i="9"/>
  <c r="E1051" i="9"/>
  <c r="P1050" i="9"/>
  <c r="O1050" i="9"/>
  <c r="N1050" i="9"/>
  <c r="M1050" i="9"/>
  <c r="L1050" i="9"/>
  <c r="K1050" i="9"/>
  <c r="G1050" i="9"/>
  <c r="F1050" i="9"/>
  <c r="E1050" i="9"/>
  <c r="P1049" i="9"/>
  <c r="O1049" i="9"/>
  <c r="N1049" i="9"/>
  <c r="M1049" i="9"/>
  <c r="L1049" i="9"/>
  <c r="K1049" i="9"/>
  <c r="G1049" i="9"/>
  <c r="F1049" i="9"/>
  <c r="E1049" i="9"/>
  <c r="P1048" i="9"/>
  <c r="O1048" i="9"/>
  <c r="N1048" i="9"/>
  <c r="M1048" i="9"/>
  <c r="L1048" i="9"/>
  <c r="K1048" i="9"/>
  <c r="G1048" i="9"/>
  <c r="F1048" i="9"/>
  <c r="E1048" i="9"/>
  <c r="P1047" i="9"/>
  <c r="O1047" i="9"/>
  <c r="N1047" i="9"/>
  <c r="M1047" i="9"/>
  <c r="L1047" i="9"/>
  <c r="K1047" i="9"/>
  <c r="G1047" i="9"/>
  <c r="F1047" i="9"/>
  <c r="E1047" i="9"/>
  <c r="P1046" i="9"/>
  <c r="O1046" i="9"/>
  <c r="N1046" i="9"/>
  <c r="M1046" i="9"/>
  <c r="L1046" i="9"/>
  <c r="K1046" i="9"/>
  <c r="G1046" i="9"/>
  <c r="F1046" i="9"/>
  <c r="E1046" i="9"/>
  <c r="P1045" i="9"/>
  <c r="O1045" i="9"/>
  <c r="N1045" i="9"/>
  <c r="M1045" i="9"/>
  <c r="L1045" i="9"/>
  <c r="K1045" i="9"/>
  <c r="G1045" i="9"/>
  <c r="F1045" i="9"/>
  <c r="E1045" i="9"/>
  <c r="P1044" i="9"/>
  <c r="O1044" i="9"/>
  <c r="N1044" i="9"/>
  <c r="M1044" i="9"/>
  <c r="L1044" i="9"/>
  <c r="K1044" i="9"/>
  <c r="G1044" i="9"/>
  <c r="F1044" i="9"/>
  <c r="E1044" i="9"/>
  <c r="P1043" i="9"/>
  <c r="O1043" i="9"/>
  <c r="N1043" i="9"/>
  <c r="M1043" i="9"/>
  <c r="L1043" i="9"/>
  <c r="K1043" i="9"/>
  <c r="G1043" i="9"/>
  <c r="F1043" i="9"/>
  <c r="E1043" i="9"/>
  <c r="P1042" i="9"/>
  <c r="O1042" i="9"/>
  <c r="N1042" i="9"/>
  <c r="M1042" i="9"/>
  <c r="L1042" i="9"/>
  <c r="K1042" i="9"/>
  <c r="G1042" i="9"/>
  <c r="F1042" i="9"/>
  <c r="E1042" i="9"/>
  <c r="P1041" i="9"/>
  <c r="O1041" i="9"/>
  <c r="N1041" i="9"/>
  <c r="M1041" i="9"/>
  <c r="L1041" i="9"/>
  <c r="K1041" i="9"/>
  <c r="G1041" i="9"/>
  <c r="F1041" i="9"/>
  <c r="E1041" i="9"/>
  <c r="P1040" i="9"/>
  <c r="O1040" i="9"/>
  <c r="N1040" i="9"/>
  <c r="M1040" i="9"/>
  <c r="L1040" i="9"/>
  <c r="K1040" i="9"/>
  <c r="G1040" i="9"/>
  <c r="F1040" i="9"/>
  <c r="E1040" i="9"/>
  <c r="P1039" i="9"/>
  <c r="O1039" i="9"/>
  <c r="N1039" i="9"/>
  <c r="M1039" i="9"/>
  <c r="L1039" i="9"/>
  <c r="K1039" i="9"/>
  <c r="G1039" i="9"/>
  <c r="F1039" i="9"/>
  <c r="E1039" i="9"/>
  <c r="P1038" i="9"/>
  <c r="O1038" i="9"/>
  <c r="N1038" i="9"/>
  <c r="M1038" i="9"/>
  <c r="L1038" i="9"/>
  <c r="K1038" i="9"/>
  <c r="G1038" i="9"/>
  <c r="F1038" i="9"/>
  <c r="E1038" i="9"/>
  <c r="P1037" i="9"/>
  <c r="O1037" i="9"/>
  <c r="N1037" i="9"/>
  <c r="M1037" i="9"/>
  <c r="L1037" i="9"/>
  <c r="K1037" i="9"/>
  <c r="G1037" i="9"/>
  <c r="F1037" i="9"/>
  <c r="E1037" i="9"/>
  <c r="P1036" i="9"/>
  <c r="O1036" i="9"/>
  <c r="N1036" i="9"/>
  <c r="M1036" i="9"/>
  <c r="L1036" i="9"/>
  <c r="K1036" i="9"/>
  <c r="G1036" i="9"/>
  <c r="F1036" i="9"/>
  <c r="E1036" i="9"/>
  <c r="P1035" i="9"/>
  <c r="O1035" i="9"/>
  <c r="N1035" i="9"/>
  <c r="M1035" i="9"/>
  <c r="L1035" i="9"/>
  <c r="K1035" i="9"/>
  <c r="G1035" i="9"/>
  <c r="F1035" i="9"/>
  <c r="E1035" i="9"/>
  <c r="P1034" i="9"/>
  <c r="O1034" i="9"/>
  <c r="N1034" i="9"/>
  <c r="M1034" i="9"/>
  <c r="L1034" i="9"/>
  <c r="K1034" i="9"/>
  <c r="G1034" i="9"/>
  <c r="F1034" i="9"/>
  <c r="E1034" i="9"/>
  <c r="P1033" i="9"/>
  <c r="O1033" i="9"/>
  <c r="N1033" i="9"/>
  <c r="M1033" i="9"/>
  <c r="L1033" i="9"/>
  <c r="K1033" i="9"/>
  <c r="G1033" i="9"/>
  <c r="F1033" i="9"/>
  <c r="E1033" i="9"/>
  <c r="P1032" i="9"/>
  <c r="O1032" i="9"/>
  <c r="N1032" i="9"/>
  <c r="M1032" i="9"/>
  <c r="L1032" i="9"/>
  <c r="K1032" i="9"/>
  <c r="G1032" i="9"/>
  <c r="F1032" i="9"/>
  <c r="E1032" i="9"/>
  <c r="P1031" i="9"/>
  <c r="O1031" i="9"/>
  <c r="N1031" i="9"/>
  <c r="M1031" i="9"/>
  <c r="L1031" i="9"/>
  <c r="K1031" i="9"/>
  <c r="G1031" i="9"/>
  <c r="F1031" i="9"/>
  <c r="E1031" i="9"/>
  <c r="P1030" i="9"/>
  <c r="O1030" i="9"/>
  <c r="N1030" i="9"/>
  <c r="M1030" i="9"/>
  <c r="L1030" i="9"/>
  <c r="K1030" i="9"/>
  <c r="G1030" i="9"/>
  <c r="F1030" i="9"/>
  <c r="E1030" i="9"/>
  <c r="P1029" i="9"/>
  <c r="O1029" i="9"/>
  <c r="N1029" i="9"/>
  <c r="M1029" i="9"/>
  <c r="L1029" i="9"/>
  <c r="K1029" i="9"/>
  <c r="G1029" i="9"/>
  <c r="F1029" i="9"/>
  <c r="E1029" i="9"/>
  <c r="P1028" i="9"/>
  <c r="O1028" i="9"/>
  <c r="N1028" i="9"/>
  <c r="M1028" i="9"/>
  <c r="L1028" i="9"/>
  <c r="K1028" i="9"/>
  <c r="G1028" i="9"/>
  <c r="F1028" i="9"/>
  <c r="E1028" i="9"/>
  <c r="P1027" i="9"/>
  <c r="O1027" i="9"/>
  <c r="N1027" i="9"/>
  <c r="M1027" i="9"/>
  <c r="L1027" i="9"/>
  <c r="K1027" i="9"/>
  <c r="G1027" i="9"/>
  <c r="F1027" i="9"/>
  <c r="E1027" i="9"/>
  <c r="P1026" i="9"/>
  <c r="O1026" i="9"/>
  <c r="N1026" i="9"/>
  <c r="M1026" i="9"/>
  <c r="L1026" i="9"/>
  <c r="K1026" i="9"/>
  <c r="G1026" i="9"/>
  <c r="F1026" i="9"/>
  <c r="E1026" i="9"/>
  <c r="P1025" i="9"/>
  <c r="O1025" i="9"/>
  <c r="N1025" i="9"/>
  <c r="M1025" i="9"/>
  <c r="L1025" i="9"/>
  <c r="K1025" i="9"/>
  <c r="G1025" i="9"/>
  <c r="F1025" i="9"/>
  <c r="E1025" i="9"/>
  <c r="P1024" i="9"/>
  <c r="O1024" i="9"/>
  <c r="N1024" i="9"/>
  <c r="M1024" i="9"/>
  <c r="L1024" i="9"/>
  <c r="K1024" i="9"/>
  <c r="G1024" i="9"/>
  <c r="F1024" i="9"/>
  <c r="E1024" i="9"/>
  <c r="P1023" i="9"/>
  <c r="O1023" i="9"/>
  <c r="N1023" i="9"/>
  <c r="M1023" i="9"/>
  <c r="L1023" i="9"/>
  <c r="K1023" i="9"/>
  <c r="G1023" i="9"/>
  <c r="F1023" i="9"/>
  <c r="E1023" i="9"/>
  <c r="P1022" i="9"/>
  <c r="O1022" i="9"/>
  <c r="N1022" i="9"/>
  <c r="M1022" i="9"/>
  <c r="L1022" i="9"/>
  <c r="K1022" i="9"/>
  <c r="G1022" i="9"/>
  <c r="F1022" i="9"/>
  <c r="E1022" i="9"/>
  <c r="P1021" i="9"/>
  <c r="O1021" i="9"/>
  <c r="N1021" i="9"/>
  <c r="M1021" i="9"/>
  <c r="L1021" i="9"/>
  <c r="K1021" i="9"/>
  <c r="G1021" i="9"/>
  <c r="F1021" i="9"/>
  <c r="E1021" i="9"/>
  <c r="P1020" i="9"/>
  <c r="O1020" i="9"/>
  <c r="N1020" i="9"/>
  <c r="M1020" i="9"/>
  <c r="L1020" i="9"/>
  <c r="K1020" i="9"/>
  <c r="G1020" i="9"/>
  <c r="F1020" i="9"/>
  <c r="E1020" i="9"/>
  <c r="P1019" i="9"/>
  <c r="O1019" i="9"/>
  <c r="N1019" i="9"/>
  <c r="M1019" i="9"/>
  <c r="L1019" i="9"/>
  <c r="K1019" i="9"/>
  <c r="G1019" i="9"/>
  <c r="F1019" i="9"/>
  <c r="E1019" i="9"/>
  <c r="P1018" i="9"/>
  <c r="O1018" i="9"/>
  <c r="N1018" i="9"/>
  <c r="M1018" i="9"/>
  <c r="L1018" i="9"/>
  <c r="K1018" i="9"/>
  <c r="G1018" i="9"/>
  <c r="F1018" i="9"/>
  <c r="E1018" i="9"/>
  <c r="P1017" i="9"/>
  <c r="O1017" i="9"/>
  <c r="N1017" i="9"/>
  <c r="M1017" i="9"/>
  <c r="L1017" i="9"/>
  <c r="K1017" i="9"/>
  <c r="G1017" i="9"/>
  <c r="F1017" i="9"/>
  <c r="E1017" i="9"/>
  <c r="P1016" i="9"/>
  <c r="O1016" i="9"/>
  <c r="N1016" i="9"/>
  <c r="M1016" i="9"/>
  <c r="L1016" i="9"/>
  <c r="K1016" i="9"/>
  <c r="G1016" i="9"/>
  <c r="F1016" i="9"/>
  <c r="E1016" i="9"/>
  <c r="P1015" i="9"/>
  <c r="O1015" i="9"/>
  <c r="N1015" i="9"/>
  <c r="M1015" i="9"/>
  <c r="L1015" i="9"/>
  <c r="K1015" i="9"/>
  <c r="G1015" i="9"/>
  <c r="F1015" i="9"/>
  <c r="E1015" i="9"/>
  <c r="P1014" i="9"/>
  <c r="O1014" i="9"/>
  <c r="N1014" i="9"/>
  <c r="M1014" i="9"/>
  <c r="L1014" i="9"/>
  <c r="K1014" i="9"/>
  <c r="G1014" i="9"/>
  <c r="F1014" i="9"/>
  <c r="E1014" i="9"/>
  <c r="P1013" i="9"/>
  <c r="O1013" i="9"/>
  <c r="N1013" i="9"/>
  <c r="M1013" i="9"/>
  <c r="L1013" i="9"/>
  <c r="K1013" i="9"/>
  <c r="G1013" i="9"/>
  <c r="F1013" i="9"/>
  <c r="E1013" i="9"/>
  <c r="P1012" i="9"/>
  <c r="O1012" i="9"/>
  <c r="N1012" i="9"/>
  <c r="M1012" i="9"/>
  <c r="L1012" i="9"/>
  <c r="K1012" i="9"/>
  <c r="G1012" i="9"/>
  <c r="F1012" i="9"/>
  <c r="E1012" i="9"/>
  <c r="P1011" i="9"/>
  <c r="O1011" i="9"/>
  <c r="N1011" i="9"/>
  <c r="M1011" i="9"/>
  <c r="L1011" i="9"/>
  <c r="K1011" i="9"/>
  <c r="G1011" i="9"/>
  <c r="F1011" i="9"/>
  <c r="E1011" i="9"/>
  <c r="P1010" i="9"/>
  <c r="O1010" i="9"/>
  <c r="N1010" i="9"/>
  <c r="M1010" i="9"/>
  <c r="L1010" i="9"/>
  <c r="K1010" i="9"/>
  <c r="G1010" i="9"/>
  <c r="F1010" i="9"/>
  <c r="E1010" i="9"/>
  <c r="P1009" i="9"/>
  <c r="O1009" i="9"/>
  <c r="N1009" i="9"/>
  <c r="M1009" i="9"/>
  <c r="L1009" i="9"/>
  <c r="K1009" i="9"/>
  <c r="G1009" i="9"/>
  <c r="F1009" i="9"/>
  <c r="E1009" i="9"/>
  <c r="P1008" i="9"/>
  <c r="O1008" i="9"/>
  <c r="N1008" i="9"/>
  <c r="M1008" i="9"/>
  <c r="L1008" i="9"/>
  <c r="K1008" i="9"/>
  <c r="G1008" i="9"/>
  <c r="F1008" i="9"/>
  <c r="E1008" i="9"/>
  <c r="P1007" i="9"/>
  <c r="O1007" i="9"/>
  <c r="N1007" i="9"/>
  <c r="M1007" i="9"/>
  <c r="L1007" i="9"/>
  <c r="K1007" i="9"/>
  <c r="G1007" i="9"/>
  <c r="F1007" i="9"/>
  <c r="E1007" i="9"/>
  <c r="P1006" i="9"/>
  <c r="O1006" i="9"/>
  <c r="N1006" i="9"/>
  <c r="M1006" i="9"/>
  <c r="L1006" i="9"/>
  <c r="K1006" i="9"/>
  <c r="G1006" i="9"/>
  <c r="F1006" i="9"/>
  <c r="E1006" i="9"/>
  <c r="P1005" i="9"/>
  <c r="O1005" i="9"/>
  <c r="N1005" i="9"/>
  <c r="M1005" i="9"/>
  <c r="L1005" i="9"/>
  <c r="K1005" i="9"/>
  <c r="G1005" i="9"/>
  <c r="F1005" i="9"/>
  <c r="E1005" i="9"/>
  <c r="P1004" i="9"/>
  <c r="O1004" i="9"/>
  <c r="N1004" i="9"/>
  <c r="M1004" i="9"/>
  <c r="L1004" i="9"/>
  <c r="K1004" i="9"/>
  <c r="G1004" i="9"/>
  <c r="F1004" i="9"/>
  <c r="E1004" i="9"/>
  <c r="P1003" i="9"/>
  <c r="O1003" i="9"/>
  <c r="N1003" i="9"/>
  <c r="M1003" i="9"/>
  <c r="L1003" i="9"/>
  <c r="K1003" i="9"/>
  <c r="G1003" i="9"/>
  <c r="F1003" i="9"/>
  <c r="E1003" i="9"/>
  <c r="P1002" i="9"/>
  <c r="O1002" i="9"/>
  <c r="N1002" i="9"/>
  <c r="M1002" i="9"/>
  <c r="L1002" i="9"/>
  <c r="K1002" i="9"/>
  <c r="G1002" i="9"/>
  <c r="F1002" i="9"/>
  <c r="E1002" i="9"/>
  <c r="P1001" i="9"/>
  <c r="O1001" i="9"/>
  <c r="N1001" i="9"/>
  <c r="M1001" i="9"/>
  <c r="L1001" i="9"/>
  <c r="K1001" i="9"/>
  <c r="G1001" i="9"/>
  <c r="F1001" i="9"/>
  <c r="E1001" i="9"/>
  <c r="P1000" i="9"/>
  <c r="O1000" i="9"/>
  <c r="N1000" i="9"/>
  <c r="M1000" i="9"/>
  <c r="L1000" i="9"/>
  <c r="K1000" i="9"/>
  <c r="G1000" i="9"/>
  <c r="F1000" i="9"/>
  <c r="E1000" i="9"/>
  <c r="P999" i="9"/>
  <c r="O999" i="9"/>
  <c r="N999" i="9"/>
  <c r="M999" i="9"/>
  <c r="L999" i="9"/>
  <c r="K999" i="9"/>
  <c r="G999" i="9"/>
  <c r="F999" i="9"/>
  <c r="E999" i="9"/>
  <c r="P998" i="9"/>
  <c r="O998" i="9"/>
  <c r="N998" i="9"/>
  <c r="M998" i="9"/>
  <c r="L998" i="9"/>
  <c r="K998" i="9"/>
  <c r="G998" i="9"/>
  <c r="F998" i="9"/>
  <c r="E998" i="9"/>
  <c r="P997" i="9"/>
  <c r="O997" i="9"/>
  <c r="N997" i="9"/>
  <c r="M997" i="9"/>
  <c r="L997" i="9"/>
  <c r="K997" i="9"/>
  <c r="G997" i="9"/>
  <c r="F997" i="9"/>
  <c r="E997" i="9"/>
  <c r="P996" i="9"/>
  <c r="O996" i="9"/>
  <c r="N996" i="9"/>
  <c r="M996" i="9"/>
  <c r="L996" i="9"/>
  <c r="K996" i="9"/>
  <c r="G996" i="9"/>
  <c r="F996" i="9"/>
  <c r="E996" i="9"/>
  <c r="P995" i="9"/>
  <c r="O995" i="9"/>
  <c r="N995" i="9"/>
  <c r="M995" i="9"/>
  <c r="L995" i="9"/>
  <c r="K995" i="9"/>
  <c r="G995" i="9"/>
  <c r="F995" i="9"/>
  <c r="E995" i="9"/>
  <c r="P994" i="9"/>
  <c r="O994" i="9"/>
  <c r="N994" i="9"/>
  <c r="M994" i="9"/>
  <c r="L994" i="9"/>
  <c r="K994" i="9"/>
  <c r="G994" i="9"/>
  <c r="F994" i="9"/>
  <c r="E994" i="9"/>
  <c r="P993" i="9"/>
  <c r="O993" i="9"/>
  <c r="N993" i="9"/>
  <c r="M993" i="9"/>
  <c r="L993" i="9"/>
  <c r="K993" i="9"/>
  <c r="G993" i="9"/>
  <c r="F993" i="9"/>
  <c r="E993" i="9"/>
  <c r="P992" i="9"/>
  <c r="O992" i="9"/>
  <c r="N992" i="9"/>
  <c r="M992" i="9"/>
  <c r="L992" i="9"/>
  <c r="K992" i="9"/>
  <c r="G992" i="9"/>
  <c r="F992" i="9"/>
  <c r="E992" i="9"/>
  <c r="P991" i="9"/>
  <c r="O991" i="9"/>
  <c r="N991" i="9"/>
  <c r="M991" i="9"/>
  <c r="L991" i="9"/>
  <c r="K991" i="9"/>
  <c r="G991" i="9"/>
  <c r="F991" i="9"/>
  <c r="E991" i="9"/>
  <c r="P990" i="9"/>
  <c r="O990" i="9"/>
  <c r="N990" i="9"/>
  <c r="M990" i="9"/>
  <c r="L990" i="9"/>
  <c r="K990" i="9"/>
  <c r="G990" i="9"/>
  <c r="F990" i="9"/>
  <c r="E990" i="9"/>
  <c r="P989" i="9"/>
  <c r="O989" i="9"/>
  <c r="N989" i="9"/>
  <c r="M989" i="9"/>
  <c r="L989" i="9"/>
  <c r="K989" i="9"/>
  <c r="G989" i="9"/>
  <c r="F989" i="9"/>
  <c r="E989" i="9"/>
  <c r="P988" i="9"/>
  <c r="O988" i="9"/>
  <c r="N988" i="9"/>
  <c r="M988" i="9"/>
  <c r="L988" i="9"/>
  <c r="K988" i="9"/>
  <c r="G988" i="9"/>
  <c r="F988" i="9"/>
  <c r="E988" i="9"/>
  <c r="P987" i="9"/>
  <c r="O987" i="9"/>
  <c r="N987" i="9"/>
  <c r="M987" i="9"/>
  <c r="L987" i="9"/>
  <c r="K987" i="9"/>
  <c r="G987" i="9"/>
  <c r="F987" i="9"/>
  <c r="E987" i="9"/>
  <c r="P986" i="9"/>
  <c r="O986" i="9"/>
  <c r="N986" i="9"/>
  <c r="M986" i="9"/>
  <c r="L986" i="9"/>
  <c r="K986" i="9"/>
  <c r="G986" i="9"/>
  <c r="F986" i="9"/>
  <c r="E986" i="9"/>
  <c r="P985" i="9"/>
  <c r="O985" i="9"/>
  <c r="N985" i="9"/>
  <c r="M985" i="9"/>
  <c r="L985" i="9"/>
  <c r="K985" i="9"/>
  <c r="G985" i="9"/>
  <c r="F985" i="9"/>
  <c r="E985" i="9"/>
  <c r="P984" i="9"/>
  <c r="O984" i="9"/>
  <c r="N984" i="9"/>
  <c r="M984" i="9"/>
  <c r="L984" i="9"/>
  <c r="K984" i="9"/>
  <c r="G984" i="9"/>
  <c r="F984" i="9"/>
  <c r="E984" i="9"/>
  <c r="P983" i="9"/>
  <c r="O983" i="9"/>
  <c r="N983" i="9"/>
  <c r="M983" i="9"/>
  <c r="L983" i="9"/>
  <c r="K983" i="9"/>
  <c r="G983" i="9"/>
  <c r="F983" i="9"/>
  <c r="E983" i="9"/>
  <c r="P982" i="9"/>
  <c r="O982" i="9"/>
  <c r="N982" i="9"/>
  <c r="M982" i="9"/>
  <c r="L982" i="9"/>
  <c r="K982" i="9"/>
  <c r="G982" i="9"/>
  <c r="F982" i="9"/>
  <c r="E982" i="9"/>
  <c r="P981" i="9"/>
  <c r="O981" i="9"/>
  <c r="N981" i="9"/>
  <c r="M981" i="9"/>
  <c r="L981" i="9"/>
  <c r="K981" i="9"/>
  <c r="G981" i="9"/>
  <c r="F981" i="9"/>
  <c r="E981" i="9"/>
  <c r="P980" i="9"/>
  <c r="O980" i="9"/>
  <c r="N980" i="9"/>
  <c r="M980" i="9"/>
  <c r="L980" i="9"/>
  <c r="K980" i="9"/>
  <c r="G980" i="9"/>
  <c r="F980" i="9"/>
  <c r="E980" i="9"/>
  <c r="P979" i="9"/>
  <c r="O979" i="9"/>
  <c r="N979" i="9"/>
  <c r="M979" i="9"/>
  <c r="L979" i="9"/>
  <c r="K979" i="9"/>
  <c r="G979" i="9"/>
  <c r="F979" i="9"/>
  <c r="E979" i="9"/>
  <c r="P978" i="9"/>
  <c r="O978" i="9"/>
  <c r="N978" i="9"/>
  <c r="M978" i="9"/>
  <c r="L978" i="9"/>
  <c r="K978" i="9"/>
  <c r="G978" i="9"/>
  <c r="F978" i="9"/>
  <c r="E978" i="9"/>
  <c r="P977" i="9"/>
  <c r="O977" i="9"/>
  <c r="N977" i="9"/>
  <c r="M977" i="9"/>
  <c r="L977" i="9"/>
  <c r="K977" i="9"/>
  <c r="G977" i="9"/>
  <c r="F977" i="9"/>
  <c r="E977" i="9"/>
  <c r="P976" i="9"/>
  <c r="O976" i="9"/>
  <c r="N976" i="9"/>
  <c r="M976" i="9"/>
  <c r="L976" i="9"/>
  <c r="K976" i="9"/>
  <c r="G976" i="9"/>
  <c r="F976" i="9"/>
  <c r="E976" i="9"/>
  <c r="P975" i="9"/>
  <c r="O975" i="9"/>
  <c r="N975" i="9"/>
  <c r="M975" i="9"/>
  <c r="L975" i="9"/>
  <c r="K975" i="9"/>
  <c r="G975" i="9"/>
  <c r="F975" i="9"/>
  <c r="E975" i="9"/>
  <c r="P974" i="9"/>
  <c r="O974" i="9"/>
  <c r="N974" i="9"/>
  <c r="M974" i="9"/>
  <c r="L974" i="9"/>
  <c r="K974" i="9"/>
  <c r="G974" i="9"/>
  <c r="F974" i="9"/>
  <c r="E974" i="9"/>
  <c r="P973" i="9"/>
  <c r="O973" i="9"/>
  <c r="N973" i="9"/>
  <c r="M973" i="9"/>
  <c r="L973" i="9"/>
  <c r="K973" i="9"/>
  <c r="G973" i="9"/>
  <c r="F973" i="9"/>
  <c r="E973" i="9"/>
  <c r="P972" i="9"/>
  <c r="O972" i="9"/>
  <c r="N972" i="9"/>
  <c r="M972" i="9"/>
  <c r="L972" i="9"/>
  <c r="K972" i="9"/>
  <c r="G972" i="9"/>
  <c r="F972" i="9"/>
  <c r="E972" i="9"/>
  <c r="P971" i="9"/>
  <c r="O971" i="9"/>
  <c r="N971" i="9"/>
  <c r="M971" i="9"/>
  <c r="L971" i="9"/>
  <c r="K971" i="9"/>
  <c r="G971" i="9"/>
  <c r="F971" i="9"/>
  <c r="E971" i="9"/>
  <c r="P970" i="9"/>
  <c r="O970" i="9"/>
  <c r="N970" i="9"/>
  <c r="M970" i="9"/>
  <c r="L970" i="9"/>
  <c r="K970" i="9"/>
  <c r="G970" i="9"/>
  <c r="F970" i="9"/>
  <c r="E970" i="9"/>
  <c r="P969" i="9"/>
  <c r="O969" i="9"/>
  <c r="N969" i="9"/>
  <c r="M969" i="9"/>
  <c r="L969" i="9"/>
  <c r="K969" i="9"/>
  <c r="G969" i="9"/>
  <c r="F969" i="9"/>
  <c r="E969" i="9"/>
  <c r="P968" i="9"/>
  <c r="O968" i="9"/>
  <c r="N968" i="9"/>
  <c r="M968" i="9"/>
  <c r="L968" i="9"/>
  <c r="K968" i="9"/>
  <c r="G968" i="9"/>
  <c r="F968" i="9"/>
  <c r="E968" i="9"/>
  <c r="P967" i="9"/>
  <c r="O967" i="9"/>
  <c r="N967" i="9"/>
  <c r="M967" i="9"/>
  <c r="L967" i="9"/>
  <c r="K967" i="9"/>
  <c r="G967" i="9"/>
  <c r="F967" i="9"/>
  <c r="E967" i="9"/>
  <c r="P966" i="9"/>
  <c r="O966" i="9"/>
  <c r="N966" i="9"/>
  <c r="M966" i="9"/>
  <c r="L966" i="9"/>
  <c r="K966" i="9"/>
  <c r="G966" i="9"/>
  <c r="F966" i="9"/>
  <c r="E966" i="9"/>
  <c r="P965" i="9"/>
  <c r="O965" i="9"/>
  <c r="N965" i="9"/>
  <c r="M965" i="9"/>
  <c r="L965" i="9"/>
  <c r="K965" i="9"/>
  <c r="G965" i="9"/>
  <c r="F965" i="9"/>
  <c r="E965" i="9"/>
  <c r="P964" i="9"/>
  <c r="O964" i="9"/>
  <c r="N964" i="9"/>
  <c r="M964" i="9"/>
  <c r="L964" i="9"/>
  <c r="K964" i="9"/>
  <c r="G964" i="9"/>
  <c r="F964" i="9"/>
  <c r="E964" i="9"/>
  <c r="P963" i="9"/>
  <c r="O963" i="9"/>
  <c r="N963" i="9"/>
  <c r="M963" i="9"/>
  <c r="L963" i="9"/>
  <c r="K963" i="9"/>
  <c r="G963" i="9"/>
  <c r="F963" i="9"/>
  <c r="E963" i="9"/>
  <c r="P962" i="9"/>
  <c r="O962" i="9"/>
  <c r="N962" i="9"/>
  <c r="M962" i="9"/>
  <c r="L962" i="9"/>
  <c r="K962" i="9"/>
  <c r="G962" i="9"/>
  <c r="F962" i="9"/>
  <c r="E962" i="9"/>
  <c r="P961" i="9"/>
  <c r="O961" i="9"/>
  <c r="N961" i="9"/>
  <c r="M961" i="9"/>
  <c r="L961" i="9"/>
  <c r="K961" i="9"/>
  <c r="G961" i="9"/>
  <c r="F961" i="9"/>
  <c r="E961" i="9"/>
  <c r="P960" i="9"/>
  <c r="O960" i="9"/>
  <c r="N960" i="9"/>
  <c r="M960" i="9"/>
  <c r="L960" i="9"/>
  <c r="K960" i="9"/>
  <c r="G960" i="9"/>
  <c r="F960" i="9"/>
  <c r="E960" i="9"/>
  <c r="P959" i="9"/>
  <c r="O959" i="9"/>
  <c r="N959" i="9"/>
  <c r="M959" i="9"/>
  <c r="L959" i="9"/>
  <c r="K959" i="9"/>
  <c r="G959" i="9"/>
  <c r="F959" i="9"/>
  <c r="E959" i="9"/>
  <c r="P958" i="9"/>
  <c r="O958" i="9"/>
  <c r="N958" i="9"/>
  <c r="M958" i="9"/>
  <c r="L958" i="9"/>
  <c r="K958" i="9"/>
  <c r="G958" i="9"/>
  <c r="F958" i="9"/>
  <c r="E958" i="9"/>
  <c r="P957" i="9"/>
  <c r="O957" i="9"/>
  <c r="N957" i="9"/>
  <c r="M957" i="9"/>
  <c r="L957" i="9"/>
  <c r="K957" i="9"/>
  <c r="G957" i="9"/>
  <c r="F957" i="9"/>
  <c r="E957" i="9"/>
  <c r="P956" i="9"/>
  <c r="O956" i="9"/>
  <c r="N956" i="9"/>
  <c r="M956" i="9"/>
  <c r="L956" i="9"/>
  <c r="K956" i="9"/>
  <c r="G956" i="9"/>
  <c r="F956" i="9"/>
  <c r="E956" i="9"/>
  <c r="P955" i="9"/>
  <c r="O955" i="9"/>
  <c r="N955" i="9"/>
  <c r="M955" i="9"/>
  <c r="L955" i="9"/>
  <c r="K955" i="9"/>
  <c r="G955" i="9"/>
  <c r="F955" i="9"/>
  <c r="E955" i="9"/>
  <c r="P954" i="9"/>
  <c r="O954" i="9"/>
  <c r="N954" i="9"/>
  <c r="M954" i="9"/>
  <c r="L954" i="9"/>
  <c r="K954" i="9"/>
  <c r="G954" i="9"/>
  <c r="F954" i="9"/>
  <c r="E954" i="9"/>
  <c r="P953" i="9"/>
  <c r="O953" i="9"/>
  <c r="N953" i="9"/>
  <c r="M953" i="9"/>
  <c r="L953" i="9"/>
  <c r="K953" i="9"/>
  <c r="G953" i="9"/>
  <c r="F953" i="9"/>
  <c r="E953" i="9"/>
  <c r="P952" i="9"/>
  <c r="O952" i="9"/>
  <c r="N952" i="9"/>
  <c r="M952" i="9"/>
  <c r="L952" i="9"/>
  <c r="K952" i="9"/>
  <c r="G952" i="9"/>
  <c r="F952" i="9"/>
  <c r="E952" i="9"/>
  <c r="P951" i="9"/>
  <c r="O951" i="9"/>
  <c r="N951" i="9"/>
  <c r="M951" i="9"/>
  <c r="L951" i="9"/>
  <c r="K951" i="9"/>
  <c r="G951" i="9"/>
  <c r="F951" i="9"/>
  <c r="E951" i="9"/>
  <c r="P950" i="9"/>
  <c r="O950" i="9"/>
  <c r="N950" i="9"/>
  <c r="M950" i="9"/>
  <c r="L950" i="9"/>
  <c r="K950" i="9"/>
  <c r="G950" i="9"/>
  <c r="F950" i="9"/>
  <c r="E950" i="9"/>
  <c r="P949" i="9"/>
  <c r="O949" i="9"/>
  <c r="N949" i="9"/>
  <c r="M949" i="9"/>
  <c r="L949" i="9"/>
  <c r="K949" i="9"/>
  <c r="G949" i="9"/>
  <c r="F949" i="9"/>
  <c r="E949" i="9"/>
  <c r="P948" i="9"/>
  <c r="O948" i="9"/>
  <c r="N948" i="9"/>
  <c r="M948" i="9"/>
  <c r="L948" i="9"/>
  <c r="K948" i="9"/>
  <c r="G948" i="9"/>
  <c r="F948" i="9"/>
  <c r="E948" i="9"/>
  <c r="P947" i="9"/>
  <c r="O947" i="9"/>
  <c r="N947" i="9"/>
  <c r="M947" i="9"/>
  <c r="L947" i="9"/>
  <c r="K947" i="9"/>
  <c r="G947" i="9"/>
  <c r="F947" i="9"/>
  <c r="E947" i="9"/>
  <c r="P946" i="9"/>
  <c r="O946" i="9"/>
  <c r="N946" i="9"/>
  <c r="M946" i="9"/>
  <c r="L946" i="9"/>
  <c r="K946" i="9"/>
  <c r="G946" i="9"/>
  <c r="F946" i="9"/>
  <c r="E946" i="9"/>
  <c r="P945" i="9"/>
  <c r="O945" i="9"/>
  <c r="N945" i="9"/>
  <c r="M945" i="9"/>
  <c r="L945" i="9"/>
  <c r="K945" i="9"/>
  <c r="G945" i="9"/>
  <c r="F945" i="9"/>
  <c r="E945" i="9"/>
  <c r="P944" i="9"/>
  <c r="O944" i="9"/>
  <c r="N944" i="9"/>
  <c r="M944" i="9"/>
  <c r="L944" i="9"/>
  <c r="K944" i="9"/>
  <c r="G944" i="9"/>
  <c r="F944" i="9"/>
  <c r="E944" i="9"/>
  <c r="P943" i="9"/>
  <c r="O943" i="9"/>
  <c r="N943" i="9"/>
  <c r="M943" i="9"/>
  <c r="L943" i="9"/>
  <c r="K943" i="9"/>
  <c r="G943" i="9"/>
  <c r="F943" i="9"/>
  <c r="E943" i="9"/>
  <c r="P942" i="9"/>
  <c r="O942" i="9"/>
  <c r="N942" i="9"/>
  <c r="M942" i="9"/>
  <c r="L942" i="9"/>
  <c r="K942" i="9"/>
  <c r="G942" i="9"/>
  <c r="F942" i="9"/>
  <c r="E942" i="9"/>
  <c r="P941" i="9"/>
  <c r="O941" i="9"/>
  <c r="N941" i="9"/>
  <c r="M941" i="9"/>
  <c r="L941" i="9"/>
  <c r="K941" i="9"/>
  <c r="G941" i="9"/>
  <c r="F941" i="9"/>
  <c r="E941" i="9"/>
  <c r="P940" i="9"/>
  <c r="O940" i="9"/>
  <c r="N940" i="9"/>
  <c r="M940" i="9"/>
  <c r="L940" i="9"/>
  <c r="K940" i="9"/>
  <c r="G940" i="9"/>
  <c r="F940" i="9"/>
  <c r="E940" i="9"/>
  <c r="P939" i="9"/>
  <c r="O939" i="9"/>
  <c r="N939" i="9"/>
  <c r="M939" i="9"/>
  <c r="L939" i="9"/>
  <c r="K939" i="9"/>
  <c r="G939" i="9"/>
  <c r="F939" i="9"/>
  <c r="E939" i="9"/>
  <c r="P938" i="9"/>
  <c r="O938" i="9"/>
  <c r="N938" i="9"/>
  <c r="M938" i="9"/>
  <c r="L938" i="9"/>
  <c r="K938" i="9"/>
  <c r="G938" i="9"/>
  <c r="F938" i="9"/>
  <c r="E938" i="9"/>
  <c r="P937" i="9"/>
  <c r="O937" i="9"/>
  <c r="N937" i="9"/>
  <c r="M937" i="9"/>
  <c r="L937" i="9"/>
  <c r="K937" i="9"/>
  <c r="G937" i="9"/>
  <c r="F937" i="9"/>
  <c r="E937" i="9"/>
  <c r="P936" i="9"/>
  <c r="O936" i="9"/>
  <c r="N936" i="9"/>
  <c r="M936" i="9"/>
  <c r="L936" i="9"/>
  <c r="K936" i="9"/>
  <c r="G936" i="9"/>
  <c r="F936" i="9"/>
  <c r="E936" i="9"/>
  <c r="P935" i="9"/>
  <c r="O935" i="9"/>
  <c r="N935" i="9"/>
  <c r="M935" i="9"/>
  <c r="L935" i="9"/>
  <c r="K935" i="9"/>
  <c r="G935" i="9"/>
  <c r="F935" i="9"/>
  <c r="E935" i="9"/>
  <c r="P934" i="9"/>
  <c r="O934" i="9"/>
  <c r="N934" i="9"/>
  <c r="M934" i="9"/>
  <c r="L934" i="9"/>
  <c r="K934" i="9"/>
  <c r="G934" i="9"/>
  <c r="F934" i="9"/>
  <c r="E934" i="9"/>
  <c r="P933" i="9"/>
  <c r="O933" i="9"/>
  <c r="N933" i="9"/>
  <c r="M933" i="9"/>
  <c r="L933" i="9"/>
  <c r="K933" i="9"/>
  <c r="G933" i="9"/>
  <c r="F933" i="9"/>
  <c r="E933" i="9"/>
  <c r="P932" i="9"/>
  <c r="O932" i="9"/>
  <c r="N932" i="9"/>
  <c r="M932" i="9"/>
  <c r="L932" i="9"/>
  <c r="K932" i="9"/>
  <c r="G932" i="9"/>
  <c r="F932" i="9"/>
  <c r="E932" i="9"/>
  <c r="P931" i="9"/>
  <c r="O931" i="9"/>
  <c r="N931" i="9"/>
  <c r="M931" i="9"/>
  <c r="L931" i="9"/>
  <c r="K931" i="9"/>
  <c r="G931" i="9"/>
  <c r="F931" i="9"/>
  <c r="E931" i="9"/>
  <c r="P930" i="9"/>
  <c r="O930" i="9"/>
  <c r="N930" i="9"/>
  <c r="M930" i="9"/>
  <c r="L930" i="9"/>
  <c r="K930" i="9"/>
  <c r="G930" i="9"/>
  <c r="F930" i="9"/>
  <c r="E930" i="9"/>
  <c r="P929" i="9"/>
  <c r="O929" i="9"/>
  <c r="N929" i="9"/>
  <c r="M929" i="9"/>
  <c r="L929" i="9"/>
  <c r="K929" i="9"/>
  <c r="G929" i="9"/>
  <c r="F929" i="9"/>
  <c r="E929" i="9"/>
  <c r="P928" i="9"/>
  <c r="O928" i="9"/>
  <c r="N928" i="9"/>
  <c r="M928" i="9"/>
  <c r="L928" i="9"/>
  <c r="K928" i="9"/>
  <c r="G928" i="9"/>
  <c r="F928" i="9"/>
  <c r="E928" i="9"/>
  <c r="P927" i="9"/>
  <c r="O927" i="9"/>
  <c r="N927" i="9"/>
  <c r="M927" i="9"/>
  <c r="L927" i="9"/>
  <c r="K927" i="9"/>
  <c r="G927" i="9"/>
  <c r="F927" i="9"/>
  <c r="E927" i="9"/>
  <c r="P926" i="9"/>
  <c r="O926" i="9"/>
  <c r="N926" i="9"/>
  <c r="M926" i="9"/>
  <c r="L926" i="9"/>
  <c r="K926" i="9"/>
  <c r="G926" i="9"/>
  <c r="F926" i="9"/>
  <c r="E926" i="9"/>
  <c r="P925" i="9"/>
  <c r="O925" i="9"/>
  <c r="N925" i="9"/>
  <c r="M925" i="9"/>
  <c r="L925" i="9"/>
  <c r="K925" i="9"/>
  <c r="G925" i="9"/>
  <c r="F925" i="9"/>
  <c r="E925" i="9"/>
  <c r="P924" i="9"/>
  <c r="O924" i="9"/>
  <c r="N924" i="9"/>
  <c r="M924" i="9"/>
  <c r="L924" i="9"/>
  <c r="K924" i="9"/>
  <c r="G924" i="9"/>
  <c r="F924" i="9"/>
  <c r="E924" i="9"/>
  <c r="P923" i="9"/>
  <c r="O923" i="9"/>
  <c r="N923" i="9"/>
  <c r="M923" i="9"/>
  <c r="L923" i="9"/>
  <c r="K923" i="9"/>
  <c r="G923" i="9"/>
  <c r="F923" i="9"/>
  <c r="E923" i="9"/>
  <c r="P922" i="9"/>
  <c r="O922" i="9"/>
  <c r="N922" i="9"/>
  <c r="M922" i="9"/>
  <c r="L922" i="9"/>
  <c r="K922" i="9"/>
  <c r="G922" i="9"/>
  <c r="F922" i="9"/>
  <c r="E922" i="9"/>
  <c r="P921" i="9"/>
  <c r="O921" i="9"/>
  <c r="N921" i="9"/>
  <c r="M921" i="9"/>
  <c r="L921" i="9"/>
  <c r="K921" i="9"/>
  <c r="G921" i="9"/>
  <c r="F921" i="9"/>
  <c r="E921" i="9"/>
  <c r="P920" i="9"/>
  <c r="O920" i="9"/>
  <c r="N920" i="9"/>
  <c r="M920" i="9"/>
  <c r="L920" i="9"/>
  <c r="K920" i="9"/>
  <c r="G920" i="9"/>
  <c r="F920" i="9"/>
  <c r="E920" i="9"/>
  <c r="P919" i="9"/>
  <c r="O919" i="9"/>
  <c r="N919" i="9"/>
  <c r="M919" i="9"/>
  <c r="L919" i="9"/>
  <c r="K919" i="9"/>
  <c r="G919" i="9"/>
  <c r="F919" i="9"/>
  <c r="E919" i="9"/>
  <c r="P918" i="9"/>
  <c r="O918" i="9"/>
  <c r="N918" i="9"/>
  <c r="M918" i="9"/>
  <c r="L918" i="9"/>
  <c r="K918" i="9"/>
  <c r="G918" i="9"/>
  <c r="F918" i="9"/>
  <c r="E918" i="9"/>
  <c r="P917" i="9"/>
  <c r="O917" i="9"/>
  <c r="N917" i="9"/>
  <c r="M917" i="9"/>
  <c r="L917" i="9"/>
  <c r="K917" i="9"/>
  <c r="G917" i="9"/>
  <c r="F917" i="9"/>
  <c r="E917" i="9"/>
  <c r="P916" i="9"/>
  <c r="O916" i="9"/>
  <c r="N916" i="9"/>
  <c r="M916" i="9"/>
  <c r="L916" i="9"/>
  <c r="K916" i="9"/>
  <c r="G916" i="9"/>
  <c r="F916" i="9"/>
  <c r="E916" i="9"/>
  <c r="P915" i="9"/>
  <c r="O915" i="9"/>
  <c r="N915" i="9"/>
  <c r="M915" i="9"/>
  <c r="L915" i="9"/>
  <c r="K915" i="9"/>
  <c r="G915" i="9"/>
  <c r="F915" i="9"/>
  <c r="E915" i="9"/>
  <c r="P914" i="9"/>
  <c r="O914" i="9"/>
  <c r="N914" i="9"/>
  <c r="M914" i="9"/>
  <c r="L914" i="9"/>
  <c r="K914" i="9"/>
  <c r="G914" i="9"/>
  <c r="F914" i="9"/>
  <c r="E914" i="9"/>
  <c r="P913" i="9"/>
  <c r="O913" i="9"/>
  <c r="N913" i="9"/>
  <c r="M913" i="9"/>
  <c r="L913" i="9"/>
  <c r="K913" i="9"/>
  <c r="G913" i="9"/>
  <c r="F913" i="9"/>
  <c r="E913" i="9"/>
  <c r="P912" i="9"/>
  <c r="O912" i="9"/>
  <c r="N912" i="9"/>
  <c r="M912" i="9"/>
  <c r="L912" i="9"/>
  <c r="K912" i="9"/>
  <c r="G912" i="9"/>
  <c r="F912" i="9"/>
  <c r="E912" i="9"/>
  <c r="P911" i="9"/>
  <c r="O911" i="9"/>
  <c r="N911" i="9"/>
  <c r="M911" i="9"/>
  <c r="L911" i="9"/>
  <c r="K911" i="9"/>
  <c r="G911" i="9"/>
  <c r="F911" i="9"/>
  <c r="E911" i="9"/>
  <c r="P910" i="9"/>
  <c r="O910" i="9"/>
  <c r="N910" i="9"/>
  <c r="M910" i="9"/>
  <c r="L910" i="9"/>
  <c r="K910" i="9"/>
  <c r="G910" i="9"/>
  <c r="F910" i="9"/>
  <c r="E910" i="9"/>
  <c r="P909" i="9"/>
  <c r="O909" i="9"/>
  <c r="N909" i="9"/>
  <c r="M909" i="9"/>
  <c r="L909" i="9"/>
  <c r="K909" i="9"/>
  <c r="G909" i="9"/>
  <c r="F909" i="9"/>
  <c r="E909" i="9"/>
  <c r="P908" i="9"/>
  <c r="O908" i="9"/>
  <c r="N908" i="9"/>
  <c r="M908" i="9"/>
  <c r="L908" i="9"/>
  <c r="K908" i="9"/>
  <c r="G908" i="9"/>
  <c r="F908" i="9"/>
  <c r="E908" i="9"/>
  <c r="P907" i="9"/>
  <c r="O907" i="9"/>
  <c r="N907" i="9"/>
  <c r="M907" i="9"/>
  <c r="L907" i="9"/>
  <c r="K907" i="9"/>
  <c r="G907" i="9"/>
  <c r="F907" i="9"/>
  <c r="E907" i="9"/>
  <c r="P906" i="9"/>
  <c r="O906" i="9"/>
  <c r="N906" i="9"/>
  <c r="M906" i="9"/>
  <c r="L906" i="9"/>
  <c r="K906" i="9"/>
  <c r="G906" i="9"/>
  <c r="F906" i="9"/>
  <c r="E906" i="9"/>
  <c r="P905" i="9"/>
  <c r="O905" i="9"/>
  <c r="N905" i="9"/>
  <c r="M905" i="9"/>
  <c r="L905" i="9"/>
  <c r="K905" i="9"/>
  <c r="G905" i="9"/>
  <c r="F905" i="9"/>
  <c r="E905" i="9"/>
  <c r="P904" i="9"/>
  <c r="O904" i="9"/>
  <c r="N904" i="9"/>
  <c r="M904" i="9"/>
  <c r="L904" i="9"/>
  <c r="K904" i="9"/>
  <c r="G904" i="9"/>
  <c r="F904" i="9"/>
  <c r="E904" i="9"/>
  <c r="P903" i="9"/>
  <c r="O903" i="9"/>
  <c r="N903" i="9"/>
  <c r="M903" i="9"/>
  <c r="L903" i="9"/>
  <c r="K903" i="9"/>
  <c r="G903" i="9"/>
  <c r="F903" i="9"/>
  <c r="E903" i="9"/>
  <c r="P902" i="9"/>
  <c r="O902" i="9"/>
  <c r="N902" i="9"/>
  <c r="M902" i="9"/>
  <c r="L902" i="9"/>
  <c r="K902" i="9"/>
  <c r="G902" i="9"/>
  <c r="F902" i="9"/>
  <c r="E902" i="9"/>
  <c r="P901" i="9"/>
  <c r="O901" i="9"/>
  <c r="N901" i="9"/>
  <c r="M901" i="9"/>
  <c r="L901" i="9"/>
  <c r="K901" i="9"/>
  <c r="G901" i="9"/>
  <c r="F901" i="9"/>
  <c r="E901" i="9"/>
  <c r="P900" i="9"/>
  <c r="O900" i="9"/>
  <c r="N900" i="9"/>
  <c r="M900" i="9"/>
  <c r="L900" i="9"/>
  <c r="K900" i="9"/>
  <c r="G900" i="9"/>
  <c r="F900" i="9"/>
  <c r="E900" i="9"/>
  <c r="P899" i="9"/>
  <c r="O899" i="9"/>
  <c r="N899" i="9"/>
  <c r="M899" i="9"/>
  <c r="L899" i="9"/>
  <c r="K899" i="9"/>
  <c r="G899" i="9"/>
  <c r="F899" i="9"/>
  <c r="E899" i="9"/>
  <c r="P898" i="9"/>
  <c r="O898" i="9"/>
  <c r="N898" i="9"/>
  <c r="M898" i="9"/>
  <c r="L898" i="9"/>
  <c r="K898" i="9"/>
  <c r="G898" i="9"/>
  <c r="F898" i="9"/>
  <c r="E898" i="9"/>
  <c r="P897" i="9"/>
  <c r="O897" i="9"/>
  <c r="N897" i="9"/>
  <c r="M897" i="9"/>
  <c r="L897" i="9"/>
  <c r="K897" i="9"/>
  <c r="G897" i="9"/>
  <c r="F897" i="9"/>
  <c r="E897" i="9"/>
  <c r="P896" i="9"/>
  <c r="O896" i="9"/>
  <c r="N896" i="9"/>
  <c r="M896" i="9"/>
  <c r="L896" i="9"/>
  <c r="K896" i="9"/>
  <c r="G896" i="9"/>
  <c r="F896" i="9"/>
  <c r="E896" i="9"/>
  <c r="P895" i="9"/>
  <c r="O895" i="9"/>
  <c r="N895" i="9"/>
  <c r="M895" i="9"/>
  <c r="L895" i="9"/>
  <c r="K895" i="9"/>
  <c r="G895" i="9"/>
  <c r="F895" i="9"/>
  <c r="E895" i="9"/>
  <c r="P894" i="9"/>
  <c r="O894" i="9"/>
  <c r="N894" i="9"/>
  <c r="M894" i="9"/>
  <c r="L894" i="9"/>
  <c r="K894" i="9"/>
  <c r="G894" i="9"/>
  <c r="F894" i="9"/>
  <c r="E894" i="9"/>
  <c r="P893" i="9"/>
  <c r="O893" i="9"/>
  <c r="N893" i="9"/>
  <c r="M893" i="9"/>
  <c r="L893" i="9"/>
  <c r="K893" i="9"/>
  <c r="G893" i="9"/>
  <c r="F893" i="9"/>
  <c r="E893" i="9"/>
  <c r="P892" i="9"/>
  <c r="O892" i="9"/>
  <c r="N892" i="9"/>
  <c r="M892" i="9"/>
  <c r="L892" i="9"/>
  <c r="K892" i="9"/>
  <c r="G892" i="9"/>
  <c r="F892" i="9"/>
  <c r="E892" i="9"/>
  <c r="P891" i="9"/>
  <c r="O891" i="9"/>
  <c r="N891" i="9"/>
  <c r="M891" i="9"/>
  <c r="L891" i="9"/>
  <c r="K891" i="9"/>
  <c r="G891" i="9"/>
  <c r="F891" i="9"/>
  <c r="E891" i="9"/>
  <c r="P890" i="9"/>
  <c r="O890" i="9"/>
  <c r="N890" i="9"/>
  <c r="M890" i="9"/>
  <c r="L890" i="9"/>
  <c r="K890" i="9"/>
  <c r="G890" i="9"/>
  <c r="F890" i="9"/>
  <c r="E890" i="9"/>
  <c r="P889" i="9"/>
  <c r="O889" i="9"/>
  <c r="N889" i="9"/>
  <c r="M889" i="9"/>
  <c r="L889" i="9"/>
  <c r="K889" i="9"/>
  <c r="G889" i="9"/>
  <c r="F889" i="9"/>
  <c r="E889" i="9"/>
  <c r="P888" i="9"/>
  <c r="O888" i="9"/>
  <c r="N888" i="9"/>
  <c r="M888" i="9"/>
  <c r="L888" i="9"/>
  <c r="K888" i="9"/>
  <c r="G888" i="9"/>
  <c r="F888" i="9"/>
  <c r="E888" i="9"/>
  <c r="P887" i="9"/>
  <c r="O887" i="9"/>
  <c r="N887" i="9"/>
  <c r="M887" i="9"/>
  <c r="L887" i="9"/>
  <c r="K887" i="9"/>
  <c r="G887" i="9"/>
  <c r="F887" i="9"/>
  <c r="E887" i="9"/>
  <c r="P886" i="9"/>
  <c r="O886" i="9"/>
  <c r="N886" i="9"/>
  <c r="M886" i="9"/>
  <c r="L886" i="9"/>
  <c r="K886" i="9"/>
  <c r="G886" i="9"/>
  <c r="F886" i="9"/>
  <c r="E886" i="9"/>
  <c r="P885" i="9"/>
  <c r="O885" i="9"/>
  <c r="N885" i="9"/>
  <c r="M885" i="9"/>
  <c r="L885" i="9"/>
  <c r="K885" i="9"/>
  <c r="G885" i="9"/>
  <c r="F885" i="9"/>
  <c r="E885" i="9"/>
  <c r="P884" i="9"/>
  <c r="O884" i="9"/>
  <c r="N884" i="9"/>
  <c r="M884" i="9"/>
  <c r="L884" i="9"/>
  <c r="K884" i="9"/>
  <c r="G884" i="9"/>
  <c r="F884" i="9"/>
  <c r="E884" i="9"/>
  <c r="P883" i="9"/>
  <c r="O883" i="9"/>
  <c r="N883" i="9"/>
  <c r="M883" i="9"/>
  <c r="L883" i="9"/>
  <c r="K883" i="9"/>
  <c r="G883" i="9"/>
  <c r="F883" i="9"/>
  <c r="E883" i="9"/>
  <c r="P882" i="9"/>
  <c r="O882" i="9"/>
  <c r="N882" i="9"/>
  <c r="M882" i="9"/>
  <c r="L882" i="9"/>
  <c r="K882" i="9"/>
  <c r="G882" i="9"/>
  <c r="F882" i="9"/>
  <c r="E882" i="9"/>
  <c r="P881" i="9"/>
  <c r="O881" i="9"/>
  <c r="N881" i="9"/>
  <c r="M881" i="9"/>
  <c r="L881" i="9"/>
  <c r="K881" i="9"/>
  <c r="G881" i="9"/>
  <c r="F881" i="9"/>
  <c r="E881" i="9"/>
  <c r="P880" i="9"/>
  <c r="O880" i="9"/>
  <c r="N880" i="9"/>
  <c r="M880" i="9"/>
  <c r="L880" i="9"/>
  <c r="K880" i="9"/>
  <c r="G880" i="9"/>
  <c r="F880" i="9"/>
  <c r="E880" i="9"/>
  <c r="P879" i="9"/>
  <c r="O879" i="9"/>
  <c r="N879" i="9"/>
  <c r="M879" i="9"/>
  <c r="L879" i="9"/>
  <c r="K879" i="9"/>
  <c r="G879" i="9"/>
  <c r="F879" i="9"/>
  <c r="E879" i="9"/>
  <c r="P878" i="9"/>
  <c r="O878" i="9"/>
  <c r="N878" i="9"/>
  <c r="M878" i="9"/>
  <c r="L878" i="9"/>
  <c r="K878" i="9"/>
  <c r="G878" i="9"/>
  <c r="F878" i="9"/>
  <c r="E878" i="9"/>
  <c r="P877" i="9"/>
  <c r="O877" i="9"/>
  <c r="N877" i="9"/>
  <c r="M877" i="9"/>
  <c r="L877" i="9"/>
  <c r="K877" i="9"/>
  <c r="G877" i="9"/>
  <c r="F877" i="9"/>
  <c r="E877" i="9"/>
  <c r="P876" i="9"/>
  <c r="O876" i="9"/>
  <c r="N876" i="9"/>
  <c r="M876" i="9"/>
  <c r="L876" i="9"/>
  <c r="K876" i="9"/>
  <c r="G876" i="9"/>
  <c r="F876" i="9"/>
  <c r="E876" i="9"/>
  <c r="P875" i="9"/>
  <c r="O875" i="9"/>
  <c r="N875" i="9"/>
  <c r="M875" i="9"/>
  <c r="L875" i="9"/>
  <c r="K875" i="9"/>
  <c r="G875" i="9"/>
  <c r="F875" i="9"/>
  <c r="E875" i="9"/>
  <c r="P874" i="9"/>
  <c r="O874" i="9"/>
  <c r="N874" i="9"/>
  <c r="M874" i="9"/>
  <c r="L874" i="9"/>
  <c r="K874" i="9"/>
  <c r="G874" i="9"/>
  <c r="F874" i="9"/>
  <c r="E874" i="9"/>
  <c r="P873" i="9"/>
  <c r="O873" i="9"/>
  <c r="N873" i="9"/>
  <c r="M873" i="9"/>
  <c r="L873" i="9"/>
  <c r="K873" i="9"/>
  <c r="G873" i="9"/>
  <c r="F873" i="9"/>
  <c r="E873" i="9"/>
  <c r="P872" i="9"/>
  <c r="O872" i="9"/>
  <c r="N872" i="9"/>
  <c r="M872" i="9"/>
  <c r="L872" i="9"/>
  <c r="K872" i="9"/>
  <c r="G872" i="9"/>
  <c r="F872" i="9"/>
  <c r="E872" i="9"/>
  <c r="P871" i="9"/>
  <c r="O871" i="9"/>
  <c r="N871" i="9"/>
  <c r="M871" i="9"/>
  <c r="L871" i="9"/>
  <c r="K871" i="9"/>
  <c r="G871" i="9"/>
  <c r="F871" i="9"/>
  <c r="E871" i="9"/>
  <c r="P870" i="9"/>
  <c r="O870" i="9"/>
  <c r="N870" i="9"/>
  <c r="M870" i="9"/>
  <c r="L870" i="9"/>
  <c r="K870" i="9"/>
  <c r="G870" i="9"/>
  <c r="F870" i="9"/>
  <c r="E870" i="9"/>
  <c r="P869" i="9"/>
  <c r="O869" i="9"/>
  <c r="N869" i="9"/>
  <c r="M869" i="9"/>
  <c r="L869" i="9"/>
  <c r="K869" i="9"/>
  <c r="G869" i="9"/>
  <c r="F869" i="9"/>
  <c r="E869" i="9"/>
  <c r="P868" i="9"/>
  <c r="O868" i="9"/>
  <c r="N868" i="9"/>
  <c r="M868" i="9"/>
  <c r="L868" i="9"/>
  <c r="K868" i="9"/>
  <c r="G868" i="9"/>
  <c r="F868" i="9"/>
  <c r="E868" i="9"/>
  <c r="P867" i="9"/>
  <c r="O867" i="9"/>
  <c r="N867" i="9"/>
  <c r="M867" i="9"/>
  <c r="L867" i="9"/>
  <c r="K867" i="9"/>
  <c r="G867" i="9"/>
  <c r="F867" i="9"/>
  <c r="E867" i="9"/>
  <c r="P866" i="9"/>
  <c r="O866" i="9"/>
  <c r="N866" i="9"/>
  <c r="M866" i="9"/>
  <c r="L866" i="9"/>
  <c r="K866" i="9"/>
  <c r="G866" i="9"/>
  <c r="F866" i="9"/>
  <c r="E866" i="9"/>
  <c r="P865" i="9"/>
  <c r="O865" i="9"/>
  <c r="N865" i="9"/>
  <c r="M865" i="9"/>
  <c r="L865" i="9"/>
  <c r="K865" i="9"/>
  <c r="G865" i="9"/>
  <c r="F865" i="9"/>
  <c r="E865" i="9"/>
  <c r="P864" i="9"/>
  <c r="O864" i="9"/>
  <c r="N864" i="9"/>
  <c r="M864" i="9"/>
  <c r="L864" i="9"/>
  <c r="K864" i="9"/>
  <c r="G864" i="9"/>
  <c r="F864" i="9"/>
  <c r="E864" i="9"/>
  <c r="P863" i="9"/>
  <c r="O863" i="9"/>
  <c r="N863" i="9"/>
  <c r="M863" i="9"/>
  <c r="L863" i="9"/>
  <c r="K863" i="9"/>
  <c r="G863" i="9"/>
  <c r="F863" i="9"/>
  <c r="E863" i="9"/>
  <c r="P862" i="9"/>
  <c r="O862" i="9"/>
  <c r="N862" i="9"/>
  <c r="M862" i="9"/>
  <c r="L862" i="9"/>
  <c r="K862" i="9"/>
  <c r="G862" i="9"/>
  <c r="F862" i="9"/>
  <c r="E862" i="9"/>
  <c r="P861" i="9"/>
  <c r="O861" i="9"/>
  <c r="N861" i="9"/>
  <c r="M861" i="9"/>
  <c r="L861" i="9"/>
  <c r="K861" i="9"/>
  <c r="G861" i="9"/>
  <c r="F861" i="9"/>
  <c r="E861" i="9"/>
  <c r="P860" i="9"/>
  <c r="O860" i="9"/>
  <c r="N860" i="9"/>
  <c r="M860" i="9"/>
  <c r="L860" i="9"/>
  <c r="K860" i="9"/>
  <c r="G860" i="9"/>
  <c r="F860" i="9"/>
  <c r="E860" i="9"/>
  <c r="P859" i="9"/>
  <c r="O859" i="9"/>
  <c r="N859" i="9"/>
  <c r="M859" i="9"/>
  <c r="L859" i="9"/>
  <c r="K859" i="9"/>
  <c r="G859" i="9"/>
  <c r="F859" i="9"/>
  <c r="E859" i="9"/>
  <c r="P858" i="9"/>
  <c r="O858" i="9"/>
  <c r="N858" i="9"/>
  <c r="M858" i="9"/>
  <c r="L858" i="9"/>
  <c r="K858" i="9"/>
  <c r="G858" i="9"/>
  <c r="F858" i="9"/>
  <c r="E858" i="9"/>
  <c r="P857" i="9"/>
  <c r="O857" i="9"/>
  <c r="N857" i="9"/>
  <c r="M857" i="9"/>
  <c r="L857" i="9"/>
  <c r="K857" i="9"/>
  <c r="G857" i="9"/>
  <c r="F857" i="9"/>
  <c r="E857" i="9"/>
  <c r="P856" i="9"/>
  <c r="O856" i="9"/>
  <c r="N856" i="9"/>
  <c r="M856" i="9"/>
  <c r="L856" i="9"/>
  <c r="K856" i="9"/>
  <c r="G856" i="9"/>
  <c r="F856" i="9"/>
  <c r="E856" i="9"/>
  <c r="P855" i="9"/>
  <c r="O855" i="9"/>
  <c r="N855" i="9"/>
  <c r="M855" i="9"/>
  <c r="L855" i="9"/>
  <c r="K855" i="9"/>
  <c r="G855" i="9"/>
  <c r="F855" i="9"/>
  <c r="E855" i="9"/>
  <c r="P854" i="9"/>
  <c r="O854" i="9"/>
  <c r="N854" i="9"/>
  <c r="M854" i="9"/>
  <c r="L854" i="9"/>
  <c r="K854" i="9"/>
  <c r="G854" i="9"/>
  <c r="F854" i="9"/>
  <c r="E854" i="9"/>
  <c r="P853" i="9"/>
  <c r="O853" i="9"/>
  <c r="N853" i="9"/>
  <c r="M853" i="9"/>
  <c r="L853" i="9"/>
  <c r="K853" i="9"/>
  <c r="G853" i="9"/>
  <c r="F853" i="9"/>
  <c r="E853" i="9"/>
  <c r="P852" i="9"/>
  <c r="O852" i="9"/>
  <c r="N852" i="9"/>
  <c r="M852" i="9"/>
  <c r="L852" i="9"/>
  <c r="K852" i="9"/>
  <c r="G852" i="9"/>
  <c r="F852" i="9"/>
  <c r="E852" i="9"/>
  <c r="P851" i="9"/>
  <c r="O851" i="9"/>
  <c r="N851" i="9"/>
  <c r="M851" i="9"/>
  <c r="L851" i="9"/>
  <c r="K851" i="9"/>
  <c r="G851" i="9"/>
  <c r="F851" i="9"/>
  <c r="E851" i="9"/>
  <c r="P850" i="9"/>
  <c r="O850" i="9"/>
  <c r="N850" i="9"/>
  <c r="M850" i="9"/>
  <c r="L850" i="9"/>
  <c r="K850" i="9"/>
  <c r="G850" i="9"/>
  <c r="F850" i="9"/>
  <c r="E850" i="9"/>
  <c r="P849" i="9"/>
  <c r="O849" i="9"/>
  <c r="N849" i="9"/>
  <c r="M849" i="9"/>
  <c r="L849" i="9"/>
  <c r="K849" i="9"/>
  <c r="G849" i="9"/>
  <c r="F849" i="9"/>
  <c r="E849" i="9"/>
  <c r="P848" i="9"/>
  <c r="O848" i="9"/>
  <c r="N848" i="9"/>
  <c r="M848" i="9"/>
  <c r="L848" i="9"/>
  <c r="K848" i="9"/>
  <c r="G848" i="9"/>
  <c r="F848" i="9"/>
  <c r="E848" i="9"/>
  <c r="P847" i="9"/>
  <c r="O847" i="9"/>
  <c r="N847" i="9"/>
  <c r="M847" i="9"/>
  <c r="L847" i="9"/>
  <c r="K847" i="9"/>
  <c r="G847" i="9"/>
  <c r="F847" i="9"/>
  <c r="E847" i="9"/>
  <c r="P846" i="9"/>
  <c r="O846" i="9"/>
  <c r="N846" i="9"/>
  <c r="M846" i="9"/>
  <c r="L846" i="9"/>
  <c r="K846" i="9"/>
  <c r="G846" i="9"/>
  <c r="F846" i="9"/>
  <c r="E846" i="9"/>
  <c r="P845" i="9"/>
  <c r="O845" i="9"/>
  <c r="N845" i="9"/>
  <c r="M845" i="9"/>
  <c r="L845" i="9"/>
  <c r="K845" i="9"/>
  <c r="G845" i="9"/>
  <c r="F845" i="9"/>
  <c r="E845" i="9"/>
  <c r="P844" i="9"/>
  <c r="O844" i="9"/>
  <c r="N844" i="9"/>
  <c r="M844" i="9"/>
  <c r="L844" i="9"/>
  <c r="K844" i="9"/>
  <c r="G844" i="9"/>
  <c r="F844" i="9"/>
  <c r="E844" i="9"/>
  <c r="P843" i="9"/>
  <c r="O843" i="9"/>
  <c r="N843" i="9"/>
  <c r="M843" i="9"/>
  <c r="L843" i="9"/>
  <c r="K843" i="9"/>
  <c r="G843" i="9"/>
  <c r="F843" i="9"/>
  <c r="E843" i="9"/>
  <c r="P842" i="9"/>
  <c r="O842" i="9"/>
  <c r="N842" i="9"/>
  <c r="M842" i="9"/>
  <c r="L842" i="9"/>
  <c r="K842" i="9"/>
  <c r="G842" i="9"/>
  <c r="F842" i="9"/>
  <c r="E842" i="9"/>
  <c r="P841" i="9"/>
  <c r="O841" i="9"/>
  <c r="N841" i="9"/>
  <c r="M841" i="9"/>
  <c r="L841" i="9"/>
  <c r="K841" i="9"/>
  <c r="G841" i="9"/>
  <c r="F841" i="9"/>
  <c r="E841" i="9"/>
  <c r="P840" i="9"/>
  <c r="O840" i="9"/>
  <c r="N840" i="9"/>
  <c r="M840" i="9"/>
  <c r="L840" i="9"/>
  <c r="K840" i="9"/>
  <c r="G840" i="9"/>
  <c r="F840" i="9"/>
  <c r="E840" i="9"/>
  <c r="P839" i="9"/>
  <c r="O839" i="9"/>
  <c r="N839" i="9"/>
  <c r="M839" i="9"/>
  <c r="L839" i="9"/>
  <c r="K839" i="9"/>
  <c r="G839" i="9"/>
  <c r="F839" i="9"/>
  <c r="E839" i="9"/>
  <c r="P838" i="9"/>
  <c r="O838" i="9"/>
  <c r="N838" i="9"/>
  <c r="M838" i="9"/>
  <c r="L838" i="9"/>
  <c r="K838" i="9"/>
  <c r="G838" i="9"/>
  <c r="F838" i="9"/>
  <c r="E838" i="9"/>
  <c r="P837" i="9"/>
  <c r="O837" i="9"/>
  <c r="N837" i="9"/>
  <c r="M837" i="9"/>
  <c r="L837" i="9"/>
  <c r="K837" i="9"/>
  <c r="G837" i="9"/>
  <c r="F837" i="9"/>
  <c r="E837" i="9"/>
  <c r="P836" i="9"/>
  <c r="O836" i="9"/>
  <c r="N836" i="9"/>
  <c r="M836" i="9"/>
  <c r="L836" i="9"/>
  <c r="K836" i="9"/>
  <c r="G836" i="9"/>
  <c r="F836" i="9"/>
  <c r="E836" i="9"/>
  <c r="P835" i="9"/>
  <c r="O835" i="9"/>
  <c r="N835" i="9"/>
  <c r="M835" i="9"/>
  <c r="L835" i="9"/>
  <c r="K835" i="9"/>
  <c r="G835" i="9"/>
  <c r="F835" i="9"/>
  <c r="E835" i="9"/>
  <c r="P834" i="9"/>
  <c r="O834" i="9"/>
  <c r="N834" i="9"/>
  <c r="M834" i="9"/>
  <c r="L834" i="9"/>
  <c r="K834" i="9"/>
  <c r="G834" i="9"/>
  <c r="F834" i="9"/>
  <c r="E834" i="9"/>
  <c r="P833" i="9"/>
  <c r="O833" i="9"/>
  <c r="N833" i="9"/>
  <c r="M833" i="9"/>
  <c r="L833" i="9"/>
  <c r="K833" i="9"/>
  <c r="G833" i="9"/>
  <c r="F833" i="9"/>
  <c r="E833" i="9"/>
  <c r="P832" i="9"/>
  <c r="O832" i="9"/>
  <c r="N832" i="9"/>
  <c r="M832" i="9"/>
  <c r="L832" i="9"/>
  <c r="K832" i="9"/>
  <c r="G832" i="9"/>
  <c r="F832" i="9"/>
  <c r="E832" i="9"/>
  <c r="P831" i="9"/>
  <c r="O831" i="9"/>
  <c r="N831" i="9"/>
  <c r="M831" i="9"/>
  <c r="L831" i="9"/>
  <c r="K831" i="9"/>
  <c r="G831" i="9"/>
  <c r="F831" i="9"/>
  <c r="E831" i="9"/>
  <c r="P830" i="9"/>
  <c r="O830" i="9"/>
  <c r="N830" i="9"/>
  <c r="M830" i="9"/>
  <c r="L830" i="9"/>
  <c r="K830" i="9"/>
  <c r="G830" i="9"/>
  <c r="F830" i="9"/>
  <c r="E830" i="9"/>
  <c r="P829" i="9"/>
  <c r="O829" i="9"/>
  <c r="N829" i="9"/>
  <c r="M829" i="9"/>
  <c r="L829" i="9"/>
  <c r="K829" i="9"/>
  <c r="G829" i="9"/>
  <c r="F829" i="9"/>
  <c r="E829" i="9"/>
  <c r="P828" i="9"/>
  <c r="O828" i="9"/>
  <c r="N828" i="9"/>
  <c r="M828" i="9"/>
  <c r="L828" i="9"/>
  <c r="K828" i="9"/>
  <c r="G828" i="9"/>
  <c r="F828" i="9"/>
  <c r="E828" i="9"/>
  <c r="P827" i="9"/>
  <c r="O827" i="9"/>
  <c r="N827" i="9"/>
  <c r="M827" i="9"/>
  <c r="L827" i="9"/>
  <c r="K827" i="9"/>
  <c r="G827" i="9"/>
  <c r="F827" i="9"/>
  <c r="E827" i="9"/>
  <c r="P826" i="9"/>
  <c r="O826" i="9"/>
  <c r="N826" i="9"/>
  <c r="M826" i="9"/>
  <c r="L826" i="9"/>
  <c r="K826" i="9"/>
  <c r="G826" i="9"/>
  <c r="F826" i="9"/>
  <c r="E826" i="9"/>
  <c r="P825" i="9"/>
  <c r="O825" i="9"/>
  <c r="N825" i="9"/>
  <c r="M825" i="9"/>
  <c r="L825" i="9"/>
  <c r="K825" i="9"/>
  <c r="G825" i="9"/>
  <c r="F825" i="9"/>
  <c r="E825" i="9"/>
  <c r="P824" i="9"/>
  <c r="O824" i="9"/>
  <c r="N824" i="9"/>
  <c r="M824" i="9"/>
  <c r="L824" i="9"/>
  <c r="K824" i="9"/>
  <c r="G824" i="9"/>
  <c r="F824" i="9"/>
  <c r="E824" i="9"/>
  <c r="P823" i="9"/>
  <c r="O823" i="9"/>
  <c r="N823" i="9"/>
  <c r="M823" i="9"/>
  <c r="L823" i="9"/>
  <c r="K823" i="9"/>
  <c r="G823" i="9"/>
  <c r="F823" i="9"/>
  <c r="E823" i="9"/>
  <c r="P822" i="9"/>
  <c r="O822" i="9"/>
  <c r="N822" i="9"/>
  <c r="M822" i="9"/>
  <c r="L822" i="9"/>
  <c r="K822" i="9"/>
  <c r="G822" i="9"/>
  <c r="F822" i="9"/>
  <c r="E822" i="9"/>
  <c r="P821" i="9"/>
  <c r="O821" i="9"/>
  <c r="N821" i="9"/>
  <c r="M821" i="9"/>
  <c r="L821" i="9"/>
  <c r="K821" i="9"/>
  <c r="G821" i="9"/>
  <c r="F821" i="9"/>
  <c r="E821" i="9"/>
  <c r="P820" i="9"/>
  <c r="O820" i="9"/>
  <c r="N820" i="9"/>
  <c r="M820" i="9"/>
  <c r="L820" i="9"/>
  <c r="K820" i="9"/>
  <c r="G820" i="9"/>
  <c r="F820" i="9"/>
  <c r="E820" i="9"/>
  <c r="P819" i="9"/>
  <c r="O819" i="9"/>
  <c r="N819" i="9"/>
  <c r="M819" i="9"/>
  <c r="L819" i="9"/>
  <c r="K819" i="9"/>
  <c r="G819" i="9"/>
  <c r="F819" i="9"/>
  <c r="E819" i="9"/>
  <c r="P818" i="9"/>
  <c r="O818" i="9"/>
  <c r="N818" i="9"/>
  <c r="M818" i="9"/>
  <c r="L818" i="9"/>
  <c r="K818" i="9"/>
  <c r="G818" i="9"/>
  <c r="F818" i="9"/>
  <c r="E818" i="9"/>
  <c r="P817" i="9"/>
  <c r="O817" i="9"/>
  <c r="N817" i="9"/>
  <c r="M817" i="9"/>
  <c r="L817" i="9"/>
  <c r="K817" i="9"/>
  <c r="G817" i="9"/>
  <c r="F817" i="9"/>
  <c r="E817" i="9"/>
  <c r="P816" i="9"/>
  <c r="O816" i="9"/>
  <c r="N816" i="9"/>
  <c r="M816" i="9"/>
  <c r="L816" i="9"/>
  <c r="K816" i="9"/>
  <c r="G816" i="9"/>
  <c r="F816" i="9"/>
  <c r="E816" i="9"/>
  <c r="P815" i="9"/>
  <c r="O815" i="9"/>
  <c r="N815" i="9"/>
  <c r="M815" i="9"/>
  <c r="L815" i="9"/>
  <c r="K815" i="9"/>
  <c r="G815" i="9"/>
  <c r="F815" i="9"/>
  <c r="E815" i="9"/>
  <c r="P814" i="9"/>
  <c r="O814" i="9"/>
  <c r="N814" i="9"/>
  <c r="M814" i="9"/>
  <c r="L814" i="9"/>
  <c r="K814" i="9"/>
  <c r="G814" i="9"/>
  <c r="F814" i="9"/>
  <c r="E814" i="9"/>
  <c r="P813" i="9"/>
  <c r="O813" i="9"/>
  <c r="N813" i="9"/>
  <c r="M813" i="9"/>
  <c r="L813" i="9"/>
  <c r="K813" i="9"/>
  <c r="G813" i="9"/>
  <c r="F813" i="9"/>
  <c r="E813" i="9"/>
  <c r="P812" i="9"/>
  <c r="O812" i="9"/>
  <c r="N812" i="9"/>
  <c r="M812" i="9"/>
  <c r="L812" i="9"/>
  <c r="K812" i="9"/>
  <c r="G812" i="9"/>
  <c r="F812" i="9"/>
  <c r="E812" i="9"/>
  <c r="P811" i="9"/>
  <c r="O811" i="9"/>
  <c r="N811" i="9"/>
  <c r="M811" i="9"/>
  <c r="L811" i="9"/>
  <c r="K811" i="9"/>
  <c r="G811" i="9"/>
  <c r="F811" i="9"/>
  <c r="E811" i="9"/>
  <c r="P810" i="9"/>
  <c r="O810" i="9"/>
  <c r="N810" i="9"/>
  <c r="M810" i="9"/>
  <c r="L810" i="9"/>
  <c r="K810" i="9"/>
  <c r="G810" i="9"/>
  <c r="F810" i="9"/>
  <c r="E810" i="9"/>
  <c r="P809" i="9"/>
  <c r="O809" i="9"/>
  <c r="N809" i="9"/>
  <c r="M809" i="9"/>
  <c r="L809" i="9"/>
  <c r="K809" i="9"/>
  <c r="G809" i="9"/>
  <c r="F809" i="9"/>
  <c r="E809" i="9"/>
  <c r="P808" i="9"/>
  <c r="O808" i="9"/>
  <c r="N808" i="9"/>
  <c r="M808" i="9"/>
  <c r="L808" i="9"/>
  <c r="K808" i="9"/>
  <c r="G808" i="9"/>
  <c r="F808" i="9"/>
  <c r="E808" i="9"/>
  <c r="P807" i="9"/>
  <c r="O807" i="9"/>
  <c r="N807" i="9"/>
  <c r="M807" i="9"/>
  <c r="L807" i="9"/>
  <c r="K807" i="9"/>
  <c r="G807" i="9"/>
  <c r="F807" i="9"/>
  <c r="E807" i="9"/>
  <c r="P806" i="9"/>
  <c r="O806" i="9"/>
  <c r="N806" i="9"/>
  <c r="M806" i="9"/>
  <c r="L806" i="9"/>
  <c r="K806" i="9"/>
  <c r="G806" i="9"/>
  <c r="F806" i="9"/>
  <c r="E806" i="9"/>
  <c r="P805" i="9"/>
  <c r="O805" i="9"/>
  <c r="N805" i="9"/>
  <c r="M805" i="9"/>
  <c r="L805" i="9"/>
  <c r="K805" i="9"/>
  <c r="G805" i="9"/>
  <c r="F805" i="9"/>
  <c r="E805" i="9"/>
  <c r="P804" i="9"/>
  <c r="O804" i="9"/>
  <c r="N804" i="9"/>
  <c r="M804" i="9"/>
  <c r="L804" i="9"/>
  <c r="K804" i="9"/>
  <c r="G804" i="9"/>
  <c r="F804" i="9"/>
  <c r="E804" i="9"/>
  <c r="P803" i="9"/>
  <c r="O803" i="9"/>
  <c r="N803" i="9"/>
  <c r="M803" i="9"/>
  <c r="L803" i="9"/>
  <c r="K803" i="9"/>
  <c r="G803" i="9"/>
  <c r="F803" i="9"/>
  <c r="E803" i="9"/>
  <c r="P802" i="9"/>
  <c r="O802" i="9"/>
  <c r="N802" i="9"/>
  <c r="M802" i="9"/>
  <c r="L802" i="9"/>
  <c r="K802" i="9"/>
  <c r="G802" i="9"/>
  <c r="F802" i="9"/>
  <c r="E802" i="9"/>
  <c r="P801" i="9"/>
  <c r="O801" i="9"/>
  <c r="N801" i="9"/>
  <c r="M801" i="9"/>
  <c r="L801" i="9"/>
  <c r="K801" i="9"/>
  <c r="G801" i="9"/>
  <c r="F801" i="9"/>
  <c r="E801" i="9"/>
  <c r="P800" i="9"/>
  <c r="O800" i="9"/>
  <c r="N800" i="9"/>
  <c r="M800" i="9"/>
  <c r="L800" i="9"/>
  <c r="K800" i="9"/>
  <c r="G800" i="9"/>
  <c r="F800" i="9"/>
  <c r="E800" i="9"/>
  <c r="P799" i="9"/>
  <c r="O799" i="9"/>
  <c r="N799" i="9"/>
  <c r="M799" i="9"/>
  <c r="L799" i="9"/>
  <c r="K799" i="9"/>
  <c r="G799" i="9"/>
  <c r="F799" i="9"/>
  <c r="E799" i="9"/>
  <c r="P798" i="9"/>
  <c r="O798" i="9"/>
  <c r="N798" i="9"/>
  <c r="M798" i="9"/>
  <c r="L798" i="9"/>
  <c r="K798" i="9"/>
  <c r="G798" i="9"/>
  <c r="F798" i="9"/>
  <c r="E798" i="9"/>
  <c r="P797" i="9"/>
  <c r="O797" i="9"/>
  <c r="N797" i="9"/>
  <c r="M797" i="9"/>
  <c r="L797" i="9"/>
  <c r="K797" i="9"/>
  <c r="G797" i="9"/>
  <c r="F797" i="9"/>
  <c r="E797" i="9"/>
  <c r="P796" i="9"/>
  <c r="O796" i="9"/>
  <c r="N796" i="9"/>
  <c r="M796" i="9"/>
  <c r="L796" i="9"/>
  <c r="K796" i="9"/>
  <c r="G796" i="9"/>
  <c r="F796" i="9"/>
  <c r="E796" i="9"/>
  <c r="P795" i="9"/>
  <c r="O795" i="9"/>
  <c r="N795" i="9"/>
  <c r="M795" i="9"/>
  <c r="L795" i="9"/>
  <c r="K795" i="9"/>
  <c r="G795" i="9"/>
  <c r="F795" i="9"/>
  <c r="E795" i="9"/>
  <c r="P794" i="9"/>
  <c r="O794" i="9"/>
  <c r="N794" i="9"/>
  <c r="M794" i="9"/>
  <c r="L794" i="9"/>
  <c r="K794" i="9"/>
  <c r="G794" i="9"/>
  <c r="F794" i="9"/>
  <c r="E794" i="9"/>
  <c r="P793" i="9"/>
  <c r="O793" i="9"/>
  <c r="N793" i="9"/>
  <c r="M793" i="9"/>
  <c r="L793" i="9"/>
  <c r="K793" i="9"/>
  <c r="G793" i="9"/>
  <c r="F793" i="9"/>
  <c r="E793" i="9"/>
  <c r="P792" i="9"/>
  <c r="O792" i="9"/>
  <c r="N792" i="9"/>
  <c r="M792" i="9"/>
  <c r="L792" i="9"/>
  <c r="K792" i="9"/>
  <c r="G792" i="9"/>
  <c r="F792" i="9"/>
  <c r="E792" i="9"/>
  <c r="P791" i="9"/>
  <c r="O791" i="9"/>
  <c r="N791" i="9"/>
  <c r="M791" i="9"/>
  <c r="L791" i="9"/>
  <c r="K791" i="9"/>
  <c r="G791" i="9"/>
  <c r="F791" i="9"/>
  <c r="E791" i="9"/>
  <c r="P790" i="9"/>
  <c r="O790" i="9"/>
  <c r="N790" i="9"/>
  <c r="M790" i="9"/>
  <c r="L790" i="9"/>
  <c r="K790" i="9"/>
  <c r="G790" i="9"/>
  <c r="F790" i="9"/>
  <c r="E790" i="9"/>
  <c r="P789" i="9"/>
  <c r="O789" i="9"/>
  <c r="N789" i="9"/>
  <c r="M789" i="9"/>
  <c r="L789" i="9"/>
  <c r="K789" i="9"/>
  <c r="G789" i="9"/>
  <c r="F789" i="9"/>
  <c r="E789" i="9"/>
  <c r="P788" i="9"/>
  <c r="O788" i="9"/>
  <c r="N788" i="9"/>
  <c r="M788" i="9"/>
  <c r="L788" i="9"/>
  <c r="K788" i="9"/>
  <c r="G788" i="9"/>
  <c r="F788" i="9"/>
  <c r="E788" i="9"/>
  <c r="P787" i="9"/>
  <c r="O787" i="9"/>
  <c r="N787" i="9"/>
  <c r="M787" i="9"/>
  <c r="L787" i="9"/>
  <c r="K787" i="9"/>
  <c r="G787" i="9"/>
  <c r="F787" i="9"/>
  <c r="E787" i="9"/>
  <c r="P786" i="9"/>
  <c r="O786" i="9"/>
  <c r="N786" i="9"/>
  <c r="M786" i="9"/>
  <c r="L786" i="9"/>
  <c r="K786" i="9"/>
  <c r="G786" i="9"/>
  <c r="F786" i="9"/>
  <c r="E786" i="9"/>
  <c r="P785" i="9"/>
  <c r="O785" i="9"/>
  <c r="N785" i="9"/>
  <c r="M785" i="9"/>
  <c r="L785" i="9"/>
  <c r="K785" i="9"/>
  <c r="G785" i="9"/>
  <c r="F785" i="9"/>
  <c r="E785" i="9"/>
  <c r="P784" i="9"/>
  <c r="O784" i="9"/>
  <c r="N784" i="9"/>
  <c r="M784" i="9"/>
  <c r="L784" i="9"/>
  <c r="K784" i="9"/>
  <c r="G784" i="9"/>
  <c r="F784" i="9"/>
  <c r="E784" i="9"/>
  <c r="P783" i="9"/>
  <c r="O783" i="9"/>
  <c r="N783" i="9"/>
  <c r="M783" i="9"/>
  <c r="L783" i="9"/>
  <c r="K783" i="9"/>
  <c r="G783" i="9"/>
  <c r="F783" i="9"/>
  <c r="E783" i="9"/>
  <c r="P782" i="9"/>
  <c r="O782" i="9"/>
  <c r="N782" i="9"/>
  <c r="M782" i="9"/>
  <c r="L782" i="9"/>
  <c r="K782" i="9"/>
  <c r="G782" i="9"/>
  <c r="F782" i="9"/>
  <c r="E782" i="9"/>
  <c r="P781" i="9"/>
  <c r="O781" i="9"/>
  <c r="N781" i="9"/>
  <c r="M781" i="9"/>
  <c r="L781" i="9"/>
  <c r="K781" i="9"/>
  <c r="G781" i="9"/>
  <c r="F781" i="9"/>
  <c r="E781" i="9"/>
  <c r="P780" i="9"/>
  <c r="O780" i="9"/>
  <c r="N780" i="9"/>
  <c r="M780" i="9"/>
  <c r="L780" i="9"/>
  <c r="K780" i="9"/>
  <c r="G780" i="9"/>
  <c r="F780" i="9"/>
  <c r="E780" i="9"/>
  <c r="P779" i="9"/>
  <c r="O779" i="9"/>
  <c r="N779" i="9"/>
  <c r="M779" i="9"/>
  <c r="L779" i="9"/>
  <c r="K779" i="9"/>
  <c r="G779" i="9"/>
  <c r="F779" i="9"/>
  <c r="E779" i="9"/>
  <c r="P778" i="9"/>
  <c r="O778" i="9"/>
  <c r="N778" i="9"/>
  <c r="M778" i="9"/>
  <c r="L778" i="9"/>
  <c r="K778" i="9"/>
  <c r="G778" i="9"/>
  <c r="F778" i="9"/>
  <c r="E778" i="9"/>
  <c r="P777" i="9"/>
  <c r="O777" i="9"/>
  <c r="N777" i="9"/>
  <c r="M777" i="9"/>
  <c r="L777" i="9"/>
  <c r="K777" i="9"/>
  <c r="G777" i="9"/>
  <c r="F777" i="9"/>
  <c r="E777" i="9"/>
  <c r="P776" i="9"/>
  <c r="O776" i="9"/>
  <c r="N776" i="9"/>
  <c r="M776" i="9"/>
  <c r="L776" i="9"/>
  <c r="K776" i="9"/>
  <c r="G776" i="9"/>
  <c r="F776" i="9"/>
  <c r="E776" i="9"/>
  <c r="P775" i="9"/>
  <c r="O775" i="9"/>
  <c r="N775" i="9"/>
  <c r="M775" i="9"/>
  <c r="L775" i="9"/>
  <c r="K775" i="9"/>
  <c r="G775" i="9"/>
  <c r="F775" i="9"/>
  <c r="E775" i="9"/>
  <c r="P774" i="9"/>
  <c r="O774" i="9"/>
  <c r="N774" i="9"/>
  <c r="M774" i="9"/>
  <c r="L774" i="9"/>
  <c r="K774" i="9"/>
  <c r="G774" i="9"/>
  <c r="F774" i="9"/>
  <c r="E774" i="9"/>
  <c r="P773" i="9"/>
  <c r="O773" i="9"/>
  <c r="N773" i="9"/>
  <c r="M773" i="9"/>
  <c r="L773" i="9"/>
  <c r="K773" i="9"/>
  <c r="G773" i="9"/>
  <c r="F773" i="9"/>
  <c r="E773" i="9"/>
  <c r="P772" i="9"/>
  <c r="O772" i="9"/>
  <c r="N772" i="9"/>
  <c r="M772" i="9"/>
  <c r="L772" i="9"/>
  <c r="K772" i="9"/>
  <c r="G772" i="9"/>
  <c r="F772" i="9"/>
  <c r="E772" i="9"/>
  <c r="P771" i="9"/>
  <c r="O771" i="9"/>
  <c r="N771" i="9"/>
  <c r="M771" i="9"/>
  <c r="L771" i="9"/>
  <c r="K771" i="9"/>
  <c r="G771" i="9"/>
  <c r="F771" i="9"/>
  <c r="E771" i="9"/>
  <c r="P770" i="9"/>
  <c r="O770" i="9"/>
  <c r="N770" i="9"/>
  <c r="M770" i="9"/>
  <c r="L770" i="9"/>
  <c r="K770" i="9"/>
  <c r="G770" i="9"/>
  <c r="F770" i="9"/>
  <c r="E770" i="9"/>
  <c r="P769" i="9"/>
  <c r="O769" i="9"/>
  <c r="N769" i="9"/>
  <c r="M769" i="9"/>
  <c r="L769" i="9"/>
  <c r="K769" i="9"/>
  <c r="G769" i="9"/>
  <c r="F769" i="9"/>
  <c r="E769" i="9"/>
  <c r="P768" i="9"/>
  <c r="O768" i="9"/>
  <c r="N768" i="9"/>
  <c r="M768" i="9"/>
  <c r="L768" i="9"/>
  <c r="K768" i="9"/>
  <c r="G768" i="9"/>
  <c r="F768" i="9"/>
  <c r="E768" i="9"/>
  <c r="P767" i="9"/>
  <c r="O767" i="9"/>
  <c r="N767" i="9"/>
  <c r="M767" i="9"/>
  <c r="L767" i="9"/>
  <c r="K767" i="9"/>
  <c r="G767" i="9"/>
  <c r="F767" i="9"/>
  <c r="E767" i="9"/>
  <c r="P766" i="9"/>
  <c r="O766" i="9"/>
  <c r="N766" i="9"/>
  <c r="M766" i="9"/>
  <c r="L766" i="9"/>
  <c r="K766" i="9"/>
  <c r="G766" i="9"/>
  <c r="F766" i="9"/>
  <c r="E766" i="9"/>
  <c r="P765" i="9"/>
  <c r="O765" i="9"/>
  <c r="N765" i="9"/>
  <c r="M765" i="9"/>
  <c r="L765" i="9"/>
  <c r="K765" i="9"/>
  <c r="G765" i="9"/>
  <c r="F765" i="9"/>
  <c r="E765" i="9"/>
  <c r="P764" i="9"/>
  <c r="O764" i="9"/>
  <c r="N764" i="9"/>
  <c r="M764" i="9"/>
  <c r="L764" i="9"/>
  <c r="K764" i="9"/>
  <c r="G764" i="9"/>
  <c r="F764" i="9"/>
  <c r="E764" i="9"/>
  <c r="P763" i="9"/>
  <c r="O763" i="9"/>
  <c r="N763" i="9"/>
  <c r="M763" i="9"/>
  <c r="L763" i="9"/>
  <c r="K763" i="9"/>
  <c r="G763" i="9"/>
  <c r="F763" i="9"/>
  <c r="E763" i="9"/>
  <c r="P762" i="9"/>
  <c r="O762" i="9"/>
  <c r="N762" i="9"/>
  <c r="M762" i="9"/>
  <c r="L762" i="9"/>
  <c r="K762" i="9"/>
  <c r="G762" i="9"/>
  <c r="F762" i="9"/>
  <c r="E762" i="9"/>
  <c r="P761" i="9"/>
  <c r="O761" i="9"/>
  <c r="N761" i="9"/>
  <c r="M761" i="9"/>
  <c r="L761" i="9"/>
  <c r="K761" i="9"/>
  <c r="G761" i="9"/>
  <c r="F761" i="9"/>
  <c r="E761" i="9"/>
  <c r="P760" i="9"/>
  <c r="O760" i="9"/>
  <c r="N760" i="9"/>
  <c r="M760" i="9"/>
  <c r="L760" i="9"/>
  <c r="K760" i="9"/>
  <c r="G760" i="9"/>
  <c r="F760" i="9"/>
  <c r="E760" i="9"/>
  <c r="P759" i="9"/>
  <c r="O759" i="9"/>
  <c r="N759" i="9"/>
  <c r="M759" i="9"/>
  <c r="L759" i="9"/>
  <c r="K759" i="9"/>
  <c r="G759" i="9"/>
  <c r="F759" i="9"/>
  <c r="E759" i="9"/>
  <c r="P758" i="9"/>
  <c r="O758" i="9"/>
  <c r="N758" i="9"/>
  <c r="M758" i="9"/>
  <c r="L758" i="9"/>
  <c r="K758" i="9"/>
  <c r="G758" i="9"/>
  <c r="F758" i="9"/>
  <c r="E758" i="9"/>
  <c r="P757" i="9"/>
  <c r="O757" i="9"/>
  <c r="N757" i="9"/>
  <c r="M757" i="9"/>
  <c r="L757" i="9"/>
  <c r="K757" i="9"/>
  <c r="G757" i="9"/>
  <c r="F757" i="9"/>
  <c r="E757" i="9"/>
  <c r="P756" i="9"/>
  <c r="O756" i="9"/>
  <c r="N756" i="9"/>
  <c r="M756" i="9"/>
  <c r="L756" i="9"/>
  <c r="K756" i="9"/>
  <c r="G756" i="9"/>
  <c r="F756" i="9"/>
  <c r="E756" i="9"/>
  <c r="P755" i="9"/>
  <c r="O755" i="9"/>
  <c r="N755" i="9"/>
  <c r="M755" i="9"/>
  <c r="L755" i="9"/>
  <c r="K755" i="9"/>
  <c r="G755" i="9"/>
  <c r="F755" i="9"/>
  <c r="E755" i="9"/>
  <c r="P754" i="9"/>
  <c r="O754" i="9"/>
  <c r="N754" i="9"/>
  <c r="M754" i="9"/>
  <c r="L754" i="9"/>
  <c r="K754" i="9"/>
  <c r="G754" i="9"/>
  <c r="F754" i="9"/>
  <c r="E754" i="9"/>
  <c r="P753" i="9"/>
  <c r="O753" i="9"/>
  <c r="N753" i="9"/>
  <c r="M753" i="9"/>
  <c r="L753" i="9"/>
  <c r="K753" i="9"/>
  <c r="G753" i="9"/>
  <c r="F753" i="9"/>
  <c r="E753" i="9"/>
  <c r="P752" i="9"/>
  <c r="O752" i="9"/>
  <c r="N752" i="9"/>
  <c r="M752" i="9"/>
  <c r="L752" i="9"/>
  <c r="K752" i="9"/>
  <c r="G752" i="9"/>
  <c r="F752" i="9"/>
  <c r="E752" i="9"/>
  <c r="P751" i="9"/>
  <c r="O751" i="9"/>
  <c r="N751" i="9"/>
  <c r="M751" i="9"/>
  <c r="L751" i="9"/>
  <c r="K751" i="9"/>
  <c r="G751" i="9"/>
  <c r="F751" i="9"/>
  <c r="E751" i="9"/>
  <c r="P750" i="9"/>
  <c r="O750" i="9"/>
  <c r="N750" i="9"/>
  <c r="M750" i="9"/>
  <c r="L750" i="9"/>
  <c r="K750" i="9"/>
  <c r="G750" i="9"/>
  <c r="F750" i="9"/>
  <c r="E750" i="9"/>
  <c r="P749" i="9"/>
  <c r="O749" i="9"/>
  <c r="N749" i="9"/>
  <c r="M749" i="9"/>
  <c r="L749" i="9"/>
  <c r="K749" i="9"/>
  <c r="G749" i="9"/>
  <c r="F749" i="9"/>
  <c r="E749" i="9"/>
  <c r="P748" i="9"/>
  <c r="O748" i="9"/>
  <c r="N748" i="9"/>
  <c r="M748" i="9"/>
  <c r="L748" i="9"/>
  <c r="K748" i="9"/>
  <c r="G748" i="9"/>
  <c r="F748" i="9"/>
  <c r="E748" i="9"/>
  <c r="P747" i="9"/>
  <c r="O747" i="9"/>
  <c r="N747" i="9"/>
  <c r="M747" i="9"/>
  <c r="L747" i="9"/>
  <c r="K747" i="9"/>
  <c r="G747" i="9"/>
  <c r="F747" i="9"/>
  <c r="E747" i="9"/>
  <c r="P746" i="9"/>
  <c r="O746" i="9"/>
  <c r="N746" i="9"/>
  <c r="M746" i="9"/>
  <c r="L746" i="9"/>
  <c r="K746" i="9"/>
  <c r="G746" i="9"/>
  <c r="F746" i="9"/>
  <c r="E746" i="9"/>
  <c r="P745" i="9"/>
  <c r="O745" i="9"/>
  <c r="N745" i="9"/>
  <c r="M745" i="9"/>
  <c r="L745" i="9"/>
  <c r="K745" i="9"/>
  <c r="G745" i="9"/>
  <c r="F745" i="9"/>
  <c r="E745" i="9"/>
  <c r="P744" i="9"/>
  <c r="O744" i="9"/>
  <c r="N744" i="9"/>
  <c r="M744" i="9"/>
  <c r="L744" i="9"/>
  <c r="K744" i="9"/>
  <c r="G744" i="9"/>
  <c r="F744" i="9"/>
  <c r="E744" i="9"/>
  <c r="P743" i="9"/>
  <c r="O743" i="9"/>
  <c r="N743" i="9"/>
  <c r="M743" i="9"/>
  <c r="L743" i="9"/>
  <c r="K743" i="9"/>
  <c r="G743" i="9"/>
  <c r="F743" i="9"/>
  <c r="E743" i="9"/>
  <c r="P742" i="9"/>
  <c r="O742" i="9"/>
  <c r="N742" i="9"/>
  <c r="M742" i="9"/>
  <c r="L742" i="9"/>
  <c r="K742" i="9"/>
  <c r="G742" i="9"/>
  <c r="F742" i="9"/>
  <c r="E742" i="9"/>
  <c r="P741" i="9"/>
  <c r="O741" i="9"/>
  <c r="N741" i="9"/>
  <c r="M741" i="9"/>
  <c r="L741" i="9"/>
  <c r="K741" i="9"/>
  <c r="G741" i="9"/>
  <c r="F741" i="9"/>
  <c r="E741" i="9"/>
  <c r="P740" i="9"/>
  <c r="O740" i="9"/>
  <c r="N740" i="9"/>
  <c r="M740" i="9"/>
  <c r="L740" i="9"/>
  <c r="K740" i="9"/>
  <c r="G740" i="9"/>
  <c r="F740" i="9"/>
  <c r="E740" i="9"/>
  <c r="P739" i="9"/>
  <c r="O739" i="9"/>
  <c r="N739" i="9"/>
  <c r="M739" i="9"/>
  <c r="L739" i="9"/>
  <c r="K739" i="9"/>
  <c r="G739" i="9"/>
  <c r="F739" i="9"/>
  <c r="E739" i="9"/>
  <c r="P738" i="9"/>
  <c r="O738" i="9"/>
  <c r="N738" i="9"/>
  <c r="M738" i="9"/>
  <c r="L738" i="9"/>
  <c r="K738" i="9"/>
  <c r="G738" i="9"/>
  <c r="F738" i="9"/>
  <c r="E738" i="9"/>
  <c r="P737" i="9"/>
  <c r="O737" i="9"/>
  <c r="N737" i="9"/>
  <c r="M737" i="9"/>
  <c r="L737" i="9"/>
  <c r="K737" i="9"/>
  <c r="G737" i="9"/>
  <c r="F737" i="9"/>
  <c r="E737" i="9"/>
  <c r="P736" i="9"/>
  <c r="O736" i="9"/>
  <c r="N736" i="9"/>
  <c r="M736" i="9"/>
  <c r="L736" i="9"/>
  <c r="K736" i="9"/>
  <c r="G736" i="9"/>
  <c r="F736" i="9"/>
  <c r="E736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B712" i="9"/>
  <c r="A712" i="9"/>
  <c r="B711" i="9"/>
  <c r="A711" i="9"/>
  <c r="B710" i="9"/>
  <c r="A710" i="9"/>
  <c r="B709" i="9"/>
  <c r="A709" i="9"/>
  <c r="B708" i="9"/>
  <c r="A708" i="9"/>
  <c r="B707" i="9"/>
  <c r="A707" i="9"/>
  <c r="B706" i="9"/>
  <c r="A706" i="9"/>
  <c r="B705" i="9"/>
  <c r="A705" i="9"/>
  <c r="B704" i="9"/>
  <c r="A704" i="9"/>
  <c r="B703" i="9"/>
  <c r="A703" i="9"/>
  <c r="B702" i="9"/>
  <c r="A702" i="9"/>
  <c r="B701" i="9"/>
  <c r="A701" i="9"/>
  <c r="B700" i="9"/>
  <c r="A700" i="9"/>
  <c r="B699" i="9"/>
  <c r="A699" i="9"/>
  <c r="B698" i="9"/>
  <c r="A698" i="9"/>
  <c r="B697" i="9"/>
  <c r="A697" i="9"/>
  <c r="B696" i="9"/>
  <c r="A696" i="9"/>
  <c r="B695" i="9"/>
  <c r="A695" i="9"/>
  <c r="B694" i="9"/>
  <c r="A694" i="9"/>
  <c r="B693" i="9"/>
  <c r="A693" i="9"/>
  <c r="B692" i="9"/>
  <c r="A692" i="9"/>
  <c r="B691" i="9"/>
  <c r="A691" i="9"/>
  <c r="B690" i="9"/>
  <c r="A690" i="9"/>
  <c r="B689" i="9"/>
  <c r="A689" i="9"/>
  <c r="B688" i="9"/>
  <c r="A688" i="9"/>
  <c r="B687" i="9"/>
  <c r="A687" i="9"/>
  <c r="B686" i="9"/>
  <c r="A686" i="9"/>
  <c r="B685" i="9"/>
  <c r="A685" i="9"/>
  <c r="B684" i="9"/>
  <c r="A684" i="9"/>
  <c r="B683" i="9"/>
  <c r="A683" i="9"/>
  <c r="B682" i="9"/>
  <c r="A682" i="9"/>
  <c r="B681" i="9"/>
  <c r="A681" i="9"/>
  <c r="B680" i="9"/>
  <c r="A680" i="9"/>
  <c r="B679" i="9"/>
  <c r="A679" i="9"/>
  <c r="B678" i="9"/>
  <c r="A678" i="9"/>
  <c r="B677" i="9"/>
  <c r="A677" i="9"/>
  <c r="B676" i="9"/>
  <c r="A676" i="9"/>
  <c r="B675" i="9"/>
  <c r="A675" i="9"/>
  <c r="B674" i="9"/>
  <c r="A674" i="9"/>
  <c r="B673" i="9"/>
  <c r="A673" i="9"/>
  <c r="B672" i="9"/>
  <c r="A672" i="9"/>
  <c r="B671" i="9"/>
  <c r="A671" i="9"/>
  <c r="B670" i="9"/>
  <c r="A670" i="9"/>
  <c r="B669" i="9"/>
  <c r="A669" i="9"/>
  <c r="B668" i="9"/>
  <c r="A668" i="9"/>
  <c r="B667" i="9"/>
  <c r="A667" i="9"/>
  <c r="B666" i="9"/>
  <c r="A666" i="9"/>
  <c r="B665" i="9"/>
  <c r="A665" i="9"/>
  <c r="B664" i="9"/>
  <c r="A664" i="9"/>
  <c r="B663" i="9"/>
  <c r="A663" i="9"/>
  <c r="B662" i="9"/>
  <c r="A662" i="9"/>
  <c r="B661" i="9"/>
  <c r="A661" i="9"/>
  <c r="B660" i="9"/>
  <c r="A660" i="9"/>
  <c r="B659" i="9"/>
  <c r="A659" i="9"/>
  <c r="B658" i="9"/>
  <c r="A658" i="9"/>
  <c r="B657" i="9"/>
  <c r="A657" i="9"/>
  <c r="B656" i="9"/>
  <c r="A656" i="9"/>
  <c r="B655" i="9"/>
  <c r="A655" i="9"/>
  <c r="B654" i="9"/>
  <c r="A654" i="9"/>
  <c r="B653" i="9"/>
  <c r="A653" i="9"/>
  <c r="B652" i="9"/>
  <c r="A652" i="9"/>
  <c r="B651" i="9"/>
  <c r="A651" i="9"/>
  <c r="B650" i="9"/>
  <c r="A650" i="9"/>
  <c r="B649" i="9"/>
  <c r="A649" i="9"/>
  <c r="B648" i="9"/>
  <c r="A648" i="9"/>
  <c r="B647" i="9"/>
  <c r="A647" i="9"/>
  <c r="B646" i="9"/>
  <c r="A646" i="9"/>
  <c r="B645" i="9"/>
  <c r="A645" i="9"/>
  <c r="B644" i="9"/>
  <c r="A644" i="9"/>
  <c r="B643" i="9"/>
  <c r="A643" i="9"/>
  <c r="B642" i="9"/>
  <c r="A642" i="9"/>
  <c r="B641" i="9"/>
  <c r="A641" i="9"/>
  <c r="B640" i="9"/>
  <c r="A640" i="9"/>
  <c r="B639" i="9"/>
  <c r="A639" i="9"/>
  <c r="B638" i="9"/>
  <c r="A638" i="9"/>
  <c r="B637" i="9"/>
  <c r="A637" i="9"/>
  <c r="B636" i="9"/>
  <c r="A636" i="9"/>
  <c r="B635" i="9"/>
  <c r="A635" i="9"/>
  <c r="B634" i="9"/>
  <c r="A634" i="9"/>
  <c r="B633" i="9"/>
  <c r="A633" i="9"/>
  <c r="B632" i="9"/>
  <c r="A632" i="9"/>
  <c r="B631" i="9"/>
  <c r="A631" i="9"/>
  <c r="B630" i="9"/>
  <c r="A630" i="9"/>
  <c r="B629" i="9"/>
  <c r="A629" i="9"/>
  <c r="B628" i="9"/>
  <c r="A628" i="9"/>
  <c r="B627" i="9"/>
  <c r="A627" i="9"/>
  <c r="B626" i="9"/>
  <c r="A626" i="9"/>
  <c r="B625" i="9"/>
  <c r="A625" i="9"/>
  <c r="B624" i="9"/>
  <c r="A624" i="9"/>
  <c r="B623" i="9"/>
  <c r="A623" i="9"/>
  <c r="B622" i="9"/>
  <c r="A622" i="9"/>
  <c r="B621" i="9"/>
  <c r="A621" i="9"/>
  <c r="B620" i="9"/>
  <c r="A620" i="9"/>
  <c r="B619" i="9"/>
  <c r="A619" i="9"/>
  <c r="B618" i="9"/>
  <c r="A618" i="9"/>
  <c r="B617" i="9"/>
  <c r="A617" i="9"/>
  <c r="B616" i="9"/>
  <c r="A616" i="9"/>
  <c r="B615" i="9"/>
  <c r="A615" i="9"/>
  <c r="B614" i="9"/>
  <c r="A614" i="9"/>
  <c r="B613" i="9"/>
  <c r="A613" i="9"/>
  <c r="B612" i="9"/>
  <c r="A612" i="9"/>
  <c r="B611" i="9"/>
  <c r="A611" i="9"/>
  <c r="B610" i="9"/>
  <c r="A610" i="9"/>
  <c r="B609" i="9"/>
  <c r="A609" i="9"/>
  <c r="B608" i="9"/>
  <c r="A608" i="9"/>
  <c r="B607" i="9"/>
  <c r="A607" i="9"/>
  <c r="B606" i="9"/>
  <c r="A606" i="9"/>
  <c r="B605" i="9"/>
  <c r="A605" i="9"/>
  <c r="B604" i="9"/>
  <c r="A604" i="9"/>
  <c r="B603" i="9"/>
  <c r="A603" i="9"/>
  <c r="B602" i="9"/>
  <c r="A602" i="9"/>
  <c r="B601" i="9"/>
  <c r="A601" i="9"/>
  <c r="B600" i="9"/>
  <c r="A600" i="9"/>
  <c r="B599" i="9"/>
  <c r="A599" i="9"/>
  <c r="B598" i="9"/>
  <c r="A598" i="9"/>
  <c r="B597" i="9"/>
  <c r="A597" i="9"/>
  <c r="B596" i="9"/>
  <c r="A596" i="9"/>
  <c r="B595" i="9"/>
  <c r="A595" i="9"/>
  <c r="B594" i="9"/>
  <c r="A594" i="9"/>
  <c r="B593" i="9"/>
  <c r="A593" i="9"/>
  <c r="B592" i="9"/>
  <c r="A592" i="9"/>
  <c r="B591" i="9"/>
  <c r="A591" i="9"/>
  <c r="B590" i="9"/>
  <c r="A590" i="9"/>
  <c r="B589" i="9"/>
  <c r="A589" i="9"/>
  <c r="B588" i="9"/>
  <c r="A588" i="9"/>
  <c r="B587" i="9"/>
  <c r="A587" i="9"/>
  <c r="B586" i="9"/>
  <c r="A586" i="9"/>
  <c r="B585" i="9"/>
  <c r="A585" i="9"/>
  <c r="B584" i="9"/>
  <c r="A584" i="9"/>
  <c r="B583" i="9"/>
  <c r="A583" i="9"/>
  <c r="B582" i="9"/>
  <c r="A582" i="9"/>
  <c r="B581" i="9"/>
  <c r="A581" i="9"/>
  <c r="B580" i="9"/>
  <c r="A580" i="9"/>
  <c r="B579" i="9"/>
  <c r="A579" i="9"/>
  <c r="B578" i="9"/>
  <c r="A578" i="9"/>
  <c r="B577" i="9"/>
  <c r="A577" i="9"/>
  <c r="B576" i="9"/>
  <c r="A576" i="9"/>
  <c r="B575" i="9"/>
  <c r="A575" i="9"/>
  <c r="B574" i="9"/>
  <c r="A574" i="9"/>
  <c r="B573" i="9"/>
  <c r="A573" i="9"/>
  <c r="B572" i="9"/>
  <c r="A572" i="9"/>
  <c r="B571" i="9"/>
  <c r="A571" i="9"/>
  <c r="B570" i="9"/>
  <c r="A570" i="9"/>
  <c r="B569" i="9"/>
  <c r="A569" i="9"/>
  <c r="B568" i="9"/>
  <c r="A568" i="9"/>
  <c r="B567" i="9"/>
  <c r="A567" i="9"/>
  <c r="B566" i="9"/>
  <c r="A566" i="9"/>
  <c r="B565" i="9"/>
  <c r="A565" i="9"/>
  <c r="B564" i="9"/>
  <c r="A564" i="9"/>
  <c r="B563" i="9"/>
  <c r="A563" i="9"/>
  <c r="B562" i="9"/>
  <c r="A562" i="9"/>
  <c r="B561" i="9"/>
  <c r="A561" i="9"/>
  <c r="B560" i="9"/>
  <c r="A560" i="9"/>
  <c r="B559" i="9"/>
  <c r="A559" i="9"/>
  <c r="B558" i="9"/>
  <c r="A558" i="9"/>
  <c r="B557" i="9"/>
  <c r="A557" i="9"/>
  <c r="B556" i="9"/>
  <c r="A556" i="9"/>
  <c r="B555" i="9"/>
  <c r="A555" i="9"/>
  <c r="B554" i="9"/>
  <c r="A554" i="9"/>
  <c r="B553" i="9"/>
  <c r="A553" i="9"/>
  <c r="B552" i="9"/>
  <c r="A552" i="9"/>
  <c r="B551" i="9"/>
  <c r="A551" i="9"/>
  <c r="B550" i="9"/>
  <c r="A550" i="9"/>
  <c r="B549" i="9"/>
  <c r="A549" i="9"/>
  <c r="B548" i="9"/>
  <c r="A548" i="9"/>
  <c r="B547" i="9"/>
  <c r="A547" i="9"/>
  <c r="B546" i="9"/>
  <c r="A546" i="9"/>
  <c r="B545" i="9"/>
  <c r="A545" i="9"/>
  <c r="B544" i="9"/>
  <c r="A544" i="9"/>
  <c r="B543" i="9"/>
  <c r="A543" i="9"/>
  <c r="B542" i="9"/>
  <c r="A542" i="9"/>
  <c r="B541" i="9"/>
  <c r="A541" i="9"/>
  <c r="B540" i="9"/>
  <c r="A540" i="9"/>
  <c r="B539" i="9"/>
  <c r="A539" i="9"/>
  <c r="B538" i="9"/>
  <c r="A538" i="9"/>
  <c r="B537" i="9"/>
  <c r="A537" i="9"/>
  <c r="B536" i="9"/>
  <c r="A536" i="9"/>
  <c r="B535" i="9"/>
  <c r="A535" i="9"/>
  <c r="B534" i="9"/>
  <c r="A534" i="9"/>
  <c r="B533" i="9"/>
  <c r="A533" i="9"/>
  <c r="B532" i="9"/>
  <c r="A532" i="9"/>
  <c r="B531" i="9"/>
  <c r="A531" i="9"/>
  <c r="B530" i="9"/>
  <c r="A530" i="9"/>
  <c r="B529" i="9"/>
  <c r="A529" i="9"/>
  <c r="B528" i="9"/>
  <c r="A528" i="9"/>
  <c r="B527" i="9"/>
  <c r="A527" i="9"/>
  <c r="B526" i="9"/>
  <c r="A526" i="9"/>
  <c r="B525" i="9"/>
  <c r="A525" i="9"/>
  <c r="B524" i="9"/>
  <c r="A524" i="9"/>
  <c r="B523" i="9"/>
  <c r="A523" i="9"/>
  <c r="B522" i="9"/>
  <c r="A522" i="9"/>
  <c r="B521" i="9"/>
  <c r="A521" i="9"/>
  <c r="B520" i="9"/>
  <c r="A520" i="9"/>
  <c r="B519" i="9"/>
  <c r="A519" i="9"/>
  <c r="B518" i="9"/>
  <c r="A518" i="9"/>
  <c r="B517" i="9"/>
  <c r="A517" i="9"/>
  <c r="B516" i="9"/>
  <c r="A516" i="9"/>
  <c r="B515" i="9"/>
  <c r="A515" i="9"/>
  <c r="B514" i="9"/>
  <c r="A514" i="9"/>
  <c r="B513" i="9"/>
  <c r="A513" i="9"/>
  <c r="B512" i="9"/>
  <c r="A512" i="9"/>
  <c r="B511" i="9"/>
  <c r="A511" i="9"/>
  <c r="B510" i="9"/>
  <c r="A510" i="9"/>
  <c r="B509" i="9"/>
  <c r="A509" i="9"/>
  <c r="B508" i="9"/>
  <c r="A508" i="9"/>
  <c r="B507" i="9"/>
  <c r="A507" i="9"/>
  <c r="B506" i="9"/>
  <c r="A506" i="9"/>
  <c r="B505" i="9"/>
  <c r="A505" i="9"/>
  <c r="B504" i="9"/>
  <c r="A504" i="9"/>
  <c r="B503" i="9"/>
  <c r="A503" i="9"/>
  <c r="B502" i="9"/>
  <c r="A502" i="9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B422" i="9"/>
  <c r="A422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P336" i="9"/>
  <c r="P712" i="9" s="1"/>
  <c r="O336" i="9"/>
  <c r="O712" i="9" s="1"/>
  <c r="N336" i="9"/>
  <c r="N712" i="9" s="1"/>
  <c r="M336" i="9"/>
  <c r="M712" i="9" s="1"/>
  <c r="L336" i="9"/>
  <c r="L712" i="9" s="1"/>
  <c r="K336" i="9"/>
  <c r="G336" i="9"/>
  <c r="F336" i="9"/>
  <c r="E336" i="9"/>
  <c r="P335" i="9"/>
  <c r="P711" i="9" s="1"/>
  <c r="O335" i="9"/>
  <c r="O711" i="9" s="1"/>
  <c r="N335" i="9"/>
  <c r="N711" i="9" s="1"/>
  <c r="M335" i="9"/>
  <c r="M711" i="9" s="1"/>
  <c r="L335" i="9"/>
  <c r="L711" i="9" s="1"/>
  <c r="K335" i="9"/>
  <c r="G335" i="9"/>
  <c r="F335" i="9"/>
  <c r="E335" i="9"/>
  <c r="P334" i="9"/>
  <c r="P710" i="9" s="1"/>
  <c r="O334" i="9"/>
  <c r="O710" i="9" s="1"/>
  <c r="N334" i="9"/>
  <c r="N710" i="9" s="1"/>
  <c r="M334" i="9"/>
  <c r="M710" i="9" s="1"/>
  <c r="L334" i="9"/>
  <c r="L710" i="9" s="1"/>
  <c r="K334" i="9"/>
  <c r="G334" i="9"/>
  <c r="F334" i="9"/>
  <c r="E334" i="9"/>
  <c r="P333" i="9"/>
  <c r="P709" i="9" s="1"/>
  <c r="O333" i="9"/>
  <c r="O709" i="9" s="1"/>
  <c r="N333" i="9"/>
  <c r="N709" i="9" s="1"/>
  <c r="M333" i="9"/>
  <c r="M709" i="9" s="1"/>
  <c r="L333" i="9"/>
  <c r="L709" i="9" s="1"/>
  <c r="K333" i="9"/>
  <c r="G333" i="9"/>
  <c r="F333" i="9"/>
  <c r="E333" i="9"/>
  <c r="P332" i="9"/>
  <c r="P708" i="9" s="1"/>
  <c r="O332" i="9"/>
  <c r="O708" i="9" s="1"/>
  <c r="N332" i="9"/>
  <c r="N708" i="9" s="1"/>
  <c r="M332" i="9"/>
  <c r="M708" i="9" s="1"/>
  <c r="L332" i="9"/>
  <c r="L708" i="9" s="1"/>
  <c r="K332" i="9"/>
  <c r="G332" i="9"/>
  <c r="F332" i="9"/>
  <c r="E332" i="9"/>
  <c r="P331" i="9"/>
  <c r="P707" i="9" s="1"/>
  <c r="O331" i="9"/>
  <c r="O707" i="9" s="1"/>
  <c r="N331" i="9"/>
  <c r="N707" i="9" s="1"/>
  <c r="M331" i="9"/>
  <c r="M707" i="9" s="1"/>
  <c r="L331" i="9"/>
  <c r="L707" i="9" s="1"/>
  <c r="K331" i="9"/>
  <c r="G331" i="9"/>
  <c r="F331" i="9"/>
  <c r="E331" i="9"/>
  <c r="P330" i="9"/>
  <c r="P706" i="9" s="1"/>
  <c r="O330" i="9"/>
  <c r="O706" i="9" s="1"/>
  <c r="N330" i="9"/>
  <c r="N706" i="9" s="1"/>
  <c r="M330" i="9"/>
  <c r="M706" i="9" s="1"/>
  <c r="L330" i="9"/>
  <c r="L706" i="9" s="1"/>
  <c r="K330" i="9"/>
  <c r="G330" i="9"/>
  <c r="F330" i="9"/>
  <c r="E330" i="9"/>
  <c r="P329" i="9"/>
  <c r="P705" i="9" s="1"/>
  <c r="O329" i="9"/>
  <c r="O705" i="9" s="1"/>
  <c r="N329" i="9"/>
  <c r="N705" i="9" s="1"/>
  <c r="M329" i="9"/>
  <c r="M705" i="9" s="1"/>
  <c r="L329" i="9"/>
  <c r="L705" i="9" s="1"/>
  <c r="K329" i="9"/>
  <c r="G329" i="9"/>
  <c r="F329" i="9"/>
  <c r="E329" i="9"/>
  <c r="P328" i="9"/>
  <c r="P704" i="9" s="1"/>
  <c r="O328" i="9"/>
  <c r="O704" i="9" s="1"/>
  <c r="N328" i="9"/>
  <c r="N704" i="9" s="1"/>
  <c r="M328" i="9"/>
  <c r="M704" i="9" s="1"/>
  <c r="L328" i="9"/>
  <c r="L704" i="9" s="1"/>
  <c r="K328" i="9"/>
  <c r="G328" i="9"/>
  <c r="F328" i="9"/>
  <c r="E328" i="9"/>
  <c r="P327" i="9"/>
  <c r="P703" i="9" s="1"/>
  <c r="O327" i="9"/>
  <c r="O703" i="9" s="1"/>
  <c r="N327" i="9"/>
  <c r="N703" i="9" s="1"/>
  <c r="M327" i="9"/>
  <c r="M703" i="9" s="1"/>
  <c r="L327" i="9"/>
  <c r="L703" i="9" s="1"/>
  <c r="K327" i="9"/>
  <c r="G327" i="9"/>
  <c r="F327" i="9"/>
  <c r="E327" i="9"/>
  <c r="P326" i="9"/>
  <c r="P702" i="9" s="1"/>
  <c r="O326" i="9"/>
  <c r="O702" i="9" s="1"/>
  <c r="N326" i="9"/>
  <c r="N702" i="9" s="1"/>
  <c r="M326" i="9"/>
  <c r="M702" i="9" s="1"/>
  <c r="L326" i="9"/>
  <c r="L702" i="9" s="1"/>
  <c r="K326" i="9"/>
  <c r="G326" i="9"/>
  <c r="F326" i="9"/>
  <c r="E326" i="9"/>
  <c r="P325" i="9"/>
  <c r="P701" i="9" s="1"/>
  <c r="O325" i="9"/>
  <c r="O701" i="9" s="1"/>
  <c r="N325" i="9"/>
  <c r="N701" i="9" s="1"/>
  <c r="M325" i="9"/>
  <c r="M701" i="9" s="1"/>
  <c r="L325" i="9"/>
  <c r="L701" i="9" s="1"/>
  <c r="K325" i="9"/>
  <c r="G325" i="9"/>
  <c r="F325" i="9"/>
  <c r="E325" i="9"/>
  <c r="P324" i="9"/>
  <c r="P700" i="9" s="1"/>
  <c r="O324" i="9"/>
  <c r="O700" i="9" s="1"/>
  <c r="N324" i="9"/>
  <c r="N700" i="9" s="1"/>
  <c r="M324" i="9"/>
  <c r="M700" i="9" s="1"/>
  <c r="L324" i="9"/>
  <c r="L700" i="9" s="1"/>
  <c r="K324" i="9"/>
  <c r="G324" i="9"/>
  <c r="F324" i="9"/>
  <c r="E324" i="9"/>
  <c r="P323" i="9"/>
  <c r="P699" i="9" s="1"/>
  <c r="O323" i="9"/>
  <c r="O699" i="9" s="1"/>
  <c r="N323" i="9"/>
  <c r="N699" i="9" s="1"/>
  <c r="M323" i="9"/>
  <c r="M699" i="9" s="1"/>
  <c r="L323" i="9"/>
  <c r="L699" i="9" s="1"/>
  <c r="K323" i="9"/>
  <c r="G323" i="9"/>
  <c r="F323" i="9"/>
  <c r="E323" i="9"/>
  <c r="P322" i="9"/>
  <c r="P698" i="9" s="1"/>
  <c r="O322" i="9"/>
  <c r="O698" i="9" s="1"/>
  <c r="N322" i="9"/>
  <c r="N698" i="9" s="1"/>
  <c r="M322" i="9"/>
  <c r="M698" i="9" s="1"/>
  <c r="L322" i="9"/>
  <c r="L698" i="9" s="1"/>
  <c r="K322" i="9"/>
  <c r="G322" i="9"/>
  <c r="F322" i="9"/>
  <c r="E322" i="9"/>
  <c r="P321" i="9"/>
  <c r="P697" i="9" s="1"/>
  <c r="O321" i="9"/>
  <c r="O697" i="9" s="1"/>
  <c r="N321" i="9"/>
  <c r="N697" i="9" s="1"/>
  <c r="M321" i="9"/>
  <c r="M697" i="9" s="1"/>
  <c r="L321" i="9"/>
  <c r="L697" i="9" s="1"/>
  <c r="K321" i="9"/>
  <c r="G321" i="9"/>
  <c r="F321" i="9"/>
  <c r="E321" i="9"/>
  <c r="P320" i="9"/>
  <c r="P696" i="9" s="1"/>
  <c r="O320" i="9"/>
  <c r="O696" i="9" s="1"/>
  <c r="N320" i="9"/>
  <c r="N696" i="9" s="1"/>
  <c r="M320" i="9"/>
  <c r="M696" i="9" s="1"/>
  <c r="L320" i="9"/>
  <c r="L696" i="9" s="1"/>
  <c r="K320" i="9"/>
  <c r="G320" i="9"/>
  <c r="F320" i="9"/>
  <c r="E320" i="9"/>
  <c r="P319" i="9"/>
  <c r="P695" i="9" s="1"/>
  <c r="O319" i="9"/>
  <c r="O695" i="9" s="1"/>
  <c r="N319" i="9"/>
  <c r="N695" i="9" s="1"/>
  <c r="M319" i="9"/>
  <c r="M695" i="9" s="1"/>
  <c r="L319" i="9"/>
  <c r="L695" i="9" s="1"/>
  <c r="K319" i="9"/>
  <c r="G319" i="9"/>
  <c r="F319" i="9"/>
  <c r="E319" i="9"/>
  <c r="P318" i="9"/>
  <c r="P694" i="9" s="1"/>
  <c r="O318" i="9"/>
  <c r="O694" i="9" s="1"/>
  <c r="N318" i="9"/>
  <c r="N694" i="9" s="1"/>
  <c r="M318" i="9"/>
  <c r="M694" i="9" s="1"/>
  <c r="L318" i="9"/>
  <c r="L694" i="9" s="1"/>
  <c r="K318" i="9"/>
  <c r="G318" i="9"/>
  <c r="F318" i="9"/>
  <c r="E318" i="9"/>
  <c r="P317" i="9"/>
  <c r="P693" i="9" s="1"/>
  <c r="O317" i="9"/>
  <c r="O693" i="9" s="1"/>
  <c r="N317" i="9"/>
  <c r="N693" i="9" s="1"/>
  <c r="M317" i="9"/>
  <c r="M693" i="9" s="1"/>
  <c r="L317" i="9"/>
  <c r="L693" i="9" s="1"/>
  <c r="K317" i="9"/>
  <c r="G317" i="9"/>
  <c r="F317" i="9"/>
  <c r="E317" i="9"/>
  <c r="P316" i="9"/>
  <c r="P692" i="9" s="1"/>
  <c r="O316" i="9"/>
  <c r="O692" i="9" s="1"/>
  <c r="N316" i="9"/>
  <c r="N692" i="9" s="1"/>
  <c r="M316" i="9"/>
  <c r="M692" i="9" s="1"/>
  <c r="L316" i="9"/>
  <c r="L692" i="9" s="1"/>
  <c r="K316" i="9"/>
  <c r="G316" i="9"/>
  <c r="F316" i="9"/>
  <c r="E316" i="9"/>
  <c r="P315" i="9"/>
  <c r="P691" i="9" s="1"/>
  <c r="O315" i="9"/>
  <c r="O691" i="9" s="1"/>
  <c r="N315" i="9"/>
  <c r="N691" i="9" s="1"/>
  <c r="M315" i="9"/>
  <c r="M691" i="9" s="1"/>
  <c r="L315" i="9"/>
  <c r="L691" i="9" s="1"/>
  <c r="K315" i="9"/>
  <c r="G315" i="9"/>
  <c r="F315" i="9"/>
  <c r="E315" i="9"/>
  <c r="P314" i="9"/>
  <c r="P690" i="9" s="1"/>
  <c r="O314" i="9"/>
  <c r="O690" i="9" s="1"/>
  <c r="N314" i="9"/>
  <c r="N690" i="9" s="1"/>
  <c r="M314" i="9"/>
  <c r="M690" i="9" s="1"/>
  <c r="L314" i="9"/>
  <c r="L690" i="9" s="1"/>
  <c r="K314" i="9"/>
  <c r="G314" i="9"/>
  <c r="F314" i="9"/>
  <c r="E314" i="9"/>
  <c r="P313" i="9"/>
  <c r="P689" i="9" s="1"/>
  <c r="O313" i="9"/>
  <c r="O689" i="9" s="1"/>
  <c r="N313" i="9"/>
  <c r="N689" i="9" s="1"/>
  <c r="M313" i="9"/>
  <c r="M689" i="9" s="1"/>
  <c r="L313" i="9"/>
  <c r="L689" i="9" s="1"/>
  <c r="K313" i="9"/>
  <c r="G313" i="9"/>
  <c r="F313" i="9"/>
  <c r="E313" i="9"/>
  <c r="P312" i="9"/>
  <c r="P688" i="9" s="1"/>
  <c r="O312" i="9"/>
  <c r="O688" i="9" s="1"/>
  <c r="N312" i="9"/>
  <c r="N688" i="9" s="1"/>
  <c r="M312" i="9"/>
  <c r="M688" i="9" s="1"/>
  <c r="L312" i="9"/>
  <c r="L688" i="9" s="1"/>
  <c r="K312" i="9"/>
  <c r="G312" i="9"/>
  <c r="F312" i="9"/>
  <c r="E312" i="9"/>
  <c r="P311" i="9"/>
  <c r="P687" i="9" s="1"/>
  <c r="O311" i="9"/>
  <c r="O687" i="9" s="1"/>
  <c r="N311" i="9"/>
  <c r="N687" i="9" s="1"/>
  <c r="M311" i="9"/>
  <c r="M687" i="9" s="1"/>
  <c r="L311" i="9"/>
  <c r="L687" i="9" s="1"/>
  <c r="K311" i="9"/>
  <c r="G311" i="9"/>
  <c r="F311" i="9"/>
  <c r="E311" i="9"/>
  <c r="P310" i="9"/>
  <c r="P686" i="9" s="1"/>
  <c r="O310" i="9"/>
  <c r="O686" i="9" s="1"/>
  <c r="N310" i="9"/>
  <c r="N686" i="9" s="1"/>
  <c r="M310" i="9"/>
  <c r="M686" i="9" s="1"/>
  <c r="L310" i="9"/>
  <c r="L686" i="9" s="1"/>
  <c r="K310" i="9"/>
  <c r="G310" i="9"/>
  <c r="F310" i="9"/>
  <c r="E310" i="9"/>
  <c r="P309" i="9"/>
  <c r="P685" i="9" s="1"/>
  <c r="O309" i="9"/>
  <c r="O685" i="9" s="1"/>
  <c r="N309" i="9"/>
  <c r="N685" i="9" s="1"/>
  <c r="M309" i="9"/>
  <c r="M685" i="9" s="1"/>
  <c r="L309" i="9"/>
  <c r="L685" i="9" s="1"/>
  <c r="K309" i="9"/>
  <c r="G309" i="9"/>
  <c r="F309" i="9"/>
  <c r="E309" i="9"/>
  <c r="P308" i="9"/>
  <c r="P684" i="9" s="1"/>
  <c r="O308" i="9"/>
  <c r="O684" i="9" s="1"/>
  <c r="N308" i="9"/>
  <c r="N684" i="9" s="1"/>
  <c r="M308" i="9"/>
  <c r="M684" i="9" s="1"/>
  <c r="L308" i="9"/>
  <c r="L684" i="9" s="1"/>
  <c r="K308" i="9"/>
  <c r="G308" i="9"/>
  <c r="F308" i="9"/>
  <c r="E308" i="9"/>
  <c r="P307" i="9"/>
  <c r="P683" i="9" s="1"/>
  <c r="O307" i="9"/>
  <c r="O683" i="9" s="1"/>
  <c r="N307" i="9"/>
  <c r="N683" i="9" s="1"/>
  <c r="M307" i="9"/>
  <c r="M683" i="9" s="1"/>
  <c r="L307" i="9"/>
  <c r="L683" i="9" s="1"/>
  <c r="K307" i="9"/>
  <c r="G307" i="9"/>
  <c r="F307" i="9"/>
  <c r="E307" i="9"/>
  <c r="P306" i="9"/>
  <c r="P682" i="9" s="1"/>
  <c r="O306" i="9"/>
  <c r="O682" i="9" s="1"/>
  <c r="N306" i="9"/>
  <c r="N682" i="9" s="1"/>
  <c r="M306" i="9"/>
  <c r="M682" i="9" s="1"/>
  <c r="L306" i="9"/>
  <c r="L682" i="9" s="1"/>
  <c r="K306" i="9"/>
  <c r="G306" i="9"/>
  <c r="F306" i="9"/>
  <c r="E306" i="9"/>
  <c r="P305" i="9"/>
  <c r="P681" i="9" s="1"/>
  <c r="O305" i="9"/>
  <c r="O681" i="9" s="1"/>
  <c r="N305" i="9"/>
  <c r="N681" i="9" s="1"/>
  <c r="M305" i="9"/>
  <c r="M681" i="9" s="1"/>
  <c r="L305" i="9"/>
  <c r="L681" i="9" s="1"/>
  <c r="K305" i="9"/>
  <c r="G305" i="9"/>
  <c r="F305" i="9"/>
  <c r="E305" i="9"/>
  <c r="P304" i="9"/>
  <c r="P680" i="9" s="1"/>
  <c r="O304" i="9"/>
  <c r="O680" i="9" s="1"/>
  <c r="N304" i="9"/>
  <c r="N680" i="9" s="1"/>
  <c r="M304" i="9"/>
  <c r="M680" i="9" s="1"/>
  <c r="L304" i="9"/>
  <c r="L680" i="9" s="1"/>
  <c r="K304" i="9"/>
  <c r="G304" i="9"/>
  <c r="F304" i="9"/>
  <c r="E304" i="9"/>
  <c r="P303" i="9"/>
  <c r="P679" i="9" s="1"/>
  <c r="O303" i="9"/>
  <c r="O679" i="9" s="1"/>
  <c r="N303" i="9"/>
  <c r="N679" i="9" s="1"/>
  <c r="M303" i="9"/>
  <c r="M679" i="9" s="1"/>
  <c r="L303" i="9"/>
  <c r="L679" i="9" s="1"/>
  <c r="K303" i="9"/>
  <c r="G303" i="9"/>
  <c r="F303" i="9"/>
  <c r="E303" i="9"/>
  <c r="P302" i="9"/>
  <c r="P678" i="9" s="1"/>
  <c r="O302" i="9"/>
  <c r="O678" i="9" s="1"/>
  <c r="N302" i="9"/>
  <c r="N678" i="9" s="1"/>
  <c r="M302" i="9"/>
  <c r="M678" i="9" s="1"/>
  <c r="L302" i="9"/>
  <c r="L678" i="9" s="1"/>
  <c r="K302" i="9"/>
  <c r="G302" i="9"/>
  <c r="F302" i="9"/>
  <c r="E302" i="9"/>
  <c r="P301" i="9"/>
  <c r="P677" i="9" s="1"/>
  <c r="O301" i="9"/>
  <c r="O677" i="9" s="1"/>
  <c r="N301" i="9"/>
  <c r="N677" i="9" s="1"/>
  <c r="M301" i="9"/>
  <c r="M677" i="9" s="1"/>
  <c r="L301" i="9"/>
  <c r="L677" i="9" s="1"/>
  <c r="K301" i="9"/>
  <c r="G301" i="9"/>
  <c r="F301" i="9"/>
  <c r="E301" i="9"/>
  <c r="P300" i="9"/>
  <c r="P676" i="9" s="1"/>
  <c r="O300" i="9"/>
  <c r="O676" i="9" s="1"/>
  <c r="N300" i="9"/>
  <c r="N676" i="9" s="1"/>
  <c r="M300" i="9"/>
  <c r="M676" i="9" s="1"/>
  <c r="L300" i="9"/>
  <c r="L676" i="9" s="1"/>
  <c r="K300" i="9"/>
  <c r="G300" i="9"/>
  <c r="F300" i="9"/>
  <c r="E300" i="9"/>
  <c r="P299" i="9"/>
  <c r="P675" i="9" s="1"/>
  <c r="O299" i="9"/>
  <c r="O675" i="9" s="1"/>
  <c r="N299" i="9"/>
  <c r="N675" i="9" s="1"/>
  <c r="M299" i="9"/>
  <c r="M675" i="9" s="1"/>
  <c r="L299" i="9"/>
  <c r="L675" i="9" s="1"/>
  <c r="K299" i="9"/>
  <c r="G299" i="9"/>
  <c r="F299" i="9"/>
  <c r="E299" i="9"/>
  <c r="P298" i="9"/>
  <c r="P674" i="9" s="1"/>
  <c r="O298" i="9"/>
  <c r="O674" i="9" s="1"/>
  <c r="N298" i="9"/>
  <c r="N674" i="9" s="1"/>
  <c r="M298" i="9"/>
  <c r="M674" i="9" s="1"/>
  <c r="L298" i="9"/>
  <c r="L674" i="9" s="1"/>
  <c r="K298" i="9"/>
  <c r="G298" i="9"/>
  <c r="F298" i="9"/>
  <c r="E298" i="9"/>
  <c r="P297" i="9"/>
  <c r="P673" i="9" s="1"/>
  <c r="O297" i="9"/>
  <c r="O673" i="9" s="1"/>
  <c r="N297" i="9"/>
  <c r="N673" i="9" s="1"/>
  <c r="M297" i="9"/>
  <c r="M673" i="9" s="1"/>
  <c r="L297" i="9"/>
  <c r="L673" i="9" s="1"/>
  <c r="K297" i="9"/>
  <c r="G297" i="9"/>
  <c r="F297" i="9"/>
  <c r="E297" i="9"/>
  <c r="P296" i="9"/>
  <c r="P672" i="9" s="1"/>
  <c r="O296" i="9"/>
  <c r="O672" i="9" s="1"/>
  <c r="N296" i="9"/>
  <c r="N672" i="9" s="1"/>
  <c r="M296" i="9"/>
  <c r="M672" i="9" s="1"/>
  <c r="L296" i="9"/>
  <c r="L672" i="9" s="1"/>
  <c r="K296" i="9"/>
  <c r="G296" i="9"/>
  <c r="F296" i="9"/>
  <c r="E296" i="9"/>
  <c r="P295" i="9"/>
  <c r="P671" i="9" s="1"/>
  <c r="O295" i="9"/>
  <c r="O671" i="9" s="1"/>
  <c r="N295" i="9"/>
  <c r="N671" i="9" s="1"/>
  <c r="M295" i="9"/>
  <c r="M671" i="9" s="1"/>
  <c r="L295" i="9"/>
  <c r="L671" i="9" s="1"/>
  <c r="K295" i="9"/>
  <c r="G295" i="9"/>
  <c r="F295" i="9"/>
  <c r="E295" i="9"/>
  <c r="P294" i="9"/>
  <c r="P670" i="9" s="1"/>
  <c r="O294" i="9"/>
  <c r="O670" i="9" s="1"/>
  <c r="N294" i="9"/>
  <c r="N670" i="9" s="1"/>
  <c r="M294" i="9"/>
  <c r="M670" i="9" s="1"/>
  <c r="L294" i="9"/>
  <c r="L670" i="9" s="1"/>
  <c r="K294" i="9"/>
  <c r="G294" i="9"/>
  <c r="F294" i="9"/>
  <c r="E294" i="9"/>
  <c r="P293" i="9"/>
  <c r="P669" i="9" s="1"/>
  <c r="O293" i="9"/>
  <c r="O669" i="9" s="1"/>
  <c r="N293" i="9"/>
  <c r="N669" i="9" s="1"/>
  <c r="M293" i="9"/>
  <c r="M669" i="9" s="1"/>
  <c r="L293" i="9"/>
  <c r="L669" i="9" s="1"/>
  <c r="K293" i="9"/>
  <c r="G293" i="9"/>
  <c r="F293" i="9"/>
  <c r="E293" i="9"/>
  <c r="P292" i="9"/>
  <c r="P668" i="9" s="1"/>
  <c r="O292" i="9"/>
  <c r="O668" i="9" s="1"/>
  <c r="N292" i="9"/>
  <c r="N668" i="9" s="1"/>
  <c r="M292" i="9"/>
  <c r="M668" i="9" s="1"/>
  <c r="L292" i="9"/>
  <c r="L668" i="9" s="1"/>
  <c r="K292" i="9"/>
  <c r="G292" i="9"/>
  <c r="F292" i="9"/>
  <c r="E292" i="9"/>
  <c r="P291" i="9"/>
  <c r="P667" i="9" s="1"/>
  <c r="O291" i="9"/>
  <c r="O667" i="9" s="1"/>
  <c r="N291" i="9"/>
  <c r="N667" i="9" s="1"/>
  <c r="M291" i="9"/>
  <c r="M667" i="9" s="1"/>
  <c r="L291" i="9"/>
  <c r="L667" i="9" s="1"/>
  <c r="K291" i="9"/>
  <c r="G291" i="9"/>
  <c r="F291" i="9"/>
  <c r="E291" i="9"/>
  <c r="P290" i="9"/>
  <c r="P666" i="9" s="1"/>
  <c r="O290" i="9"/>
  <c r="O666" i="9" s="1"/>
  <c r="N290" i="9"/>
  <c r="N666" i="9" s="1"/>
  <c r="M290" i="9"/>
  <c r="M666" i="9" s="1"/>
  <c r="L290" i="9"/>
  <c r="L666" i="9" s="1"/>
  <c r="K290" i="9"/>
  <c r="G290" i="9"/>
  <c r="F290" i="9"/>
  <c r="E290" i="9"/>
  <c r="P289" i="9"/>
  <c r="P665" i="9" s="1"/>
  <c r="O289" i="9"/>
  <c r="O665" i="9" s="1"/>
  <c r="N289" i="9"/>
  <c r="N665" i="9" s="1"/>
  <c r="M289" i="9"/>
  <c r="M665" i="9" s="1"/>
  <c r="L289" i="9"/>
  <c r="L665" i="9" s="1"/>
  <c r="K289" i="9"/>
  <c r="G289" i="9"/>
  <c r="F289" i="9"/>
  <c r="E289" i="9"/>
  <c r="P288" i="9"/>
  <c r="P664" i="9" s="1"/>
  <c r="O288" i="9"/>
  <c r="O664" i="9" s="1"/>
  <c r="N288" i="9"/>
  <c r="N664" i="9" s="1"/>
  <c r="M288" i="9"/>
  <c r="M664" i="9" s="1"/>
  <c r="L288" i="9"/>
  <c r="L664" i="9" s="1"/>
  <c r="K288" i="9"/>
  <c r="G288" i="9"/>
  <c r="F288" i="9"/>
  <c r="E288" i="9"/>
  <c r="P287" i="9"/>
  <c r="P663" i="9" s="1"/>
  <c r="O287" i="9"/>
  <c r="O663" i="9" s="1"/>
  <c r="N287" i="9"/>
  <c r="N663" i="9" s="1"/>
  <c r="M287" i="9"/>
  <c r="M663" i="9" s="1"/>
  <c r="L287" i="9"/>
  <c r="L663" i="9" s="1"/>
  <c r="K287" i="9"/>
  <c r="G287" i="9"/>
  <c r="F287" i="9"/>
  <c r="E287" i="9"/>
  <c r="P286" i="9"/>
  <c r="P662" i="9" s="1"/>
  <c r="O286" i="9"/>
  <c r="O662" i="9" s="1"/>
  <c r="N286" i="9"/>
  <c r="N662" i="9" s="1"/>
  <c r="M286" i="9"/>
  <c r="M662" i="9" s="1"/>
  <c r="L286" i="9"/>
  <c r="L662" i="9" s="1"/>
  <c r="K286" i="9"/>
  <c r="G286" i="9"/>
  <c r="F286" i="9"/>
  <c r="E286" i="9"/>
  <c r="P285" i="9"/>
  <c r="P661" i="9" s="1"/>
  <c r="O285" i="9"/>
  <c r="O661" i="9" s="1"/>
  <c r="N285" i="9"/>
  <c r="N661" i="9" s="1"/>
  <c r="M285" i="9"/>
  <c r="M661" i="9" s="1"/>
  <c r="L285" i="9"/>
  <c r="L661" i="9" s="1"/>
  <c r="K285" i="9"/>
  <c r="G285" i="9"/>
  <c r="F285" i="9"/>
  <c r="E285" i="9"/>
  <c r="P284" i="9"/>
  <c r="P660" i="9" s="1"/>
  <c r="O284" i="9"/>
  <c r="O660" i="9" s="1"/>
  <c r="N284" i="9"/>
  <c r="N660" i="9" s="1"/>
  <c r="M284" i="9"/>
  <c r="M660" i="9" s="1"/>
  <c r="L284" i="9"/>
  <c r="L660" i="9" s="1"/>
  <c r="K284" i="9"/>
  <c r="G284" i="9"/>
  <c r="F284" i="9"/>
  <c r="E284" i="9"/>
  <c r="P283" i="9"/>
  <c r="P659" i="9" s="1"/>
  <c r="O283" i="9"/>
  <c r="O659" i="9" s="1"/>
  <c r="N283" i="9"/>
  <c r="N659" i="9" s="1"/>
  <c r="M283" i="9"/>
  <c r="M659" i="9" s="1"/>
  <c r="L283" i="9"/>
  <c r="L659" i="9" s="1"/>
  <c r="K283" i="9"/>
  <c r="G283" i="9"/>
  <c r="F283" i="9"/>
  <c r="E283" i="9"/>
  <c r="P282" i="9"/>
  <c r="P658" i="9" s="1"/>
  <c r="O282" i="9"/>
  <c r="O658" i="9" s="1"/>
  <c r="N282" i="9"/>
  <c r="N658" i="9" s="1"/>
  <c r="M282" i="9"/>
  <c r="M658" i="9" s="1"/>
  <c r="L282" i="9"/>
  <c r="L658" i="9" s="1"/>
  <c r="K282" i="9"/>
  <c r="G282" i="9"/>
  <c r="F282" i="9"/>
  <c r="E282" i="9"/>
  <c r="P281" i="9"/>
  <c r="P657" i="9" s="1"/>
  <c r="O281" i="9"/>
  <c r="O657" i="9" s="1"/>
  <c r="N281" i="9"/>
  <c r="N657" i="9" s="1"/>
  <c r="M281" i="9"/>
  <c r="M657" i="9" s="1"/>
  <c r="L281" i="9"/>
  <c r="L657" i="9" s="1"/>
  <c r="K281" i="9"/>
  <c r="G281" i="9"/>
  <c r="F281" i="9"/>
  <c r="E281" i="9"/>
  <c r="P280" i="9"/>
  <c r="P656" i="9" s="1"/>
  <c r="O280" i="9"/>
  <c r="O656" i="9" s="1"/>
  <c r="N280" i="9"/>
  <c r="N656" i="9" s="1"/>
  <c r="M280" i="9"/>
  <c r="M656" i="9" s="1"/>
  <c r="L280" i="9"/>
  <c r="L656" i="9" s="1"/>
  <c r="K280" i="9"/>
  <c r="G280" i="9"/>
  <c r="F280" i="9"/>
  <c r="E280" i="9"/>
  <c r="P279" i="9"/>
  <c r="P655" i="9" s="1"/>
  <c r="O279" i="9"/>
  <c r="O655" i="9" s="1"/>
  <c r="N279" i="9"/>
  <c r="N655" i="9" s="1"/>
  <c r="M279" i="9"/>
  <c r="M655" i="9" s="1"/>
  <c r="L279" i="9"/>
  <c r="L655" i="9" s="1"/>
  <c r="K279" i="9"/>
  <c r="G279" i="9"/>
  <c r="F279" i="9"/>
  <c r="E279" i="9"/>
  <c r="P278" i="9"/>
  <c r="P654" i="9" s="1"/>
  <c r="O278" i="9"/>
  <c r="O654" i="9" s="1"/>
  <c r="N278" i="9"/>
  <c r="N654" i="9" s="1"/>
  <c r="M278" i="9"/>
  <c r="M654" i="9" s="1"/>
  <c r="L278" i="9"/>
  <c r="L654" i="9" s="1"/>
  <c r="K278" i="9"/>
  <c r="G278" i="9"/>
  <c r="F278" i="9"/>
  <c r="E278" i="9"/>
  <c r="P277" i="9"/>
  <c r="P653" i="9" s="1"/>
  <c r="O277" i="9"/>
  <c r="O653" i="9" s="1"/>
  <c r="N277" i="9"/>
  <c r="N653" i="9" s="1"/>
  <c r="M277" i="9"/>
  <c r="M653" i="9" s="1"/>
  <c r="L277" i="9"/>
  <c r="L653" i="9" s="1"/>
  <c r="K277" i="9"/>
  <c r="G277" i="9"/>
  <c r="F277" i="9"/>
  <c r="E277" i="9"/>
  <c r="P276" i="9"/>
  <c r="P652" i="9" s="1"/>
  <c r="O276" i="9"/>
  <c r="O652" i="9" s="1"/>
  <c r="N276" i="9"/>
  <c r="N652" i="9" s="1"/>
  <c r="M276" i="9"/>
  <c r="M652" i="9" s="1"/>
  <c r="L276" i="9"/>
  <c r="L652" i="9" s="1"/>
  <c r="K276" i="9"/>
  <c r="G276" i="9"/>
  <c r="F276" i="9"/>
  <c r="E276" i="9"/>
  <c r="P275" i="9"/>
  <c r="P651" i="9" s="1"/>
  <c r="O275" i="9"/>
  <c r="O651" i="9" s="1"/>
  <c r="N275" i="9"/>
  <c r="N651" i="9" s="1"/>
  <c r="M275" i="9"/>
  <c r="M651" i="9" s="1"/>
  <c r="L275" i="9"/>
  <c r="L651" i="9" s="1"/>
  <c r="K275" i="9"/>
  <c r="G275" i="9"/>
  <c r="F275" i="9"/>
  <c r="E275" i="9"/>
  <c r="P274" i="9"/>
  <c r="P650" i="9" s="1"/>
  <c r="O274" i="9"/>
  <c r="O650" i="9" s="1"/>
  <c r="N274" i="9"/>
  <c r="N650" i="9" s="1"/>
  <c r="M274" i="9"/>
  <c r="M650" i="9" s="1"/>
  <c r="L274" i="9"/>
  <c r="L650" i="9" s="1"/>
  <c r="K274" i="9"/>
  <c r="G274" i="9"/>
  <c r="F274" i="9"/>
  <c r="E274" i="9"/>
  <c r="P273" i="9"/>
  <c r="P649" i="9" s="1"/>
  <c r="O273" i="9"/>
  <c r="O649" i="9" s="1"/>
  <c r="N273" i="9"/>
  <c r="N649" i="9" s="1"/>
  <c r="M273" i="9"/>
  <c r="M649" i="9" s="1"/>
  <c r="L273" i="9"/>
  <c r="L649" i="9" s="1"/>
  <c r="K273" i="9"/>
  <c r="G273" i="9"/>
  <c r="F273" i="9"/>
  <c r="E273" i="9"/>
  <c r="P272" i="9"/>
  <c r="P648" i="9" s="1"/>
  <c r="O272" i="9"/>
  <c r="O648" i="9" s="1"/>
  <c r="N272" i="9"/>
  <c r="N648" i="9" s="1"/>
  <c r="M272" i="9"/>
  <c r="M648" i="9" s="1"/>
  <c r="L272" i="9"/>
  <c r="L648" i="9" s="1"/>
  <c r="K272" i="9"/>
  <c r="G272" i="9"/>
  <c r="F272" i="9"/>
  <c r="E272" i="9"/>
  <c r="P271" i="9"/>
  <c r="P647" i="9" s="1"/>
  <c r="O271" i="9"/>
  <c r="O647" i="9" s="1"/>
  <c r="N271" i="9"/>
  <c r="N647" i="9" s="1"/>
  <c r="M271" i="9"/>
  <c r="M647" i="9" s="1"/>
  <c r="L271" i="9"/>
  <c r="L647" i="9" s="1"/>
  <c r="K271" i="9"/>
  <c r="G271" i="9"/>
  <c r="F271" i="9"/>
  <c r="E271" i="9"/>
  <c r="P270" i="9"/>
  <c r="P646" i="9" s="1"/>
  <c r="O270" i="9"/>
  <c r="O646" i="9" s="1"/>
  <c r="N270" i="9"/>
  <c r="N646" i="9" s="1"/>
  <c r="M270" i="9"/>
  <c r="M646" i="9" s="1"/>
  <c r="L270" i="9"/>
  <c r="L646" i="9" s="1"/>
  <c r="K270" i="9"/>
  <c r="G270" i="9"/>
  <c r="F270" i="9"/>
  <c r="E270" i="9"/>
  <c r="P269" i="9"/>
  <c r="P645" i="9" s="1"/>
  <c r="O269" i="9"/>
  <c r="O645" i="9" s="1"/>
  <c r="N269" i="9"/>
  <c r="N645" i="9" s="1"/>
  <c r="M269" i="9"/>
  <c r="M645" i="9" s="1"/>
  <c r="L269" i="9"/>
  <c r="L645" i="9" s="1"/>
  <c r="K269" i="9"/>
  <c r="G269" i="9"/>
  <c r="F269" i="9"/>
  <c r="E269" i="9"/>
  <c r="P268" i="9"/>
  <c r="P644" i="9" s="1"/>
  <c r="O268" i="9"/>
  <c r="O644" i="9" s="1"/>
  <c r="N268" i="9"/>
  <c r="N644" i="9" s="1"/>
  <c r="M268" i="9"/>
  <c r="M644" i="9" s="1"/>
  <c r="L268" i="9"/>
  <c r="L644" i="9" s="1"/>
  <c r="K268" i="9"/>
  <c r="G268" i="9"/>
  <c r="F268" i="9"/>
  <c r="E268" i="9"/>
  <c r="P267" i="9"/>
  <c r="P643" i="9" s="1"/>
  <c r="O267" i="9"/>
  <c r="O643" i="9" s="1"/>
  <c r="N267" i="9"/>
  <c r="N643" i="9" s="1"/>
  <c r="M267" i="9"/>
  <c r="M643" i="9" s="1"/>
  <c r="L267" i="9"/>
  <c r="L643" i="9" s="1"/>
  <c r="K267" i="9"/>
  <c r="G267" i="9"/>
  <c r="F267" i="9"/>
  <c r="E267" i="9"/>
  <c r="P266" i="9"/>
  <c r="P642" i="9" s="1"/>
  <c r="O266" i="9"/>
  <c r="O642" i="9" s="1"/>
  <c r="N266" i="9"/>
  <c r="N642" i="9" s="1"/>
  <c r="M266" i="9"/>
  <c r="M642" i="9" s="1"/>
  <c r="L266" i="9"/>
  <c r="L642" i="9" s="1"/>
  <c r="K266" i="9"/>
  <c r="G266" i="9"/>
  <c r="F266" i="9"/>
  <c r="E266" i="9"/>
  <c r="P265" i="9"/>
  <c r="P641" i="9" s="1"/>
  <c r="O265" i="9"/>
  <c r="O641" i="9" s="1"/>
  <c r="N265" i="9"/>
  <c r="N641" i="9" s="1"/>
  <c r="M265" i="9"/>
  <c r="M641" i="9" s="1"/>
  <c r="L265" i="9"/>
  <c r="L641" i="9" s="1"/>
  <c r="K265" i="9"/>
  <c r="G265" i="9"/>
  <c r="F265" i="9"/>
  <c r="E265" i="9"/>
  <c r="P264" i="9"/>
  <c r="P640" i="9" s="1"/>
  <c r="O264" i="9"/>
  <c r="O640" i="9" s="1"/>
  <c r="N264" i="9"/>
  <c r="N640" i="9" s="1"/>
  <c r="M264" i="9"/>
  <c r="M640" i="9" s="1"/>
  <c r="L264" i="9"/>
  <c r="L640" i="9" s="1"/>
  <c r="K264" i="9"/>
  <c r="G264" i="9"/>
  <c r="F264" i="9"/>
  <c r="E264" i="9"/>
  <c r="P263" i="9"/>
  <c r="P639" i="9" s="1"/>
  <c r="O263" i="9"/>
  <c r="O639" i="9" s="1"/>
  <c r="N263" i="9"/>
  <c r="N639" i="9" s="1"/>
  <c r="M263" i="9"/>
  <c r="M639" i="9" s="1"/>
  <c r="L263" i="9"/>
  <c r="L639" i="9" s="1"/>
  <c r="K263" i="9"/>
  <c r="G263" i="9"/>
  <c r="F263" i="9"/>
  <c r="E263" i="9"/>
  <c r="P262" i="9"/>
  <c r="P638" i="9" s="1"/>
  <c r="O262" i="9"/>
  <c r="O638" i="9" s="1"/>
  <c r="N262" i="9"/>
  <c r="N638" i="9" s="1"/>
  <c r="M262" i="9"/>
  <c r="M638" i="9" s="1"/>
  <c r="L262" i="9"/>
  <c r="L638" i="9" s="1"/>
  <c r="K262" i="9"/>
  <c r="G262" i="9"/>
  <c r="F262" i="9"/>
  <c r="E262" i="9"/>
  <c r="P261" i="9"/>
  <c r="P637" i="9" s="1"/>
  <c r="O261" i="9"/>
  <c r="O637" i="9" s="1"/>
  <c r="N261" i="9"/>
  <c r="N637" i="9" s="1"/>
  <c r="M261" i="9"/>
  <c r="M637" i="9" s="1"/>
  <c r="L261" i="9"/>
  <c r="L637" i="9" s="1"/>
  <c r="K261" i="9"/>
  <c r="G261" i="9"/>
  <c r="F261" i="9"/>
  <c r="E261" i="9"/>
  <c r="P260" i="9"/>
  <c r="P636" i="9" s="1"/>
  <c r="O260" i="9"/>
  <c r="O636" i="9" s="1"/>
  <c r="N260" i="9"/>
  <c r="N636" i="9" s="1"/>
  <c r="M260" i="9"/>
  <c r="M636" i="9" s="1"/>
  <c r="L260" i="9"/>
  <c r="L636" i="9" s="1"/>
  <c r="K260" i="9"/>
  <c r="G260" i="9"/>
  <c r="F260" i="9"/>
  <c r="E260" i="9"/>
  <c r="P259" i="9"/>
  <c r="P635" i="9" s="1"/>
  <c r="O259" i="9"/>
  <c r="O635" i="9" s="1"/>
  <c r="N259" i="9"/>
  <c r="N635" i="9" s="1"/>
  <c r="M259" i="9"/>
  <c r="M635" i="9" s="1"/>
  <c r="L259" i="9"/>
  <c r="L635" i="9" s="1"/>
  <c r="K259" i="9"/>
  <c r="G259" i="9"/>
  <c r="F259" i="9"/>
  <c r="E259" i="9"/>
  <c r="P258" i="9"/>
  <c r="P634" i="9" s="1"/>
  <c r="O258" i="9"/>
  <c r="O634" i="9" s="1"/>
  <c r="N258" i="9"/>
  <c r="N634" i="9" s="1"/>
  <c r="M258" i="9"/>
  <c r="M634" i="9" s="1"/>
  <c r="L258" i="9"/>
  <c r="L634" i="9" s="1"/>
  <c r="K258" i="9"/>
  <c r="G258" i="9"/>
  <c r="F258" i="9"/>
  <c r="E258" i="9"/>
  <c r="P257" i="9"/>
  <c r="P633" i="9" s="1"/>
  <c r="O257" i="9"/>
  <c r="O633" i="9" s="1"/>
  <c r="N257" i="9"/>
  <c r="N633" i="9" s="1"/>
  <c r="M257" i="9"/>
  <c r="M633" i="9" s="1"/>
  <c r="L257" i="9"/>
  <c r="L633" i="9" s="1"/>
  <c r="K257" i="9"/>
  <c r="G257" i="9"/>
  <c r="F257" i="9"/>
  <c r="E257" i="9"/>
  <c r="P256" i="9"/>
  <c r="P632" i="9" s="1"/>
  <c r="O256" i="9"/>
  <c r="O632" i="9" s="1"/>
  <c r="N256" i="9"/>
  <c r="N632" i="9" s="1"/>
  <c r="M256" i="9"/>
  <c r="M632" i="9" s="1"/>
  <c r="L256" i="9"/>
  <c r="L632" i="9" s="1"/>
  <c r="K256" i="9"/>
  <c r="G256" i="9"/>
  <c r="F256" i="9"/>
  <c r="E256" i="9"/>
  <c r="P255" i="9"/>
  <c r="P631" i="9" s="1"/>
  <c r="O255" i="9"/>
  <c r="O631" i="9" s="1"/>
  <c r="N255" i="9"/>
  <c r="N631" i="9" s="1"/>
  <c r="M255" i="9"/>
  <c r="M631" i="9" s="1"/>
  <c r="L255" i="9"/>
  <c r="L631" i="9" s="1"/>
  <c r="K255" i="9"/>
  <c r="G255" i="9"/>
  <c r="F255" i="9"/>
  <c r="E255" i="9"/>
  <c r="P254" i="9"/>
  <c r="P630" i="9" s="1"/>
  <c r="O254" i="9"/>
  <c r="O630" i="9" s="1"/>
  <c r="N254" i="9"/>
  <c r="N630" i="9" s="1"/>
  <c r="M254" i="9"/>
  <c r="M630" i="9" s="1"/>
  <c r="L254" i="9"/>
  <c r="L630" i="9" s="1"/>
  <c r="K254" i="9"/>
  <c r="G254" i="9"/>
  <c r="F254" i="9"/>
  <c r="E254" i="9"/>
  <c r="P253" i="9"/>
  <c r="P629" i="9" s="1"/>
  <c r="O253" i="9"/>
  <c r="O629" i="9" s="1"/>
  <c r="N253" i="9"/>
  <c r="N629" i="9" s="1"/>
  <c r="M253" i="9"/>
  <c r="M629" i="9" s="1"/>
  <c r="L253" i="9"/>
  <c r="L629" i="9" s="1"/>
  <c r="K253" i="9"/>
  <c r="G253" i="9"/>
  <c r="F253" i="9"/>
  <c r="E253" i="9"/>
  <c r="P252" i="9"/>
  <c r="P628" i="9" s="1"/>
  <c r="O252" i="9"/>
  <c r="O628" i="9" s="1"/>
  <c r="N252" i="9"/>
  <c r="N628" i="9" s="1"/>
  <c r="M252" i="9"/>
  <c r="M628" i="9" s="1"/>
  <c r="L252" i="9"/>
  <c r="L628" i="9" s="1"/>
  <c r="K252" i="9"/>
  <c r="G252" i="9"/>
  <c r="F252" i="9"/>
  <c r="E252" i="9"/>
  <c r="P251" i="9"/>
  <c r="P627" i="9" s="1"/>
  <c r="O251" i="9"/>
  <c r="O627" i="9" s="1"/>
  <c r="N251" i="9"/>
  <c r="N627" i="9" s="1"/>
  <c r="M251" i="9"/>
  <c r="M627" i="9" s="1"/>
  <c r="L251" i="9"/>
  <c r="L627" i="9" s="1"/>
  <c r="K251" i="9"/>
  <c r="G251" i="9"/>
  <c r="F251" i="9"/>
  <c r="E251" i="9"/>
  <c r="P250" i="9"/>
  <c r="P626" i="9" s="1"/>
  <c r="O250" i="9"/>
  <c r="O626" i="9" s="1"/>
  <c r="N250" i="9"/>
  <c r="N626" i="9" s="1"/>
  <c r="M250" i="9"/>
  <c r="M626" i="9" s="1"/>
  <c r="L250" i="9"/>
  <c r="L626" i="9" s="1"/>
  <c r="K250" i="9"/>
  <c r="G250" i="9"/>
  <c r="F250" i="9"/>
  <c r="E250" i="9"/>
  <c r="P249" i="9"/>
  <c r="P625" i="9" s="1"/>
  <c r="O249" i="9"/>
  <c r="O625" i="9" s="1"/>
  <c r="N249" i="9"/>
  <c r="N625" i="9" s="1"/>
  <c r="M249" i="9"/>
  <c r="M625" i="9" s="1"/>
  <c r="L249" i="9"/>
  <c r="L625" i="9" s="1"/>
  <c r="K249" i="9"/>
  <c r="G249" i="9"/>
  <c r="F249" i="9"/>
  <c r="E249" i="9"/>
  <c r="P248" i="9"/>
  <c r="P624" i="9" s="1"/>
  <c r="O248" i="9"/>
  <c r="O624" i="9" s="1"/>
  <c r="N248" i="9"/>
  <c r="N624" i="9" s="1"/>
  <c r="M248" i="9"/>
  <c r="M624" i="9" s="1"/>
  <c r="L248" i="9"/>
  <c r="L624" i="9" s="1"/>
  <c r="K248" i="9"/>
  <c r="G248" i="9"/>
  <c r="F248" i="9"/>
  <c r="E248" i="9"/>
  <c r="P247" i="9"/>
  <c r="P623" i="9" s="1"/>
  <c r="O247" i="9"/>
  <c r="O623" i="9" s="1"/>
  <c r="N247" i="9"/>
  <c r="N623" i="9" s="1"/>
  <c r="M247" i="9"/>
  <c r="M623" i="9" s="1"/>
  <c r="L247" i="9"/>
  <c r="L623" i="9" s="1"/>
  <c r="K247" i="9"/>
  <c r="G247" i="9"/>
  <c r="F247" i="9"/>
  <c r="E247" i="9"/>
  <c r="P246" i="9"/>
  <c r="P622" i="9" s="1"/>
  <c r="O246" i="9"/>
  <c r="O622" i="9" s="1"/>
  <c r="N246" i="9"/>
  <c r="N622" i="9" s="1"/>
  <c r="M246" i="9"/>
  <c r="M622" i="9" s="1"/>
  <c r="L246" i="9"/>
  <c r="L622" i="9" s="1"/>
  <c r="K246" i="9"/>
  <c r="G246" i="9"/>
  <c r="F246" i="9"/>
  <c r="E246" i="9"/>
  <c r="P245" i="9"/>
  <c r="P621" i="9" s="1"/>
  <c r="O245" i="9"/>
  <c r="O621" i="9" s="1"/>
  <c r="N245" i="9"/>
  <c r="N621" i="9" s="1"/>
  <c r="M245" i="9"/>
  <c r="M621" i="9" s="1"/>
  <c r="L245" i="9"/>
  <c r="L621" i="9" s="1"/>
  <c r="K245" i="9"/>
  <c r="G245" i="9"/>
  <c r="F245" i="9"/>
  <c r="E245" i="9"/>
  <c r="P244" i="9"/>
  <c r="P620" i="9" s="1"/>
  <c r="O244" i="9"/>
  <c r="O620" i="9" s="1"/>
  <c r="N244" i="9"/>
  <c r="N620" i="9" s="1"/>
  <c r="M244" i="9"/>
  <c r="M620" i="9" s="1"/>
  <c r="L244" i="9"/>
  <c r="L620" i="9" s="1"/>
  <c r="K244" i="9"/>
  <c r="G244" i="9"/>
  <c r="F244" i="9"/>
  <c r="E244" i="9"/>
  <c r="P243" i="9"/>
  <c r="P619" i="9" s="1"/>
  <c r="O243" i="9"/>
  <c r="O619" i="9" s="1"/>
  <c r="N243" i="9"/>
  <c r="N619" i="9" s="1"/>
  <c r="M243" i="9"/>
  <c r="M619" i="9" s="1"/>
  <c r="L243" i="9"/>
  <c r="L619" i="9" s="1"/>
  <c r="K243" i="9"/>
  <c r="G243" i="9"/>
  <c r="F243" i="9"/>
  <c r="E243" i="9"/>
  <c r="P242" i="9"/>
  <c r="P618" i="9" s="1"/>
  <c r="O242" i="9"/>
  <c r="O618" i="9" s="1"/>
  <c r="N242" i="9"/>
  <c r="N618" i="9" s="1"/>
  <c r="M242" i="9"/>
  <c r="M618" i="9" s="1"/>
  <c r="L242" i="9"/>
  <c r="L618" i="9" s="1"/>
  <c r="K242" i="9"/>
  <c r="G242" i="9"/>
  <c r="F242" i="9"/>
  <c r="E242" i="9"/>
  <c r="P241" i="9"/>
  <c r="P617" i="9" s="1"/>
  <c r="O241" i="9"/>
  <c r="O617" i="9" s="1"/>
  <c r="N241" i="9"/>
  <c r="N617" i="9" s="1"/>
  <c r="M241" i="9"/>
  <c r="M617" i="9" s="1"/>
  <c r="L241" i="9"/>
  <c r="L617" i="9" s="1"/>
  <c r="K241" i="9"/>
  <c r="G241" i="9"/>
  <c r="F241" i="9"/>
  <c r="E241" i="9"/>
  <c r="P240" i="9"/>
  <c r="P616" i="9" s="1"/>
  <c r="O240" i="9"/>
  <c r="O616" i="9" s="1"/>
  <c r="N240" i="9"/>
  <c r="N616" i="9" s="1"/>
  <c r="M240" i="9"/>
  <c r="M616" i="9" s="1"/>
  <c r="L240" i="9"/>
  <c r="L616" i="9" s="1"/>
  <c r="K240" i="9"/>
  <c r="G240" i="9"/>
  <c r="F240" i="9"/>
  <c r="E240" i="9"/>
  <c r="P239" i="9"/>
  <c r="P615" i="9" s="1"/>
  <c r="O239" i="9"/>
  <c r="O615" i="9" s="1"/>
  <c r="N239" i="9"/>
  <c r="N615" i="9" s="1"/>
  <c r="M239" i="9"/>
  <c r="M615" i="9" s="1"/>
  <c r="L239" i="9"/>
  <c r="L615" i="9" s="1"/>
  <c r="K239" i="9"/>
  <c r="G239" i="9"/>
  <c r="F239" i="9"/>
  <c r="E239" i="9"/>
  <c r="P238" i="9"/>
  <c r="P614" i="9" s="1"/>
  <c r="O238" i="9"/>
  <c r="O614" i="9" s="1"/>
  <c r="N238" i="9"/>
  <c r="N614" i="9" s="1"/>
  <c r="M238" i="9"/>
  <c r="M614" i="9" s="1"/>
  <c r="L238" i="9"/>
  <c r="L614" i="9" s="1"/>
  <c r="K238" i="9"/>
  <c r="G238" i="9"/>
  <c r="F238" i="9"/>
  <c r="E238" i="9"/>
  <c r="P237" i="9"/>
  <c r="P613" i="9" s="1"/>
  <c r="O237" i="9"/>
  <c r="O613" i="9" s="1"/>
  <c r="N237" i="9"/>
  <c r="N613" i="9" s="1"/>
  <c r="M237" i="9"/>
  <c r="M613" i="9" s="1"/>
  <c r="L237" i="9"/>
  <c r="L613" i="9" s="1"/>
  <c r="K237" i="9"/>
  <c r="G237" i="9"/>
  <c r="F237" i="9"/>
  <c r="E237" i="9"/>
  <c r="P236" i="9"/>
  <c r="P612" i="9" s="1"/>
  <c r="O236" i="9"/>
  <c r="O612" i="9" s="1"/>
  <c r="N236" i="9"/>
  <c r="N612" i="9" s="1"/>
  <c r="M236" i="9"/>
  <c r="M612" i="9" s="1"/>
  <c r="L236" i="9"/>
  <c r="L612" i="9" s="1"/>
  <c r="K236" i="9"/>
  <c r="G236" i="9"/>
  <c r="F236" i="9"/>
  <c r="E236" i="9"/>
  <c r="P235" i="9"/>
  <c r="P611" i="9" s="1"/>
  <c r="O235" i="9"/>
  <c r="O611" i="9" s="1"/>
  <c r="N235" i="9"/>
  <c r="N611" i="9" s="1"/>
  <c r="M235" i="9"/>
  <c r="M611" i="9" s="1"/>
  <c r="L235" i="9"/>
  <c r="L611" i="9" s="1"/>
  <c r="K235" i="9"/>
  <c r="G235" i="9"/>
  <c r="F235" i="9"/>
  <c r="E235" i="9"/>
  <c r="P234" i="9"/>
  <c r="P610" i="9" s="1"/>
  <c r="O234" i="9"/>
  <c r="O610" i="9" s="1"/>
  <c r="N234" i="9"/>
  <c r="N610" i="9" s="1"/>
  <c r="M234" i="9"/>
  <c r="M610" i="9" s="1"/>
  <c r="L234" i="9"/>
  <c r="L610" i="9" s="1"/>
  <c r="K234" i="9"/>
  <c r="G234" i="9"/>
  <c r="F234" i="9"/>
  <c r="E234" i="9"/>
  <c r="P233" i="9"/>
  <c r="P609" i="9" s="1"/>
  <c r="O233" i="9"/>
  <c r="O609" i="9" s="1"/>
  <c r="N233" i="9"/>
  <c r="N609" i="9" s="1"/>
  <c r="M233" i="9"/>
  <c r="M609" i="9" s="1"/>
  <c r="L233" i="9"/>
  <c r="L609" i="9" s="1"/>
  <c r="K233" i="9"/>
  <c r="G233" i="9"/>
  <c r="F233" i="9"/>
  <c r="E233" i="9"/>
  <c r="P232" i="9"/>
  <c r="P608" i="9" s="1"/>
  <c r="O232" i="9"/>
  <c r="O608" i="9" s="1"/>
  <c r="N232" i="9"/>
  <c r="N608" i="9" s="1"/>
  <c r="M232" i="9"/>
  <c r="M608" i="9" s="1"/>
  <c r="L232" i="9"/>
  <c r="L608" i="9" s="1"/>
  <c r="K232" i="9"/>
  <c r="G232" i="9"/>
  <c r="F232" i="9"/>
  <c r="E232" i="9"/>
  <c r="P231" i="9"/>
  <c r="P607" i="9" s="1"/>
  <c r="O231" i="9"/>
  <c r="O607" i="9" s="1"/>
  <c r="N231" i="9"/>
  <c r="N607" i="9" s="1"/>
  <c r="M231" i="9"/>
  <c r="M607" i="9" s="1"/>
  <c r="L231" i="9"/>
  <c r="L607" i="9" s="1"/>
  <c r="K231" i="9"/>
  <c r="G231" i="9"/>
  <c r="F231" i="9"/>
  <c r="E231" i="9"/>
  <c r="P230" i="9"/>
  <c r="P606" i="9" s="1"/>
  <c r="O230" i="9"/>
  <c r="O606" i="9" s="1"/>
  <c r="N230" i="9"/>
  <c r="N606" i="9" s="1"/>
  <c r="M230" i="9"/>
  <c r="M606" i="9" s="1"/>
  <c r="L230" i="9"/>
  <c r="L606" i="9" s="1"/>
  <c r="K230" i="9"/>
  <c r="G230" i="9"/>
  <c r="F230" i="9"/>
  <c r="E230" i="9"/>
  <c r="P229" i="9"/>
  <c r="P605" i="9" s="1"/>
  <c r="O229" i="9"/>
  <c r="O605" i="9" s="1"/>
  <c r="N229" i="9"/>
  <c r="N605" i="9" s="1"/>
  <c r="M229" i="9"/>
  <c r="M605" i="9" s="1"/>
  <c r="L229" i="9"/>
  <c r="L605" i="9" s="1"/>
  <c r="K229" i="9"/>
  <c r="G229" i="9"/>
  <c r="F229" i="9"/>
  <c r="E229" i="9"/>
  <c r="P228" i="9"/>
  <c r="P604" i="9" s="1"/>
  <c r="O228" i="9"/>
  <c r="O604" i="9" s="1"/>
  <c r="N228" i="9"/>
  <c r="N604" i="9" s="1"/>
  <c r="M228" i="9"/>
  <c r="M604" i="9" s="1"/>
  <c r="L228" i="9"/>
  <c r="L604" i="9" s="1"/>
  <c r="K228" i="9"/>
  <c r="G228" i="9"/>
  <c r="F228" i="9"/>
  <c r="E228" i="9"/>
  <c r="P227" i="9"/>
  <c r="P603" i="9" s="1"/>
  <c r="O227" i="9"/>
  <c r="O603" i="9" s="1"/>
  <c r="N227" i="9"/>
  <c r="N603" i="9" s="1"/>
  <c r="M227" i="9"/>
  <c r="M603" i="9" s="1"/>
  <c r="L227" i="9"/>
  <c r="L603" i="9" s="1"/>
  <c r="K227" i="9"/>
  <c r="G227" i="9"/>
  <c r="F227" i="9"/>
  <c r="E227" i="9"/>
  <c r="P226" i="9"/>
  <c r="P602" i="9" s="1"/>
  <c r="O226" i="9"/>
  <c r="O602" i="9" s="1"/>
  <c r="N226" i="9"/>
  <c r="N602" i="9" s="1"/>
  <c r="M226" i="9"/>
  <c r="M602" i="9" s="1"/>
  <c r="L226" i="9"/>
  <c r="L602" i="9" s="1"/>
  <c r="K226" i="9"/>
  <c r="G226" i="9"/>
  <c r="F226" i="9"/>
  <c r="E226" i="9"/>
  <c r="P225" i="9"/>
  <c r="P601" i="9" s="1"/>
  <c r="O225" i="9"/>
  <c r="O601" i="9" s="1"/>
  <c r="N225" i="9"/>
  <c r="N601" i="9" s="1"/>
  <c r="M225" i="9"/>
  <c r="M601" i="9" s="1"/>
  <c r="L225" i="9"/>
  <c r="L601" i="9" s="1"/>
  <c r="K225" i="9"/>
  <c r="G225" i="9"/>
  <c r="F225" i="9"/>
  <c r="E225" i="9"/>
  <c r="P224" i="9"/>
  <c r="P600" i="9" s="1"/>
  <c r="O224" i="9"/>
  <c r="O600" i="9" s="1"/>
  <c r="N224" i="9"/>
  <c r="N600" i="9" s="1"/>
  <c r="M224" i="9"/>
  <c r="M600" i="9" s="1"/>
  <c r="L224" i="9"/>
  <c r="L600" i="9" s="1"/>
  <c r="K224" i="9"/>
  <c r="G224" i="9"/>
  <c r="F224" i="9"/>
  <c r="E224" i="9"/>
  <c r="P223" i="9"/>
  <c r="P599" i="9" s="1"/>
  <c r="O223" i="9"/>
  <c r="O599" i="9" s="1"/>
  <c r="N223" i="9"/>
  <c r="N599" i="9" s="1"/>
  <c r="M223" i="9"/>
  <c r="M599" i="9" s="1"/>
  <c r="L223" i="9"/>
  <c r="L599" i="9" s="1"/>
  <c r="K223" i="9"/>
  <c r="G223" i="9"/>
  <c r="F223" i="9"/>
  <c r="E223" i="9"/>
  <c r="P222" i="9"/>
  <c r="P598" i="9" s="1"/>
  <c r="O222" i="9"/>
  <c r="O598" i="9" s="1"/>
  <c r="N222" i="9"/>
  <c r="N598" i="9" s="1"/>
  <c r="M222" i="9"/>
  <c r="M598" i="9" s="1"/>
  <c r="L222" i="9"/>
  <c r="L598" i="9" s="1"/>
  <c r="K222" i="9"/>
  <c r="G222" i="9"/>
  <c r="F222" i="9"/>
  <c r="E222" i="9"/>
  <c r="P221" i="9"/>
  <c r="P597" i="9" s="1"/>
  <c r="O221" i="9"/>
  <c r="O597" i="9" s="1"/>
  <c r="N221" i="9"/>
  <c r="N597" i="9" s="1"/>
  <c r="M221" i="9"/>
  <c r="M597" i="9" s="1"/>
  <c r="L221" i="9"/>
  <c r="L597" i="9" s="1"/>
  <c r="K221" i="9"/>
  <c r="G221" i="9"/>
  <c r="F221" i="9"/>
  <c r="E221" i="9"/>
  <c r="P220" i="9"/>
  <c r="P596" i="9" s="1"/>
  <c r="O220" i="9"/>
  <c r="O596" i="9" s="1"/>
  <c r="N220" i="9"/>
  <c r="N596" i="9" s="1"/>
  <c r="M220" i="9"/>
  <c r="M596" i="9" s="1"/>
  <c r="L220" i="9"/>
  <c r="L596" i="9" s="1"/>
  <c r="K220" i="9"/>
  <c r="G220" i="9"/>
  <c r="F220" i="9"/>
  <c r="E220" i="9"/>
  <c r="P219" i="9"/>
  <c r="P595" i="9" s="1"/>
  <c r="O219" i="9"/>
  <c r="O595" i="9" s="1"/>
  <c r="N219" i="9"/>
  <c r="N595" i="9" s="1"/>
  <c r="M219" i="9"/>
  <c r="M595" i="9" s="1"/>
  <c r="L219" i="9"/>
  <c r="L595" i="9" s="1"/>
  <c r="K219" i="9"/>
  <c r="G219" i="9"/>
  <c r="F219" i="9"/>
  <c r="E219" i="9"/>
  <c r="P218" i="9"/>
  <c r="P594" i="9" s="1"/>
  <c r="O218" i="9"/>
  <c r="O594" i="9" s="1"/>
  <c r="N218" i="9"/>
  <c r="N594" i="9" s="1"/>
  <c r="M218" i="9"/>
  <c r="M594" i="9" s="1"/>
  <c r="L218" i="9"/>
  <c r="L594" i="9" s="1"/>
  <c r="K218" i="9"/>
  <c r="G218" i="9"/>
  <c r="F218" i="9"/>
  <c r="E218" i="9"/>
  <c r="P217" i="9"/>
  <c r="P593" i="9" s="1"/>
  <c r="O217" i="9"/>
  <c r="O593" i="9" s="1"/>
  <c r="N217" i="9"/>
  <c r="N593" i="9" s="1"/>
  <c r="M217" i="9"/>
  <c r="M593" i="9" s="1"/>
  <c r="L217" i="9"/>
  <c r="L593" i="9" s="1"/>
  <c r="K217" i="9"/>
  <c r="G217" i="9"/>
  <c r="F217" i="9"/>
  <c r="E217" i="9"/>
  <c r="P216" i="9"/>
  <c r="P592" i="9" s="1"/>
  <c r="O216" i="9"/>
  <c r="O592" i="9" s="1"/>
  <c r="N216" i="9"/>
  <c r="N592" i="9" s="1"/>
  <c r="M216" i="9"/>
  <c r="M592" i="9" s="1"/>
  <c r="L216" i="9"/>
  <c r="L592" i="9" s="1"/>
  <c r="K216" i="9"/>
  <c r="G216" i="9"/>
  <c r="F216" i="9"/>
  <c r="E216" i="9"/>
  <c r="P215" i="9"/>
  <c r="P591" i="9" s="1"/>
  <c r="O215" i="9"/>
  <c r="O591" i="9" s="1"/>
  <c r="N215" i="9"/>
  <c r="N591" i="9" s="1"/>
  <c r="M215" i="9"/>
  <c r="M591" i="9" s="1"/>
  <c r="L215" i="9"/>
  <c r="L591" i="9" s="1"/>
  <c r="K215" i="9"/>
  <c r="G215" i="9"/>
  <c r="F215" i="9"/>
  <c r="E215" i="9"/>
  <c r="P214" i="9"/>
  <c r="P590" i="9" s="1"/>
  <c r="O214" i="9"/>
  <c r="O590" i="9" s="1"/>
  <c r="N214" i="9"/>
  <c r="N590" i="9" s="1"/>
  <c r="M214" i="9"/>
  <c r="M590" i="9" s="1"/>
  <c r="L214" i="9"/>
  <c r="L590" i="9" s="1"/>
  <c r="K214" i="9"/>
  <c r="G214" i="9"/>
  <c r="F214" i="9"/>
  <c r="E214" i="9"/>
  <c r="P213" i="9"/>
  <c r="P589" i="9" s="1"/>
  <c r="O213" i="9"/>
  <c r="O589" i="9" s="1"/>
  <c r="N213" i="9"/>
  <c r="N589" i="9" s="1"/>
  <c r="M213" i="9"/>
  <c r="M589" i="9" s="1"/>
  <c r="L213" i="9"/>
  <c r="L589" i="9" s="1"/>
  <c r="K213" i="9"/>
  <c r="G213" i="9"/>
  <c r="F213" i="9"/>
  <c r="E213" i="9"/>
  <c r="P212" i="9"/>
  <c r="P588" i="9" s="1"/>
  <c r="O212" i="9"/>
  <c r="O588" i="9" s="1"/>
  <c r="N212" i="9"/>
  <c r="N588" i="9" s="1"/>
  <c r="M212" i="9"/>
  <c r="M588" i="9" s="1"/>
  <c r="L212" i="9"/>
  <c r="L588" i="9" s="1"/>
  <c r="K212" i="9"/>
  <c r="G212" i="9"/>
  <c r="F212" i="9"/>
  <c r="E212" i="9"/>
  <c r="P211" i="9"/>
  <c r="P587" i="9" s="1"/>
  <c r="O211" i="9"/>
  <c r="O587" i="9" s="1"/>
  <c r="N211" i="9"/>
  <c r="N587" i="9" s="1"/>
  <c r="M211" i="9"/>
  <c r="M587" i="9" s="1"/>
  <c r="L211" i="9"/>
  <c r="L587" i="9" s="1"/>
  <c r="K211" i="9"/>
  <c r="G211" i="9"/>
  <c r="F211" i="9"/>
  <c r="E211" i="9"/>
  <c r="P210" i="9"/>
  <c r="P586" i="9" s="1"/>
  <c r="O210" i="9"/>
  <c r="O586" i="9" s="1"/>
  <c r="N210" i="9"/>
  <c r="N586" i="9" s="1"/>
  <c r="M210" i="9"/>
  <c r="M586" i="9" s="1"/>
  <c r="L210" i="9"/>
  <c r="L586" i="9" s="1"/>
  <c r="K210" i="9"/>
  <c r="G210" i="9"/>
  <c r="F210" i="9"/>
  <c r="E210" i="9"/>
  <c r="P209" i="9"/>
  <c r="P585" i="9" s="1"/>
  <c r="O209" i="9"/>
  <c r="O585" i="9" s="1"/>
  <c r="N209" i="9"/>
  <c r="N585" i="9" s="1"/>
  <c r="M209" i="9"/>
  <c r="M585" i="9" s="1"/>
  <c r="L209" i="9"/>
  <c r="L585" i="9" s="1"/>
  <c r="K209" i="9"/>
  <c r="G209" i="9"/>
  <c r="F209" i="9"/>
  <c r="E209" i="9"/>
  <c r="P208" i="9"/>
  <c r="P584" i="9" s="1"/>
  <c r="O208" i="9"/>
  <c r="O584" i="9" s="1"/>
  <c r="N208" i="9"/>
  <c r="N584" i="9" s="1"/>
  <c r="M208" i="9"/>
  <c r="M584" i="9" s="1"/>
  <c r="L208" i="9"/>
  <c r="L584" i="9" s="1"/>
  <c r="K208" i="9"/>
  <c r="G208" i="9"/>
  <c r="F208" i="9"/>
  <c r="E208" i="9"/>
  <c r="P207" i="9"/>
  <c r="P583" i="9" s="1"/>
  <c r="O207" i="9"/>
  <c r="O583" i="9" s="1"/>
  <c r="N207" i="9"/>
  <c r="N583" i="9" s="1"/>
  <c r="M207" i="9"/>
  <c r="M583" i="9" s="1"/>
  <c r="L207" i="9"/>
  <c r="L583" i="9" s="1"/>
  <c r="K207" i="9"/>
  <c r="G207" i="9"/>
  <c r="F207" i="9"/>
  <c r="E207" i="9"/>
  <c r="P206" i="9"/>
  <c r="P582" i="9" s="1"/>
  <c r="O206" i="9"/>
  <c r="O582" i="9" s="1"/>
  <c r="N206" i="9"/>
  <c r="N582" i="9" s="1"/>
  <c r="M206" i="9"/>
  <c r="M582" i="9" s="1"/>
  <c r="L206" i="9"/>
  <c r="L582" i="9" s="1"/>
  <c r="K206" i="9"/>
  <c r="G206" i="9"/>
  <c r="F206" i="9"/>
  <c r="E206" i="9"/>
  <c r="P205" i="9"/>
  <c r="P581" i="9" s="1"/>
  <c r="O205" i="9"/>
  <c r="O581" i="9" s="1"/>
  <c r="N205" i="9"/>
  <c r="N581" i="9" s="1"/>
  <c r="M205" i="9"/>
  <c r="M581" i="9" s="1"/>
  <c r="L205" i="9"/>
  <c r="L581" i="9" s="1"/>
  <c r="K205" i="9"/>
  <c r="G205" i="9"/>
  <c r="F205" i="9"/>
  <c r="E205" i="9"/>
  <c r="P204" i="9"/>
  <c r="P580" i="9" s="1"/>
  <c r="O204" i="9"/>
  <c r="O580" i="9" s="1"/>
  <c r="N204" i="9"/>
  <c r="N580" i="9" s="1"/>
  <c r="M204" i="9"/>
  <c r="M580" i="9" s="1"/>
  <c r="L204" i="9"/>
  <c r="L580" i="9" s="1"/>
  <c r="K204" i="9"/>
  <c r="G204" i="9"/>
  <c r="F204" i="9"/>
  <c r="E204" i="9"/>
  <c r="P203" i="9"/>
  <c r="P579" i="9" s="1"/>
  <c r="O203" i="9"/>
  <c r="O579" i="9" s="1"/>
  <c r="N203" i="9"/>
  <c r="N579" i="9" s="1"/>
  <c r="M203" i="9"/>
  <c r="M579" i="9" s="1"/>
  <c r="L203" i="9"/>
  <c r="L579" i="9" s="1"/>
  <c r="K203" i="9"/>
  <c r="G203" i="9"/>
  <c r="F203" i="9"/>
  <c r="E203" i="9"/>
  <c r="P202" i="9"/>
  <c r="P578" i="9" s="1"/>
  <c r="O202" i="9"/>
  <c r="O578" i="9" s="1"/>
  <c r="N202" i="9"/>
  <c r="N578" i="9" s="1"/>
  <c r="M202" i="9"/>
  <c r="M578" i="9" s="1"/>
  <c r="L202" i="9"/>
  <c r="L578" i="9" s="1"/>
  <c r="K202" i="9"/>
  <c r="G202" i="9"/>
  <c r="F202" i="9"/>
  <c r="E202" i="9"/>
  <c r="P201" i="9"/>
  <c r="P577" i="9" s="1"/>
  <c r="O201" i="9"/>
  <c r="O577" i="9" s="1"/>
  <c r="N201" i="9"/>
  <c r="N577" i="9" s="1"/>
  <c r="M201" i="9"/>
  <c r="M577" i="9" s="1"/>
  <c r="L201" i="9"/>
  <c r="L577" i="9" s="1"/>
  <c r="K201" i="9"/>
  <c r="G201" i="9"/>
  <c r="F201" i="9"/>
  <c r="E201" i="9"/>
  <c r="P200" i="9"/>
  <c r="P576" i="9" s="1"/>
  <c r="O200" i="9"/>
  <c r="O576" i="9" s="1"/>
  <c r="N200" i="9"/>
  <c r="N576" i="9" s="1"/>
  <c r="M200" i="9"/>
  <c r="M576" i="9" s="1"/>
  <c r="L200" i="9"/>
  <c r="L576" i="9" s="1"/>
  <c r="K200" i="9"/>
  <c r="G200" i="9"/>
  <c r="F200" i="9"/>
  <c r="E200" i="9"/>
  <c r="P199" i="9"/>
  <c r="P575" i="9" s="1"/>
  <c r="O199" i="9"/>
  <c r="O575" i="9" s="1"/>
  <c r="N199" i="9"/>
  <c r="N575" i="9" s="1"/>
  <c r="M199" i="9"/>
  <c r="M575" i="9" s="1"/>
  <c r="L199" i="9"/>
  <c r="L575" i="9" s="1"/>
  <c r="K199" i="9"/>
  <c r="G199" i="9"/>
  <c r="F199" i="9"/>
  <c r="E199" i="9"/>
  <c r="P198" i="9"/>
  <c r="P574" i="9" s="1"/>
  <c r="O198" i="9"/>
  <c r="O574" i="9" s="1"/>
  <c r="N198" i="9"/>
  <c r="N574" i="9" s="1"/>
  <c r="M198" i="9"/>
  <c r="M574" i="9" s="1"/>
  <c r="L198" i="9"/>
  <c r="L574" i="9" s="1"/>
  <c r="K198" i="9"/>
  <c r="G198" i="9"/>
  <c r="F198" i="9"/>
  <c r="E198" i="9"/>
  <c r="P197" i="9"/>
  <c r="P573" i="9" s="1"/>
  <c r="O197" i="9"/>
  <c r="O573" i="9" s="1"/>
  <c r="N197" i="9"/>
  <c r="N573" i="9" s="1"/>
  <c r="M197" i="9"/>
  <c r="M573" i="9" s="1"/>
  <c r="L197" i="9"/>
  <c r="L573" i="9" s="1"/>
  <c r="K197" i="9"/>
  <c r="G197" i="9"/>
  <c r="F197" i="9"/>
  <c r="E197" i="9"/>
  <c r="P196" i="9"/>
  <c r="P572" i="9" s="1"/>
  <c r="O196" i="9"/>
  <c r="O572" i="9" s="1"/>
  <c r="N196" i="9"/>
  <c r="N572" i="9" s="1"/>
  <c r="M196" i="9"/>
  <c r="M572" i="9" s="1"/>
  <c r="L196" i="9"/>
  <c r="L572" i="9" s="1"/>
  <c r="K196" i="9"/>
  <c r="G196" i="9"/>
  <c r="F196" i="9"/>
  <c r="E196" i="9"/>
  <c r="P195" i="9"/>
  <c r="P571" i="9" s="1"/>
  <c r="O195" i="9"/>
  <c r="O571" i="9" s="1"/>
  <c r="N195" i="9"/>
  <c r="N571" i="9" s="1"/>
  <c r="M195" i="9"/>
  <c r="M571" i="9" s="1"/>
  <c r="L195" i="9"/>
  <c r="L571" i="9" s="1"/>
  <c r="K195" i="9"/>
  <c r="G195" i="9"/>
  <c r="F195" i="9"/>
  <c r="E195" i="9"/>
  <c r="P194" i="9"/>
  <c r="P570" i="9" s="1"/>
  <c r="O194" i="9"/>
  <c r="O570" i="9" s="1"/>
  <c r="N194" i="9"/>
  <c r="N570" i="9" s="1"/>
  <c r="M194" i="9"/>
  <c r="M570" i="9" s="1"/>
  <c r="L194" i="9"/>
  <c r="L570" i="9" s="1"/>
  <c r="K194" i="9"/>
  <c r="G194" i="9"/>
  <c r="F194" i="9"/>
  <c r="E194" i="9"/>
  <c r="P193" i="9"/>
  <c r="P569" i="9" s="1"/>
  <c r="O193" i="9"/>
  <c r="O569" i="9" s="1"/>
  <c r="N193" i="9"/>
  <c r="N569" i="9" s="1"/>
  <c r="M193" i="9"/>
  <c r="M569" i="9" s="1"/>
  <c r="L193" i="9"/>
  <c r="L569" i="9" s="1"/>
  <c r="K193" i="9"/>
  <c r="G193" i="9"/>
  <c r="F193" i="9"/>
  <c r="E193" i="9"/>
  <c r="P192" i="9"/>
  <c r="P568" i="9" s="1"/>
  <c r="O192" i="9"/>
  <c r="O568" i="9" s="1"/>
  <c r="N192" i="9"/>
  <c r="N568" i="9" s="1"/>
  <c r="M192" i="9"/>
  <c r="M568" i="9" s="1"/>
  <c r="L192" i="9"/>
  <c r="L568" i="9" s="1"/>
  <c r="K192" i="9"/>
  <c r="G192" i="9"/>
  <c r="F192" i="9"/>
  <c r="E192" i="9"/>
  <c r="P191" i="9"/>
  <c r="P567" i="9" s="1"/>
  <c r="O191" i="9"/>
  <c r="O567" i="9" s="1"/>
  <c r="N191" i="9"/>
  <c r="N567" i="9" s="1"/>
  <c r="M191" i="9"/>
  <c r="M567" i="9" s="1"/>
  <c r="L191" i="9"/>
  <c r="L567" i="9" s="1"/>
  <c r="K191" i="9"/>
  <c r="G191" i="9"/>
  <c r="F191" i="9"/>
  <c r="E191" i="9"/>
  <c r="P190" i="9"/>
  <c r="P566" i="9" s="1"/>
  <c r="O190" i="9"/>
  <c r="O566" i="9" s="1"/>
  <c r="N190" i="9"/>
  <c r="N566" i="9" s="1"/>
  <c r="M190" i="9"/>
  <c r="M566" i="9" s="1"/>
  <c r="L190" i="9"/>
  <c r="L566" i="9" s="1"/>
  <c r="K190" i="9"/>
  <c r="G190" i="9"/>
  <c r="F190" i="9"/>
  <c r="E190" i="9"/>
  <c r="P189" i="9"/>
  <c r="P565" i="9" s="1"/>
  <c r="O189" i="9"/>
  <c r="O565" i="9" s="1"/>
  <c r="N189" i="9"/>
  <c r="N565" i="9" s="1"/>
  <c r="M189" i="9"/>
  <c r="M565" i="9" s="1"/>
  <c r="L189" i="9"/>
  <c r="L565" i="9" s="1"/>
  <c r="K189" i="9"/>
  <c r="G189" i="9"/>
  <c r="F189" i="9"/>
  <c r="E189" i="9"/>
  <c r="P188" i="9"/>
  <c r="P564" i="9" s="1"/>
  <c r="O188" i="9"/>
  <c r="O564" i="9" s="1"/>
  <c r="N188" i="9"/>
  <c r="N564" i="9" s="1"/>
  <c r="M188" i="9"/>
  <c r="M564" i="9" s="1"/>
  <c r="L188" i="9"/>
  <c r="L564" i="9" s="1"/>
  <c r="K188" i="9"/>
  <c r="G188" i="9"/>
  <c r="F188" i="9"/>
  <c r="E188" i="9"/>
  <c r="P187" i="9"/>
  <c r="P563" i="9" s="1"/>
  <c r="O187" i="9"/>
  <c r="O563" i="9" s="1"/>
  <c r="N187" i="9"/>
  <c r="N563" i="9" s="1"/>
  <c r="M187" i="9"/>
  <c r="M563" i="9" s="1"/>
  <c r="L187" i="9"/>
  <c r="L563" i="9" s="1"/>
  <c r="K187" i="9"/>
  <c r="G187" i="9"/>
  <c r="F187" i="9"/>
  <c r="E187" i="9"/>
  <c r="P186" i="9"/>
  <c r="P562" i="9" s="1"/>
  <c r="O186" i="9"/>
  <c r="O562" i="9" s="1"/>
  <c r="N186" i="9"/>
  <c r="N562" i="9" s="1"/>
  <c r="M186" i="9"/>
  <c r="M562" i="9" s="1"/>
  <c r="L186" i="9"/>
  <c r="L562" i="9" s="1"/>
  <c r="K186" i="9"/>
  <c r="G186" i="9"/>
  <c r="F186" i="9"/>
  <c r="E186" i="9"/>
  <c r="P185" i="9"/>
  <c r="P561" i="9" s="1"/>
  <c r="O185" i="9"/>
  <c r="O561" i="9" s="1"/>
  <c r="N185" i="9"/>
  <c r="N561" i="9" s="1"/>
  <c r="M185" i="9"/>
  <c r="M561" i="9" s="1"/>
  <c r="L185" i="9"/>
  <c r="L561" i="9" s="1"/>
  <c r="K185" i="9"/>
  <c r="G185" i="9"/>
  <c r="F185" i="9"/>
  <c r="E185" i="9"/>
  <c r="P184" i="9"/>
  <c r="P560" i="9" s="1"/>
  <c r="O184" i="9"/>
  <c r="O560" i="9" s="1"/>
  <c r="N184" i="9"/>
  <c r="N560" i="9" s="1"/>
  <c r="M184" i="9"/>
  <c r="M560" i="9" s="1"/>
  <c r="L184" i="9"/>
  <c r="L560" i="9" s="1"/>
  <c r="K184" i="9"/>
  <c r="G184" i="9"/>
  <c r="F184" i="9"/>
  <c r="E184" i="9"/>
  <c r="P183" i="9"/>
  <c r="P559" i="9" s="1"/>
  <c r="O183" i="9"/>
  <c r="O559" i="9" s="1"/>
  <c r="N183" i="9"/>
  <c r="N559" i="9" s="1"/>
  <c r="M183" i="9"/>
  <c r="M559" i="9" s="1"/>
  <c r="L183" i="9"/>
  <c r="L559" i="9" s="1"/>
  <c r="K183" i="9"/>
  <c r="G183" i="9"/>
  <c r="F183" i="9"/>
  <c r="E183" i="9"/>
  <c r="P182" i="9"/>
  <c r="P558" i="9" s="1"/>
  <c r="O182" i="9"/>
  <c r="O558" i="9" s="1"/>
  <c r="N182" i="9"/>
  <c r="N558" i="9" s="1"/>
  <c r="M182" i="9"/>
  <c r="M558" i="9" s="1"/>
  <c r="L182" i="9"/>
  <c r="L558" i="9" s="1"/>
  <c r="K182" i="9"/>
  <c r="G182" i="9"/>
  <c r="F182" i="9"/>
  <c r="E182" i="9"/>
  <c r="P181" i="9"/>
  <c r="P557" i="9" s="1"/>
  <c r="O181" i="9"/>
  <c r="O557" i="9" s="1"/>
  <c r="N181" i="9"/>
  <c r="N557" i="9" s="1"/>
  <c r="M181" i="9"/>
  <c r="M557" i="9" s="1"/>
  <c r="L181" i="9"/>
  <c r="L557" i="9" s="1"/>
  <c r="K181" i="9"/>
  <c r="G181" i="9"/>
  <c r="F181" i="9"/>
  <c r="E181" i="9"/>
  <c r="P180" i="9"/>
  <c r="P556" i="9" s="1"/>
  <c r="O180" i="9"/>
  <c r="O556" i="9" s="1"/>
  <c r="N180" i="9"/>
  <c r="N556" i="9" s="1"/>
  <c r="M180" i="9"/>
  <c r="M556" i="9" s="1"/>
  <c r="L180" i="9"/>
  <c r="L556" i="9" s="1"/>
  <c r="K180" i="9"/>
  <c r="G180" i="9"/>
  <c r="F180" i="9"/>
  <c r="E180" i="9"/>
  <c r="P179" i="9"/>
  <c r="P555" i="9" s="1"/>
  <c r="O179" i="9"/>
  <c r="O555" i="9" s="1"/>
  <c r="N179" i="9"/>
  <c r="N555" i="9" s="1"/>
  <c r="M179" i="9"/>
  <c r="M555" i="9" s="1"/>
  <c r="L179" i="9"/>
  <c r="L555" i="9" s="1"/>
  <c r="K179" i="9"/>
  <c r="G179" i="9"/>
  <c r="F179" i="9"/>
  <c r="E179" i="9"/>
  <c r="P178" i="9"/>
  <c r="P554" i="9" s="1"/>
  <c r="O178" i="9"/>
  <c r="O554" i="9" s="1"/>
  <c r="N178" i="9"/>
  <c r="N554" i="9" s="1"/>
  <c r="M178" i="9"/>
  <c r="M554" i="9" s="1"/>
  <c r="L178" i="9"/>
  <c r="L554" i="9" s="1"/>
  <c r="K178" i="9"/>
  <c r="G178" i="9"/>
  <c r="F178" i="9"/>
  <c r="E178" i="9"/>
  <c r="P177" i="9"/>
  <c r="P553" i="9" s="1"/>
  <c r="O177" i="9"/>
  <c r="O553" i="9" s="1"/>
  <c r="N177" i="9"/>
  <c r="N553" i="9" s="1"/>
  <c r="M177" i="9"/>
  <c r="M553" i="9" s="1"/>
  <c r="L177" i="9"/>
  <c r="L553" i="9" s="1"/>
  <c r="K177" i="9"/>
  <c r="G177" i="9"/>
  <c r="F177" i="9"/>
  <c r="E177" i="9"/>
  <c r="P176" i="9"/>
  <c r="P552" i="9" s="1"/>
  <c r="O176" i="9"/>
  <c r="O552" i="9" s="1"/>
  <c r="N176" i="9"/>
  <c r="N552" i="9" s="1"/>
  <c r="M176" i="9"/>
  <c r="M552" i="9" s="1"/>
  <c r="L176" i="9"/>
  <c r="L552" i="9" s="1"/>
  <c r="K176" i="9"/>
  <c r="G176" i="9"/>
  <c r="F176" i="9"/>
  <c r="E176" i="9"/>
  <c r="P175" i="9"/>
  <c r="P551" i="9" s="1"/>
  <c r="O175" i="9"/>
  <c r="O551" i="9" s="1"/>
  <c r="N175" i="9"/>
  <c r="N551" i="9" s="1"/>
  <c r="M175" i="9"/>
  <c r="M551" i="9" s="1"/>
  <c r="L175" i="9"/>
  <c r="L551" i="9" s="1"/>
  <c r="K175" i="9"/>
  <c r="G175" i="9"/>
  <c r="F175" i="9"/>
  <c r="E175" i="9"/>
  <c r="P174" i="9"/>
  <c r="P550" i="9" s="1"/>
  <c r="O174" i="9"/>
  <c r="O550" i="9" s="1"/>
  <c r="N174" i="9"/>
  <c r="N550" i="9" s="1"/>
  <c r="M174" i="9"/>
  <c r="M550" i="9" s="1"/>
  <c r="L174" i="9"/>
  <c r="L550" i="9" s="1"/>
  <c r="K174" i="9"/>
  <c r="G174" i="9"/>
  <c r="F174" i="9"/>
  <c r="E174" i="9"/>
  <c r="P173" i="9"/>
  <c r="P549" i="9" s="1"/>
  <c r="O173" i="9"/>
  <c r="O549" i="9" s="1"/>
  <c r="N173" i="9"/>
  <c r="N549" i="9" s="1"/>
  <c r="M173" i="9"/>
  <c r="M549" i="9" s="1"/>
  <c r="L173" i="9"/>
  <c r="L549" i="9" s="1"/>
  <c r="K173" i="9"/>
  <c r="G173" i="9"/>
  <c r="F173" i="9"/>
  <c r="E173" i="9"/>
  <c r="P172" i="9"/>
  <c r="P548" i="9" s="1"/>
  <c r="O172" i="9"/>
  <c r="O548" i="9" s="1"/>
  <c r="N172" i="9"/>
  <c r="N548" i="9" s="1"/>
  <c r="M172" i="9"/>
  <c r="M548" i="9" s="1"/>
  <c r="L172" i="9"/>
  <c r="L548" i="9" s="1"/>
  <c r="K172" i="9"/>
  <c r="G172" i="9"/>
  <c r="F172" i="9"/>
  <c r="E172" i="9"/>
  <c r="P171" i="9"/>
  <c r="P547" i="9" s="1"/>
  <c r="O171" i="9"/>
  <c r="O547" i="9" s="1"/>
  <c r="N171" i="9"/>
  <c r="N547" i="9" s="1"/>
  <c r="M171" i="9"/>
  <c r="M547" i="9" s="1"/>
  <c r="L171" i="9"/>
  <c r="L547" i="9" s="1"/>
  <c r="K171" i="9"/>
  <c r="G171" i="9"/>
  <c r="F171" i="9"/>
  <c r="E171" i="9"/>
  <c r="P170" i="9"/>
  <c r="P546" i="9" s="1"/>
  <c r="O170" i="9"/>
  <c r="O546" i="9" s="1"/>
  <c r="N170" i="9"/>
  <c r="N546" i="9" s="1"/>
  <c r="M170" i="9"/>
  <c r="M546" i="9" s="1"/>
  <c r="L170" i="9"/>
  <c r="L546" i="9" s="1"/>
  <c r="K170" i="9"/>
  <c r="G170" i="9"/>
  <c r="F170" i="9"/>
  <c r="E170" i="9"/>
  <c r="P169" i="9"/>
  <c r="P545" i="9" s="1"/>
  <c r="O169" i="9"/>
  <c r="O545" i="9" s="1"/>
  <c r="N169" i="9"/>
  <c r="N545" i="9" s="1"/>
  <c r="M169" i="9"/>
  <c r="M545" i="9" s="1"/>
  <c r="L169" i="9"/>
  <c r="L545" i="9" s="1"/>
  <c r="K169" i="9"/>
  <c r="G169" i="9"/>
  <c r="F169" i="9"/>
  <c r="E169" i="9"/>
  <c r="P168" i="9"/>
  <c r="P544" i="9" s="1"/>
  <c r="O168" i="9"/>
  <c r="O544" i="9" s="1"/>
  <c r="N168" i="9"/>
  <c r="N544" i="9" s="1"/>
  <c r="M168" i="9"/>
  <c r="M544" i="9" s="1"/>
  <c r="L168" i="9"/>
  <c r="L544" i="9" s="1"/>
  <c r="K168" i="9"/>
  <c r="G168" i="9"/>
  <c r="F168" i="9"/>
  <c r="E168" i="9"/>
  <c r="P167" i="9"/>
  <c r="P543" i="9" s="1"/>
  <c r="O167" i="9"/>
  <c r="O543" i="9" s="1"/>
  <c r="N167" i="9"/>
  <c r="N543" i="9" s="1"/>
  <c r="M167" i="9"/>
  <c r="M543" i="9" s="1"/>
  <c r="L167" i="9"/>
  <c r="L543" i="9" s="1"/>
  <c r="K167" i="9"/>
  <c r="G167" i="9"/>
  <c r="F167" i="9"/>
  <c r="E167" i="9"/>
  <c r="P166" i="9"/>
  <c r="P542" i="9" s="1"/>
  <c r="O166" i="9"/>
  <c r="O542" i="9" s="1"/>
  <c r="N166" i="9"/>
  <c r="N542" i="9" s="1"/>
  <c r="M166" i="9"/>
  <c r="M542" i="9" s="1"/>
  <c r="L166" i="9"/>
  <c r="L542" i="9" s="1"/>
  <c r="K166" i="9"/>
  <c r="G166" i="9"/>
  <c r="F166" i="9"/>
  <c r="E166" i="9"/>
  <c r="P165" i="9"/>
  <c r="P541" i="9" s="1"/>
  <c r="O165" i="9"/>
  <c r="O541" i="9" s="1"/>
  <c r="N165" i="9"/>
  <c r="N541" i="9" s="1"/>
  <c r="M165" i="9"/>
  <c r="M541" i="9" s="1"/>
  <c r="L165" i="9"/>
  <c r="L541" i="9" s="1"/>
  <c r="K165" i="9"/>
  <c r="G165" i="9"/>
  <c r="F165" i="9"/>
  <c r="E165" i="9"/>
  <c r="P164" i="9"/>
  <c r="P540" i="9" s="1"/>
  <c r="O164" i="9"/>
  <c r="O540" i="9" s="1"/>
  <c r="N164" i="9"/>
  <c r="N540" i="9" s="1"/>
  <c r="M164" i="9"/>
  <c r="M540" i="9" s="1"/>
  <c r="L164" i="9"/>
  <c r="L540" i="9" s="1"/>
  <c r="K164" i="9"/>
  <c r="G164" i="9"/>
  <c r="F164" i="9"/>
  <c r="E164" i="9"/>
  <c r="P163" i="9"/>
  <c r="P539" i="9" s="1"/>
  <c r="O163" i="9"/>
  <c r="O539" i="9" s="1"/>
  <c r="N163" i="9"/>
  <c r="N539" i="9" s="1"/>
  <c r="M163" i="9"/>
  <c r="M539" i="9" s="1"/>
  <c r="L163" i="9"/>
  <c r="L539" i="9" s="1"/>
  <c r="K163" i="9"/>
  <c r="G163" i="9"/>
  <c r="F163" i="9"/>
  <c r="E163" i="9"/>
  <c r="P162" i="9"/>
  <c r="P538" i="9" s="1"/>
  <c r="O162" i="9"/>
  <c r="O538" i="9" s="1"/>
  <c r="N162" i="9"/>
  <c r="N538" i="9" s="1"/>
  <c r="M162" i="9"/>
  <c r="M538" i="9" s="1"/>
  <c r="L162" i="9"/>
  <c r="L538" i="9" s="1"/>
  <c r="K162" i="9"/>
  <c r="G162" i="9"/>
  <c r="F162" i="9"/>
  <c r="E162" i="9"/>
  <c r="P161" i="9"/>
  <c r="P537" i="9" s="1"/>
  <c r="O161" i="9"/>
  <c r="O537" i="9" s="1"/>
  <c r="N161" i="9"/>
  <c r="N537" i="9" s="1"/>
  <c r="M161" i="9"/>
  <c r="M537" i="9" s="1"/>
  <c r="L161" i="9"/>
  <c r="L537" i="9" s="1"/>
  <c r="K161" i="9"/>
  <c r="G161" i="9"/>
  <c r="F161" i="9"/>
  <c r="E161" i="9"/>
  <c r="P160" i="9"/>
  <c r="P536" i="9" s="1"/>
  <c r="O160" i="9"/>
  <c r="O536" i="9" s="1"/>
  <c r="N160" i="9"/>
  <c r="N536" i="9" s="1"/>
  <c r="M160" i="9"/>
  <c r="M536" i="9" s="1"/>
  <c r="L160" i="9"/>
  <c r="L536" i="9" s="1"/>
  <c r="K160" i="9"/>
  <c r="G160" i="9"/>
  <c r="F160" i="9"/>
  <c r="E160" i="9"/>
  <c r="P159" i="9"/>
  <c r="P535" i="9" s="1"/>
  <c r="O159" i="9"/>
  <c r="O535" i="9" s="1"/>
  <c r="N159" i="9"/>
  <c r="N535" i="9" s="1"/>
  <c r="M159" i="9"/>
  <c r="M535" i="9" s="1"/>
  <c r="L159" i="9"/>
  <c r="L535" i="9" s="1"/>
  <c r="K159" i="9"/>
  <c r="G159" i="9"/>
  <c r="F159" i="9"/>
  <c r="E159" i="9"/>
  <c r="P158" i="9"/>
  <c r="P534" i="9" s="1"/>
  <c r="O158" i="9"/>
  <c r="O534" i="9" s="1"/>
  <c r="N158" i="9"/>
  <c r="N534" i="9" s="1"/>
  <c r="M158" i="9"/>
  <c r="M534" i="9" s="1"/>
  <c r="L158" i="9"/>
  <c r="L534" i="9" s="1"/>
  <c r="K158" i="9"/>
  <c r="G158" i="9"/>
  <c r="F158" i="9"/>
  <c r="E158" i="9"/>
  <c r="P157" i="9"/>
  <c r="P533" i="9" s="1"/>
  <c r="O157" i="9"/>
  <c r="O533" i="9" s="1"/>
  <c r="N157" i="9"/>
  <c r="N533" i="9" s="1"/>
  <c r="M157" i="9"/>
  <c r="M533" i="9" s="1"/>
  <c r="L157" i="9"/>
  <c r="L533" i="9" s="1"/>
  <c r="K157" i="9"/>
  <c r="G157" i="9"/>
  <c r="F157" i="9"/>
  <c r="E157" i="9"/>
  <c r="P156" i="9"/>
  <c r="P532" i="9" s="1"/>
  <c r="O156" i="9"/>
  <c r="O532" i="9" s="1"/>
  <c r="N156" i="9"/>
  <c r="N532" i="9" s="1"/>
  <c r="M156" i="9"/>
  <c r="M532" i="9" s="1"/>
  <c r="L156" i="9"/>
  <c r="L532" i="9" s="1"/>
  <c r="K156" i="9"/>
  <c r="G156" i="9"/>
  <c r="F156" i="9"/>
  <c r="E156" i="9"/>
  <c r="P155" i="9"/>
  <c r="P531" i="9" s="1"/>
  <c r="O155" i="9"/>
  <c r="O531" i="9" s="1"/>
  <c r="N155" i="9"/>
  <c r="N531" i="9" s="1"/>
  <c r="M155" i="9"/>
  <c r="M531" i="9" s="1"/>
  <c r="L155" i="9"/>
  <c r="L531" i="9" s="1"/>
  <c r="K155" i="9"/>
  <c r="G155" i="9"/>
  <c r="F155" i="9"/>
  <c r="E155" i="9"/>
  <c r="P154" i="9"/>
  <c r="P530" i="9" s="1"/>
  <c r="O154" i="9"/>
  <c r="O530" i="9" s="1"/>
  <c r="N154" i="9"/>
  <c r="N530" i="9" s="1"/>
  <c r="M154" i="9"/>
  <c r="M530" i="9" s="1"/>
  <c r="L154" i="9"/>
  <c r="L530" i="9" s="1"/>
  <c r="K154" i="9"/>
  <c r="G154" i="9"/>
  <c r="F154" i="9"/>
  <c r="E154" i="9"/>
  <c r="P153" i="9"/>
  <c r="P529" i="9" s="1"/>
  <c r="O153" i="9"/>
  <c r="O529" i="9" s="1"/>
  <c r="N153" i="9"/>
  <c r="N529" i="9" s="1"/>
  <c r="M153" i="9"/>
  <c r="M529" i="9" s="1"/>
  <c r="L153" i="9"/>
  <c r="L529" i="9" s="1"/>
  <c r="K153" i="9"/>
  <c r="G153" i="9"/>
  <c r="F153" i="9"/>
  <c r="E153" i="9"/>
  <c r="P152" i="9"/>
  <c r="P528" i="9" s="1"/>
  <c r="O152" i="9"/>
  <c r="O528" i="9" s="1"/>
  <c r="N152" i="9"/>
  <c r="N528" i="9" s="1"/>
  <c r="M152" i="9"/>
  <c r="M528" i="9" s="1"/>
  <c r="L152" i="9"/>
  <c r="L528" i="9" s="1"/>
  <c r="K152" i="9"/>
  <c r="G152" i="9"/>
  <c r="F152" i="9"/>
  <c r="E152" i="9"/>
  <c r="P151" i="9"/>
  <c r="P527" i="9" s="1"/>
  <c r="O151" i="9"/>
  <c r="O527" i="9" s="1"/>
  <c r="N151" i="9"/>
  <c r="N527" i="9" s="1"/>
  <c r="M151" i="9"/>
  <c r="M527" i="9" s="1"/>
  <c r="L151" i="9"/>
  <c r="L527" i="9" s="1"/>
  <c r="K151" i="9"/>
  <c r="G151" i="9"/>
  <c r="F151" i="9"/>
  <c r="E151" i="9"/>
  <c r="P150" i="9"/>
  <c r="P526" i="9" s="1"/>
  <c r="O150" i="9"/>
  <c r="O526" i="9" s="1"/>
  <c r="N150" i="9"/>
  <c r="N526" i="9" s="1"/>
  <c r="M150" i="9"/>
  <c r="M526" i="9" s="1"/>
  <c r="L150" i="9"/>
  <c r="L526" i="9" s="1"/>
  <c r="K150" i="9"/>
  <c r="G150" i="9"/>
  <c r="F150" i="9"/>
  <c r="E150" i="9"/>
  <c r="P149" i="9"/>
  <c r="P525" i="9" s="1"/>
  <c r="O149" i="9"/>
  <c r="O525" i="9" s="1"/>
  <c r="N149" i="9"/>
  <c r="N525" i="9" s="1"/>
  <c r="M149" i="9"/>
  <c r="M525" i="9" s="1"/>
  <c r="L149" i="9"/>
  <c r="L525" i="9" s="1"/>
  <c r="K149" i="9"/>
  <c r="G149" i="9"/>
  <c r="F149" i="9"/>
  <c r="E149" i="9"/>
  <c r="P148" i="9"/>
  <c r="P524" i="9" s="1"/>
  <c r="O148" i="9"/>
  <c r="O524" i="9" s="1"/>
  <c r="N148" i="9"/>
  <c r="N524" i="9" s="1"/>
  <c r="M148" i="9"/>
  <c r="M524" i="9" s="1"/>
  <c r="L148" i="9"/>
  <c r="L524" i="9" s="1"/>
  <c r="K148" i="9"/>
  <c r="G148" i="9"/>
  <c r="F148" i="9"/>
  <c r="E148" i="9"/>
  <c r="P147" i="9"/>
  <c r="P523" i="9" s="1"/>
  <c r="O147" i="9"/>
  <c r="O523" i="9" s="1"/>
  <c r="N147" i="9"/>
  <c r="N523" i="9" s="1"/>
  <c r="M147" i="9"/>
  <c r="M523" i="9" s="1"/>
  <c r="L147" i="9"/>
  <c r="L523" i="9" s="1"/>
  <c r="K147" i="9"/>
  <c r="G147" i="9"/>
  <c r="F147" i="9"/>
  <c r="E147" i="9"/>
  <c r="P146" i="9"/>
  <c r="P522" i="9" s="1"/>
  <c r="O146" i="9"/>
  <c r="O522" i="9" s="1"/>
  <c r="N146" i="9"/>
  <c r="N522" i="9" s="1"/>
  <c r="M146" i="9"/>
  <c r="M522" i="9" s="1"/>
  <c r="L146" i="9"/>
  <c r="L522" i="9" s="1"/>
  <c r="K146" i="9"/>
  <c r="G146" i="9"/>
  <c r="F146" i="9"/>
  <c r="E146" i="9"/>
  <c r="P145" i="9"/>
  <c r="P521" i="9" s="1"/>
  <c r="O145" i="9"/>
  <c r="O521" i="9" s="1"/>
  <c r="N145" i="9"/>
  <c r="N521" i="9" s="1"/>
  <c r="M145" i="9"/>
  <c r="M521" i="9" s="1"/>
  <c r="L145" i="9"/>
  <c r="L521" i="9" s="1"/>
  <c r="K145" i="9"/>
  <c r="G145" i="9"/>
  <c r="F145" i="9"/>
  <c r="E145" i="9"/>
  <c r="P144" i="9"/>
  <c r="P520" i="9" s="1"/>
  <c r="O144" i="9"/>
  <c r="O520" i="9" s="1"/>
  <c r="N144" i="9"/>
  <c r="N520" i="9" s="1"/>
  <c r="M144" i="9"/>
  <c r="M520" i="9" s="1"/>
  <c r="L144" i="9"/>
  <c r="L520" i="9" s="1"/>
  <c r="K144" i="9"/>
  <c r="G144" i="9"/>
  <c r="F144" i="9"/>
  <c r="E144" i="9"/>
  <c r="P143" i="9"/>
  <c r="P519" i="9" s="1"/>
  <c r="O143" i="9"/>
  <c r="O519" i="9" s="1"/>
  <c r="N143" i="9"/>
  <c r="N519" i="9" s="1"/>
  <c r="M143" i="9"/>
  <c r="M519" i="9" s="1"/>
  <c r="L143" i="9"/>
  <c r="L519" i="9" s="1"/>
  <c r="K143" i="9"/>
  <c r="G143" i="9"/>
  <c r="F143" i="9"/>
  <c r="E143" i="9"/>
  <c r="P142" i="9"/>
  <c r="P518" i="9" s="1"/>
  <c r="O142" i="9"/>
  <c r="O518" i="9" s="1"/>
  <c r="N142" i="9"/>
  <c r="N518" i="9" s="1"/>
  <c r="M142" i="9"/>
  <c r="M518" i="9" s="1"/>
  <c r="L142" i="9"/>
  <c r="L518" i="9" s="1"/>
  <c r="K142" i="9"/>
  <c r="G142" i="9"/>
  <c r="F142" i="9"/>
  <c r="E142" i="9"/>
  <c r="P141" i="9"/>
  <c r="P517" i="9" s="1"/>
  <c r="O141" i="9"/>
  <c r="O517" i="9" s="1"/>
  <c r="N141" i="9"/>
  <c r="N517" i="9" s="1"/>
  <c r="M141" i="9"/>
  <c r="M517" i="9" s="1"/>
  <c r="L141" i="9"/>
  <c r="L517" i="9" s="1"/>
  <c r="K141" i="9"/>
  <c r="G141" i="9"/>
  <c r="F141" i="9"/>
  <c r="E141" i="9"/>
  <c r="P140" i="9"/>
  <c r="P516" i="9" s="1"/>
  <c r="O140" i="9"/>
  <c r="O516" i="9" s="1"/>
  <c r="N140" i="9"/>
  <c r="N516" i="9" s="1"/>
  <c r="M140" i="9"/>
  <c r="M516" i="9" s="1"/>
  <c r="L140" i="9"/>
  <c r="L516" i="9" s="1"/>
  <c r="K140" i="9"/>
  <c r="G140" i="9"/>
  <c r="F140" i="9"/>
  <c r="E140" i="9"/>
  <c r="P139" i="9"/>
  <c r="P515" i="9" s="1"/>
  <c r="O139" i="9"/>
  <c r="O515" i="9" s="1"/>
  <c r="N139" i="9"/>
  <c r="N515" i="9" s="1"/>
  <c r="M139" i="9"/>
  <c r="M515" i="9" s="1"/>
  <c r="L139" i="9"/>
  <c r="L515" i="9" s="1"/>
  <c r="K139" i="9"/>
  <c r="G139" i="9"/>
  <c r="F139" i="9"/>
  <c r="E139" i="9"/>
  <c r="P138" i="9"/>
  <c r="P514" i="9" s="1"/>
  <c r="O138" i="9"/>
  <c r="O514" i="9" s="1"/>
  <c r="N138" i="9"/>
  <c r="N514" i="9" s="1"/>
  <c r="M138" i="9"/>
  <c r="M514" i="9" s="1"/>
  <c r="L138" i="9"/>
  <c r="L514" i="9" s="1"/>
  <c r="K138" i="9"/>
  <c r="G138" i="9"/>
  <c r="F138" i="9"/>
  <c r="E138" i="9"/>
  <c r="P137" i="9"/>
  <c r="P513" i="9" s="1"/>
  <c r="O137" i="9"/>
  <c r="O513" i="9" s="1"/>
  <c r="N137" i="9"/>
  <c r="N513" i="9" s="1"/>
  <c r="M137" i="9"/>
  <c r="M513" i="9" s="1"/>
  <c r="L137" i="9"/>
  <c r="L513" i="9" s="1"/>
  <c r="K137" i="9"/>
  <c r="G137" i="9"/>
  <c r="F137" i="9"/>
  <c r="E137" i="9"/>
  <c r="P136" i="9"/>
  <c r="P512" i="9" s="1"/>
  <c r="O136" i="9"/>
  <c r="O512" i="9" s="1"/>
  <c r="N136" i="9"/>
  <c r="N512" i="9" s="1"/>
  <c r="M136" i="9"/>
  <c r="M512" i="9" s="1"/>
  <c r="L136" i="9"/>
  <c r="L512" i="9" s="1"/>
  <c r="K136" i="9"/>
  <c r="G136" i="9"/>
  <c r="F136" i="9"/>
  <c r="E136" i="9"/>
  <c r="P135" i="9"/>
  <c r="P511" i="9" s="1"/>
  <c r="O135" i="9"/>
  <c r="O511" i="9" s="1"/>
  <c r="N135" i="9"/>
  <c r="N511" i="9" s="1"/>
  <c r="M135" i="9"/>
  <c r="M511" i="9" s="1"/>
  <c r="L135" i="9"/>
  <c r="L511" i="9" s="1"/>
  <c r="K135" i="9"/>
  <c r="G135" i="9"/>
  <c r="F135" i="9"/>
  <c r="E135" i="9"/>
  <c r="P134" i="9"/>
  <c r="P510" i="9" s="1"/>
  <c r="O134" i="9"/>
  <c r="O510" i="9" s="1"/>
  <c r="N134" i="9"/>
  <c r="N510" i="9" s="1"/>
  <c r="M134" i="9"/>
  <c r="M510" i="9" s="1"/>
  <c r="L134" i="9"/>
  <c r="L510" i="9" s="1"/>
  <c r="K134" i="9"/>
  <c r="G134" i="9"/>
  <c r="F134" i="9"/>
  <c r="E134" i="9"/>
  <c r="P133" i="9"/>
  <c r="P509" i="9" s="1"/>
  <c r="O133" i="9"/>
  <c r="O509" i="9" s="1"/>
  <c r="N133" i="9"/>
  <c r="N509" i="9" s="1"/>
  <c r="M133" i="9"/>
  <c r="M509" i="9" s="1"/>
  <c r="L133" i="9"/>
  <c r="L509" i="9" s="1"/>
  <c r="K133" i="9"/>
  <c r="G133" i="9"/>
  <c r="F133" i="9"/>
  <c r="E133" i="9"/>
  <c r="P132" i="9"/>
  <c r="P508" i="9" s="1"/>
  <c r="O132" i="9"/>
  <c r="O508" i="9" s="1"/>
  <c r="N132" i="9"/>
  <c r="N508" i="9" s="1"/>
  <c r="M132" i="9"/>
  <c r="M508" i="9" s="1"/>
  <c r="L132" i="9"/>
  <c r="L508" i="9" s="1"/>
  <c r="K132" i="9"/>
  <c r="G132" i="9"/>
  <c r="F132" i="9"/>
  <c r="E132" i="9"/>
  <c r="P131" i="9"/>
  <c r="P507" i="9" s="1"/>
  <c r="O131" i="9"/>
  <c r="O507" i="9" s="1"/>
  <c r="N131" i="9"/>
  <c r="N507" i="9" s="1"/>
  <c r="M131" i="9"/>
  <c r="M507" i="9" s="1"/>
  <c r="L131" i="9"/>
  <c r="L507" i="9" s="1"/>
  <c r="K131" i="9"/>
  <c r="G131" i="9"/>
  <c r="F131" i="9"/>
  <c r="E131" i="9"/>
  <c r="P130" i="9"/>
  <c r="P506" i="9" s="1"/>
  <c r="O130" i="9"/>
  <c r="O506" i="9" s="1"/>
  <c r="N130" i="9"/>
  <c r="N506" i="9" s="1"/>
  <c r="M130" i="9"/>
  <c r="M506" i="9" s="1"/>
  <c r="L130" i="9"/>
  <c r="L506" i="9" s="1"/>
  <c r="K130" i="9"/>
  <c r="G130" i="9"/>
  <c r="F130" i="9"/>
  <c r="E130" i="9"/>
  <c r="P129" i="9"/>
  <c r="P505" i="9" s="1"/>
  <c r="O129" i="9"/>
  <c r="O505" i="9" s="1"/>
  <c r="N129" i="9"/>
  <c r="N505" i="9" s="1"/>
  <c r="M129" i="9"/>
  <c r="M505" i="9" s="1"/>
  <c r="L129" i="9"/>
  <c r="L505" i="9" s="1"/>
  <c r="K129" i="9"/>
  <c r="G129" i="9"/>
  <c r="F129" i="9"/>
  <c r="E129" i="9"/>
  <c r="P128" i="9"/>
  <c r="P504" i="9" s="1"/>
  <c r="O128" i="9"/>
  <c r="O504" i="9" s="1"/>
  <c r="N128" i="9"/>
  <c r="N504" i="9" s="1"/>
  <c r="M128" i="9"/>
  <c r="M504" i="9" s="1"/>
  <c r="L128" i="9"/>
  <c r="L504" i="9" s="1"/>
  <c r="K128" i="9"/>
  <c r="G128" i="9"/>
  <c r="F128" i="9"/>
  <c r="E128" i="9"/>
  <c r="P127" i="9"/>
  <c r="P503" i="9" s="1"/>
  <c r="O127" i="9"/>
  <c r="O503" i="9" s="1"/>
  <c r="N127" i="9"/>
  <c r="N503" i="9" s="1"/>
  <c r="M127" i="9"/>
  <c r="M503" i="9" s="1"/>
  <c r="L127" i="9"/>
  <c r="L503" i="9" s="1"/>
  <c r="K127" i="9"/>
  <c r="G127" i="9"/>
  <c r="F127" i="9"/>
  <c r="E127" i="9"/>
  <c r="P126" i="9"/>
  <c r="P502" i="9" s="1"/>
  <c r="O126" i="9"/>
  <c r="O502" i="9" s="1"/>
  <c r="N126" i="9"/>
  <c r="N502" i="9" s="1"/>
  <c r="M126" i="9"/>
  <c r="M502" i="9" s="1"/>
  <c r="L126" i="9"/>
  <c r="L502" i="9" s="1"/>
  <c r="K126" i="9"/>
  <c r="G126" i="9"/>
  <c r="F126" i="9"/>
  <c r="E126" i="9"/>
  <c r="P125" i="9"/>
  <c r="P501" i="9" s="1"/>
  <c r="O125" i="9"/>
  <c r="O501" i="9" s="1"/>
  <c r="N125" i="9"/>
  <c r="N501" i="9" s="1"/>
  <c r="M125" i="9"/>
  <c r="M501" i="9" s="1"/>
  <c r="L125" i="9"/>
  <c r="L501" i="9" s="1"/>
  <c r="K125" i="9"/>
  <c r="G125" i="9"/>
  <c r="F125" i="9"/>
  <c r="E125" i="9"/>
  <c r="P124" i="9"/>
  <c r="P500" i="9" s="1"/>
  <c r="O124" i="9"/>
  <c r="O500" i="9" s="1"/>
  <c r="N124" i="9"/>
  <c r="N500" i="9" s="1"/>
  <c r="M124" i="9"/>
  <c r="M500" i="9" s="1"/>
  <c r="L124" i="9"/>
  <c r="L500" i="9" s="1"/>
  <c r="K124" i="9"/>
  <c r="G124" i="9"/>
  <c r="F124" i="9"/>
  <c r="E124" i="9"/>
  <c r="P123" i="9"/>
  <c r="P499" i="9" s="1"/>
  <c r="O123" i="9"/>
  <c r="O499" i="9" s="1"/>
  <c r="N123" i="9"/>
  <c r="N499" i="9" s="1"/>
  <c r="M123" i="9"/>
  <c r="M499" i="9" s="1"/>
  <c r="L123" i="9"/>
  <c r="L499" i="9" s="1"/>
  <c r="K123" i="9"/>
  <c r="G123" i="9"/>
  <c r="F123" i="9"/>
  <c r="E123" i="9"/>
  <c r="P122" i="9"/>
  <c r="P498" i="9" s="1"/>
  <c r="O122" i="9"/>
  <c r="O498" i="9" s="1"/>
  <c r="N122" i="9"/>
  <c r="N498" i="9" s="1"/>
  <c r="M122" i="9"/>
  <c r="M498" i="9" s="1"/>
  <c r="L122" i="9"/>
  <c r="L498" i="9" s="1"/>
  <c r="K122" i="9"/>
  <c r="G122" i="9"/>
  <c r="F122" i="9"/>
  <c r="E122" i="9"/>
  <c r="P121" i="9"/>
  <c r="P497" i="9" s="1"/>
  <c r="O121" i="9"/>
  <c r="O497" i="9" s="1"/>
  <c r="N121" i="9"/>
  <c r="N497" i="9" s="1"/>
  <c r="M121" i="9"/>
  <c r="M497" i="9" s="1"/>
  <c r="L121" i="9"/>
  <c r="L497" i="9" s="1"/>
  <c r="K121" i="9"/>
  <c r="G121" i="9"/>
  <c r="F121" i="9"/>
  <c r="E121" i="9"/>
  <c r="P120" i="9"/>
  <c r="P496" i="9" s="1"/>
  <c r="O120" i="9"/>
  <c r="O496" i="9" s="1"/>
  <c r="N120" i="9"/>
  <c r="N496" i="9" s="1"/>
  <c r="M120" i="9"/>
  <c r="M496" i="9" s="1"/>
  <c r="L120" i="9"/>
  <c r="L496" i="9" s="1"/>
  <c r="K120" i="9"/>
  <c r="G120" i="9"/>
  <c r="F120" i="9"/>
  <c r="E120" i="9"/>
  <c r="P119" i="9"/>
  <c r="P495" i="9" s="1"/>
  <c r="O119" i="9"/>
  <c r="O495" i="9" s="1"/>
  <c r="N119" i="9"/>
  <c r="N495" i="9" s="1"/>
  <c r="M119" i="9"/>
  <c r="M495" i="9" s="1"/>
  <c r="L119" i="9"/>
  <c r="L495" i="9" s="1"/>
  <c r="K119" i="9"/>
  <c r="G119" i="9"/>
  <c r="F119" i="9"/>
  <c r="E119" i="9"/>
  <c r="P118" i="9"/>
  <c r="P494" i="9" s="1"/>
  <c r="O118" i="9"/>
  <c r="O494" i="9" s="1"/>
  <c r="N118" i="9"/>
  <c r="N494" i="9" s="1"/>
  <c r="M118" i="9"/>
  <c r="M494" i="9" s="1"/>
  <c r="L118" i="9"/>
  <c r="L494" i="9" s="1"/>
  <c r="K118" i="9"/>
  <c r="G118" i="9"/>
  <c r="F118" i="9"/>
  <c r="E118" i="9"/>
  <c r="P117" i="9"/>
  <c r="P493" i="9" s="1"/>
  <c r="O117" i="9"/>
  <c r="O493" i="9" s="1"/>
  <c r="N117" i="9"/>
  <c r="N493" i="9" s="1"/>
  <c r="M117" i="9"/>
  <c r="M493" i="9" s="1"/>
  <c r="L117" i="9"/>
  <c r="L493" i="9" s="1"/>
  <c r="K117" i="9"/>
  <c r="G117" i="9"/>
  <c r="F117" i="9"/>
  <c r="E117" i="9"/>
  <c r="P116" i="9"/>
  <c r="P492" i="9" s="1"/>
  <c r="O116" i="9"/>
  <c r="O492" i="9" s="1"/>
  <c r="N116" i="9"/>
  <c r="N492" i="9" s="1"/>
  <c r="M116" i="9"/>
  <c r="M492" i="9" s="1"/>
  <c r="L116" i="9"/>
  <c r="L492" i="9" s="1"/>
  <c r="K116" i="9"/>
  <c r="G116" i="9"/>
  <c r="F116" i="9"/>
  <c r="E116" i="9"/>
  <c r="P115" i="9"/>
  <c r="P491" i="9" s="1"/>
  <c r="O115" i="9"/>
  <c r="O491" i="9" s="1"/>
  <c r="N115" i="9"/>
  <c r="N491" i="9" s="1"/>
  <c r="M115" i="9"/>
  <c r="M491" i="9" s="1"/>
  <c r="L115" i="9"/>
  <c r="L491" i="9" s="1"/>
  <c r="K115" i="9"/>
  <c r="G115" i="9"/>
  <c r="F115" i="9"/>
  <c r="E115" i="9"/>
  <c r="P114" i="9"/>
  <c r="P490" i="9" s="1"/>
  <c r="O114" i="9"/>
  <c r="O490" i="9" s="1"/>
  <c r="N114" i="9"/>
  <c r="N490" i="9" s="1"/>
  <c r="M114" i="9"/>
  <c r="M490" i="9" s="1"/>
  <c r="L114" i="9"/>
  <c r="L490" i="9" s="1"/>
  <c r="K114" i="9"/>
  <c r="G114" i="9"/>
  <c r="F114" i="9"/>
  <c r="E114" i="9"/>
  <c r="P113" i="9"/>
  <c r="P489" i="9" s="1"/>
  <c r="O113" i="9"/>
  <c r="O489" i="9" s="1"/>
  <c r="N113" i="9"/>
  <c r="N489" i="9" s="1"/>
  <c r="M113" i="9"/>
  <c r="M489" i="9" s="1"/>
  <c r="L113" i="9"/>
  <c r="L489" i="9" s="1"/>
  <c r="K113" i="9"/>
  <c r="G113" i="9"/>
  <c r="F113" i="9"/>
  <c r="E113" i="9"/>
  <c r="P112" i="9"/>
  <c r="P488" i="9" s="1"/>
  <c r="O112" i="9"/>
  <c r="O488" i="9" s="1"/>
  <c r="N112" i="9"/>
  <c r="N488" i="9" s="1"/>
  <c r="M112" i="9"/>
  <c r="M488" i="9" s="1"/>
  <c r="L112" i="9"/>
  <c r="L488" i="9" s="1"/>
  <c r="K112" i="9"/>
  <c r="G112" i="9"/>
  <c r="F112" i="9"/>
  <c r="E112" i="9"/>
  <c r="P111" i="9"/>
  <c r="P487" i="9" s="1"/>
  <c r="O111" i="9"/>
  <c r="O487" i="9" s="1"/>
  <c r="N111" i="9"/>
  <c r="N487" i="9" s="1"/>
  <c r="M111" i="9"/>
  <c r="M487" i="9" s="1"/>
  <c r="L111" i="9"/>
  <c r="L487" i="9" s="1"/>
  <c r="K111" i="9"/>
  <c r="G111" i="9"/>
  <c r="F111" i="9"/>
  <c r="E111" i="9"/>
  <c r="P110" i="9"/>
  <c r="P486" i="9" s="1"/>
  <c r="O110" i="9"/>
  <c r="O486" i="9" s="1"/>
  <c r="N110" i="9"/>
  <c r="N486" i="9" s="1"/>
  <c r="M110" i="9"/>
  <c r="M486" i="9" s="1"/>
  <c r="L110" i="9"/>
  <c r="L486" i="9" s="1"/>
  <c r="K110" i="9"/>
  <c r="G110" i="9"/>
  <c r="F110" i="9"/>
  <c r="E110" i="9"/>
  <c r="P109" i="9"/>
  <c r="P485" i="9" s="1"/>
  <c r="O109" i="9"/>
  <c r="O485" i="9" s="1"/>
  <c r="N109" i="9"/>
  <c r="N485" i="9" s="1"/>
  <c r="M109" i="9"/>
  <c r="M485" i="9" s="1"/>
  <c r="L109" i="9"/>
  <c r="L485" i="9" s="1"/>
  <c r="K109" i="9"/>
  <c r="G109" i="9"/>
  <c r="F109" i="9"/>
  <c r="E109" i="9"/>
  <c r="P108" i="9"/>
  <c r="P484" i="9" s="1"/>
  <c r="O108" i="9"/>
  <c r="O484" i="9" s="1"/>
  <c r="N108" i="9"/>
  <c r="N484" i="9" s="1"/>
  <c r="M108" i="9"/>
  <c r="M484" i="9" s="1"/>
  <c r="L108" i="9"/>
  <c r="L484" i="9" s="1"/>
  <c r="K108" i="9"/>
  <c r="G108" i="9"/>
  <c r="F108" i="9"/>
  <c r="E108" i="9"/>
  <c r="P107" i="9"/>
  <c r="P483" i="9" s="1"/>
  <c r="O107" i="9"/>
  <c r="O483" i="9" s="1"/>
  <c r="N107" i="9"/>
  <c r="N483" i="9" s="1"/>
  <c r="M107" i="9"/>
  <c r="M483" i="9" s="1"/>
  <c r="L107" i="9"/>
  <c r="L483" i="9" s="1"/>
  <c r="K107" i="9"/>
  <c r="G107" i="9"/>
  <c r="F107" i="9"/>
  <c r="E107" i="9"/>
  <c r="P106" i="9"/>
  <c r="P482" i="9" s="1"/>
  <c r="O106" i="9"/>
  <c r="O482" i="9" s="1"/>
  <c r="N106" i="9"/>
  <c r="N482" i="9" s="1"/>
  <c r="M106" i="9"/>
  <c r="M482" i="9" s="1"/>
  <c r="L106" i="9"/>
  <c r="L482" i="9" s="1"/>
  <c r="K106" i="9"/>
  <c r="G106" i="9"/>
  <c r="F106" i="9"/>
  <c r="E106" i="9"/>
  <c r="P105" i="9"/>
  <c r="P481" i="9" s="1"/>
  <c r="O105" i="9"/>
  <c r="O481" i="9" s="1"/>
  <c r="N105" i="9"/>
  <c r="N481" i="9" s="1"/>
  <c r="M105" i="9"/>
  <c r="M481" i="9" s="1"/>
  <c r="L105" i="9"/>
  <c r="L481" i="9" s="1"/>
  <c r="K105" i="9"/>
  <c r="G105" i="9"/>
  <c r="F105" i="9"/>
  <c r="E105" i="9"/>
  <c r="P104" i="9"/>
  <c r="P480" i="9" s="1"/>
  <c r="O104" i="9"/>
  <c r="O480" i="9" s="1"/>
  <c r="N104" i="9"/>
  <c r="N480" i="9" s="1"/>
  <c r="M104" i="9"/>
  <c r="M480" i="9" s="1"/>
  <c r="L104" i="9"/>
  <c r="L480" i="9" s="1"/>
  <c r="K104" i="9"/>
  <c r="G104" i="9"/>
  <c r="F104" i="9"/>
  <c r="E104" i="9"/>
  <c r="P103" i="9"/>
  <c r="P479" i="9" s="1"/>
  <c r="O103" i="9"/>
  <c r="O479" i="9" s="1"/>
  <c r="N103" i="9"/>
  <c r="N479" i="9" s="1"/>
  <c r="M103" i="9"/>
  <c r="M479" i="9" s="1"/>
  <c r="L103" i="9"/>
  <c r="L479" i="9" s="1"/>
  <c r="K103" i="9"/>
  <c r="G103" i="9"/>
  <c r="F103" i="9"/>
  <c r="E103" i="9"/>
  <c r="P102" i="9"/>
  <c r="P478" i="9" s="1"/>
  <c r="O102" i="9"/>
  <c r="O478" i="9" s="1"/>
  <c r="N102" i="9"/>
  <c r="N478" i="9" s="1"/>
  <c r="M102" i="9"/>
  <c r="M478" i="9" s="1"/>
  <c r="L102" i="9"/>
  <c r="L478" i="9" s="1"/>
  <c r="K102" i="9"/>
  <c r="G102" i="9"/>
  <c r="F102" i="9"/>
  <c r="E102" i="9"/>
  <c r="P101" i="9"/>
  <c r="P477" i="9" s="1"/>
  <c r="O101" i="9"/>
  <c r="O477" i="9" s="1"/>
  <c r="N101" i="9"/>
  <c r="N477" i="9" s="1"/>
  <c r="M101" i="9"/>
  <c r="M477" i="9" s="1"/>
  <c r="L101" i="9"/>
  <c r="L477" i="9" s="1"/>
  <c r="K101" i="9"/>
  <c r="G101" i="9"/>
  <c r="F101" i="9"/>
  <c r="E101" i="9"/>
  <c r="P100" i="9"/>
  <c r="P476" i="9" s="1"/>
  <c r="O100" i="9"/>
  <c r="O476" i="9" s="1"/>
  <c r="N100" i="9"/>
  <c r="N476" i="9" s="1"/>
  <c r="M100" i="9"/>
  <c r="M476" i="9" s="1"/>
  <c r="L100" i="9"/>
  <c r="L476" i="9" s="1"/>
  <c r="K100" i="9"/>
  <c r="G100" i="9"/>
  <c r="F100" i="9"/>
  <c r="E100" i="9"/>
  <c r="P99" i="9"/>
  <c r="P475" i="9" s="1"/>
  <c r="O99" i="9"/>
  <c r="O475" i="9" s="1"/>
  <c r="N99" i="9"/>
  <c r="N475" i="9" s="1"/>
  <c r="M99" i="9"/>
  <c r="M475" i="9" s="1"/>
  <c r="L99" i="9"/>
  <c r="L475" i="9" s="1"/>
  <c r="K99" i="9"/>
  <c r="G99" i="9"/>
  <c r="F99" i="9"/>
  <c r="E99" i="9"/>
  <c r="P98" i="9"/>
  <c r="P474" i="9" s="1"/>
  <c r="O98" i="9"/>
  <c r="O474" i="9" s="1"/>
  <c r="N98" i="9"/>
  <c r="N474" i="9" s="1"/>
  <c r="M98" i="9"/>
  <c r="M474" i="9" s="1"/>
  <c r="L98" i="9"/>
  <c r="L474" i="9" s="1"/>
  <c r="K98" i="9"/>
  <c r="G98" i="9"/>
  <c r="F98" i="9"/>
  <c r="E98" i="9"/>
  <c r="P97" i="9"/>
  <c r="P473" i="9" s="1"/>
  <c r="O97" i="9"/>
  <c r="O473" i="9" s="1"/>
  <c r="N97" i="9"/>
  <c r="N473" i="9" s="1"/>
  <c r="M97" i="9"/>
  <c r="M473" i="9" s="1"/>
  <c r="L97" i="9"/>
  <c r="L473" i="9" s="1"/>
  <c r="K97" i="9"/>
  <c r="G97" i="9"/>
  <c r="F97" i="9"/>
  <c r="E97" i="9"/>
  <c r="P96" i="9"/>
  <c r="P472" i="9" s="1"/>
  <c r="O96" i="9"/>
  <c r="O472" i="9" s="1"/>
  <c r="N96" i="9"/>
  <c r="N472" i="9" s="1"/>
  <c r="M96" i="9"/>
  <c r="M472" i="9" s="1"/>
  <c r="L96" i="9"/>
  <c r="L472" i="9" s="1"/>
  <c r="K96" i="9"/>
  <c r="G96" i="9"/>
  <c r="F96" i="9"/>
  <c r="E96" i="9"/>
  <c r="P95" i="9"/>
  <c r="P471" i="9" s="1"/>
  <c r="O95" i="9"/>
  <c r="O471" i="9" s="1"/>
  <c r="N95" i="9"/>
  <c r="N471" i="9" s="1"/>
  <c r="M95" i="9"/>
  <c r="M471" i="9" s="1"/>
  <c r="L95" i="9"/>
  <c r="L471" i="9" s="1"/>
  <c r="K95" i="9"/>
  <c r="G95" i="9"/>
  <c r="F95" i="9"/>
  <c r="E95" i="9"/>
  <c r="P94" i="9"/>
  <c r="P470" i="9" s="1"/>
  <c r="O94" i="9"/>
  <c r="O470" i="9" s="1"/>
  <c r="N94" i="9"/>
  <c r="N470" i="9" s="1"/>
  <c r="M94" i="9"/>
  <c r="M470" i="9" s="1"/>
  <c r="L94" i="9"/>
  <c r="L470" i="9" s="1"/>
  <c r="K94" i="9"/>
  <c r="G94" i="9"/>
  <c r="F94" i="9"/>
  <c r="E94" i="9"/>
  <c r="P93" i="9"/>
  <c r="P469" i="9" s="1"/>
  <c r="O93" i="9"/>
  <c r="O469" i="9" s="1"/>
  <c r="N93" i="9"/>
  <c r="N469" i="9" s="1"/>
  <c r="M93" i="9"/>
  <c r="M469" i="9" s="1"/>
  <c r="L93" i="9"/>
  <c r="L469" i="9" s="1"/>
  <c r="K93" i="9"/>
  <c r="G93" i="9"/>
  <c r="F93" i="9"/>
  <c r="E93" i="9"/>
  <c r="P92" i="9"/>
  <c r="P468" i="9" s="1"/>
  <c r="O92" i="9"/>
  <c r="O468" i="9" s="1"/>
  <c r="N92" i="9"/>
  <c r="N468" i="9" s="1"/>
  <c r="M92" i="9"/>
  <c r="M468" i="9" s="1"/>
  <c r="L92" i="9"/>
  <c r="L468" i="9" s="1"/>
  <c r="K92" i="9"/>
  <c r="G92" i="9"/>
  <c r="F92" i="9"/>
  <c r="E92" i="9"/>
  <c r="P91" i="9"/>
  <c r="P467" i="9" s="1"/>
  <c r="O91" i="9"/>
  <c r="O467" i="9" s="1"/>
  <c r="N91" i="9"/>
  <c r="N467" i="9" s="1"/>
  <c r="M91" i="9"/>
  <c r="M467" i="9" s="1"/>
  <c r="L91" i="9"/>
  <c r="L467" i="9" s="1"/>
  <c r="K91" i="9"/>
  <c r="G91" i="9"/>
  <c r="F91" i="9"/>
  <c r="E91" i="9"/>
  <c r="P90" i="9"/>
  <c r="P466" i="9" s="1"/>
  <c r="O90" i="9"/>
  <c r="O466" i="9" s="1"/>
  <c r="N90" i="9"/>
  <c r="N466" i="9" s="1"/>
  <c r="M90" i="9"/>
  <c r="M466" i="9" s="1"/>
  <c r="L90" i="9"/>
  <c r="L466" i="9" s="1"/>
  <c r="K90" i="9"/>
  <c r="G90" i="9"/>
  <c r="F90" i="9"/>
  <c r="E90" i="9"/>
  <c r="P89" i="9"/>
  <c r="P465" i="9" s="1"/>
  <c r="O89" i="9"/>
  <c r="O465" i="9" s="1"/>
  <c r="N89" i="9"/>
  <c r="N465" i="9" s="1"/>
  <c r="M89" i="9"/>
  <c r="M465" i="9" s="1"/>
  <c r="L89" i="9"/>
  <c r="L465" i="9" s="1"/>
  <c r="K89" i="9"/>
  <c r="G89" i="9"/>
  <c r="F89" i="9"/>
  <c r="E89" i="9"/>
  <c r="P88" i="9"/>
  <c r="P464" i="9" s="1"/>
  <c r="O88" i="9"/>
  <c r="O464" i="9" s="1"/>
  <c r="N88" i="9"/>
  <c r="N464" i="9" s="1"/>
  <c r="M88" i="9"/>
  <c r="M464" i="9" s="1"/>
  <c r="L88" i="9"/>
  <c r="L464" i="9" s="1"/>
  <c r="K88" i="9"/>
  <c r="G88" i="9"/>
  <c r="F88" i="9"/>
  <c r="E88" i="9"/>
  <c r="P87" i="9"/>
  <c r="P463" i="9" s="1"/>
  <c r="O87" i="9"/>
  <c r="O463" i="9" s="1"/>
  <c r="N87" i="9"/>
  <c r="N463" i="9" s="1"/>
  <c r="M87" i="9"/>
  <c r="M463" i="9" s="1"/>
  <c r="L87" i="9"/>
  <c r="L463" i="9" s="1"/>
  <c r="K87" i="9"/>
  <c r="G87" i="9"/>
  <c r="F87" i="9"/>
  <c r="E87" i="9"/>
  <c r="P86" i="9"/>
  <c r="P462" i="9" s="1"/>
  <c r="O86" i="9"/>
  <c r="O462" i="9" s="1"/>
  <c r="N86" i="9"/>
  <c r="N462" i="9" s="1"/>
  <c r="M86" i="9"/>
  <c r="M462" i="9" s="1"/>
  <c r="L86" i="9"/>
  <c r="L462" i="9" s="1"/>
  <c r="K86" i="9"/>
  <c r="G86" i="9"/>
  <c r="F86" i="9"/>
  <c r="E86" i="9"/>
  <c r="P85" i="9"/>
  <c r="P461" i="9" s="1"/>
  <c r="O85" i="9"/>
  <c r="O461" i="9" s="1"/>
  <c r="N85" i="9"/>
  <c r="N461" i="9" s="1"/>
  <c r="M85" i="9"/>
  <c r="M461" i="9" s="1"/>
  <c r="L85" i="9"/>
  <c r="L461" i="9" s="1"/>
  <c r="K85" i="9"/>
  <c r="G85" i="9"/>
  <c r="F85" i="9"/>
  <c r="E85" i="9"/>
  <c r="P84" i="9"/>
  <c r="P460" i="9" s="1"/>
  <c r="O84" i="9"/>
  <c r="O460" i="9" s="1"/>
  <c r="N84" i="9"/>
  <c r="N460" i="9" s="1"/>
  <c r="M84" i="9"/>
  <c r="M460" i="9" s="1"/>
  <c r="L84" i="9"/>
  <c r="L460" i="9" s="1"/>
  <c r="K84" i="9"/>
  <c r="G84" i="9"/>
  <c r="F84" i="9"/>
  <c r="E84" i="9"/>
  <c r="P83" i="9"/>
  <c r="P459" i="9" s="1"/>
  <c r="O83" i="9"/>
  <c r="O459" i="9" s="1"/>
  <c r="N83" i="9"/>
  <c r="N459" i="9" s="1"/>
  <c r="M83" i="9"/>
  <c r="M459" i="9" s="1"/>
  <c r="L83" i="9"/>
  <c r="L459" i="9" s="1"/>
  <c r="K83" i="9"/>
  <c r="G83" i="9"/>
  <c r="F83" i="9"/>
  <c r="E83" i="9"/>
  <c r="P82" i="9"/>
  <c r="P458" i="9" s="1"/>
  <c r="O82" i="9"/>
  <c r="O458" i="9" s="1"/>
  <c r="N82" i="9"/>
  <c r="N458" i="9" s="1"/>
  <c r="M82" i="9"/>
  <c r="M458" i="9" s="1"/>
  <c r="L82" i="9"/>
  <c r="L458" i="9" s="1"/>
  <c r="K82" i="9"/>
  <c r="G82" i="9"/>
  <c r="F82" i="9"/>
  <c r="E82" i="9"/>
  <c r="P81" i="9"/>
  <c r="P457" i="9" s="1"/>
  <c r="O81" i="9"/>
  <c r="O457" i="9" s="1"/>
  <c r="N81" i="9"/>
  <c r="N457" i="9" s="1"/>
  <c r="M81" i="9"/>
  <c r="M457" i="9" s="1"/>
  <c r="L81" i="9"/>
  <c r="L457" i="9" s="1"/>
  <c r="K81" i="9"/>
  <c r="G81" i="9"/>
  <c r="F81" i="9"/>
  <c r="E81" i="9"/>
  <c r="P80" i="9"/>
  <c r="P456" i="9" s="1"/>
  <c r="O80" i="9"/>
  <c r="O456" i="9" s="1"/>
  <c r="N80" i="9"/>
  <c r="N456" i="9" s="1"/>
  <c r="M80" i="9"/>
  <c r="M456" i="9" s="1"/>
  <c r="L80" i="9"/>
  <c r="L456" i="9" s="1"/>
  <c r="K80" i="9"/>
  <c r="G80" i="9"/>
  <c r="F80" i="9"/>
  <c r="E80" i="9"/>
  <c r="P79" i="9"/>
  <c r="P455" i="9" s="1"/>
  <c r="O79" i="9"/>
  <c r="O455" i="9" s="1"/>
  <c r="N79" i="9"/>
  <c r="N455" i="9" s="1"/>
  <c r="M79" i="9"/>
  <c r="M455" i="9" s="1"/>
  <c r="L79" i="9"/>
  <c r="L455" i="9" s="1"/>
  <c r="K79" i="9"/>
  <c r="G79" i="9"/>
  <c r="F79" i="9"/>
  <c r="E79" i="9"/>
  <c r="P78" i="9"/>
  <c r="P454" i="9" s="1"/>
  <c r="O78" i="9"/>
  <c r="O454" i="9" s="1"/>
  <c r="N78" i="9"/>
  <c r="N454" i="9" s="1"/>
  <c r="M78" i="9"/>
  <c r="M454" i="9" s="1"/>
  <c r="L78" i="9"/>
  <c r="L454" i="9" s="1"/>
  <c r="K78" i="9"/>
  <c r="G78" i="9"/>
  <c r="F78" i="9"/>
  <c r="E78" i="9"/>
  <c r="P77" i="9"/>
  <c r="P453" i="9" s="1"/>
  <c r="O77" i="9"/>
  <c r="O453" i="9" s="1"/>
  <c r="N77" i="9"/>
  <c r="N453" i="9" s="1"/>
  <c r="M77" i="9"/>
  <c r="M453" i="9" s="1"/>
  <c r="L77" i="9"/>
  <c r="L453" i="9" s="1"/>
  <c r="K77" i="9"/>
  <c r="G77" i="9"/>
  <c r="F77" i="9"/>
  <c r="E77" i="9"/>
  <c r="P76" i="9"/>
  <c r="P452" i="9" s="1"/>
  <c r="O76" i="9"/>
  <c r="O452" i="9" s="1"/>
  <c r="N76" i="9"/>
  <c r="N452" i="9" s="1"/>
  <c r="M76" i="9"/>
  <c r="M452" i="9" s="1"/>
  <c r="L76" i="9"/>
  <c r="L452" i="9" s="1"/>
  <c r="K76" i="9"/>
  <c r="G76" i="9"/>
  <c r="F76" i="9"/>
  <c r="E76" i="9"/>
  <c r="P75" i="9"/>
  <c r="P451" i="9" s="1"/>
  <c r="O75" i="9"/>
  <c r="O451" i="9" s="1"/>
  <c r="N75" i="9"/>
  <c r="N451" i="9" s="1"/>
  <c r="M75" i="9"/>
  <c r="M451" i="9" s="1"/>
  <c r="L75" i="9"/>
  <c r="L451" i="9" s="1"/>
  <c r="K75" i="9"/>
  <c r="G75" i="9"/>
  <c r="F75" i="9"/>
  <c r="E75" i="9"/>
  <c r="P74" i="9"/>
  <c r="P450" i="9" s="1"/>
  <c r="O74" i="9"/>
  <c r="O450" i="9" s="1"/>
  <c r="N74" i="9"/>
  <c r="N450" i="9" s="1"/>
  <c r="M74" i="9"/>
  <c r="M450" i="9" s="1"/>
  <c r="L74" i="9"/>
  <c r="L450" i="9" s="1"/>
  <c r="K74" i="9"/>
  <c r="G74" i="9"/>
  <c r="F74" i="9"/>
  <c r="E74" i="9"/>
  <c r="P73" i="9"/>
  <c r="P449" i="9" s="1"/>
  <c r="O73" i="9"/>
  <c r="O449" i="9" s="1"/>
  <c r="N73" i="9"/>
  <c r="N449" i="9" s="1"/>
  <c r="M73" i="9"/>
  <c r="M449" i="9" s="1"/>
  <c r="L73" i="9"/>
  <c r="L449" i="9" s="1"/>
  <c r="K73" i="9"/>
  <c r="G73" i="9"/>
  <c r="F73" i="9"/>
  <c r="E73" i="9"/>
  <c r="P72" i="9"/>
  <c r="P448" i="9" s="1"/>
  <c r="O72" i="9"/>
  <c r="O448" i="9" s="1"/>
  <c r="N72" i="9"/>
  <c r="N448" i="9" s="1"/>
  <c r="M72" i="9"/>
  <c r="M448" i="9" s="1"/>
  <c r="L72" i="9"/>
  <c r="L448" i="9" s="1"/>
  <c r="K72" i="9"/>
  <c r="G72" i="9"/>
  <c r="F72" i="9"/>
  <c r="E72" i="9"/>
  <c r="P71" i="9"/>
  <c r="P447" i="9" s="1"/>
  <c r="O71" i="9"/>
  <c r="O447" i="9" s="1"/>
  <c r="N71" i="9"/>
  <c r="N447" i="9" s="1"/>
  <c r="M71" i="9"/>
  <c r="M447" i="9" s="1"/>
  <c r="L71" i="9"/>
  <c r="L447" i="9" s="1"/>
  <c r="K71" i="9"/>
  <c r="G71" i="9"/>
  <c r="F71" i="9"/>
  <c r="E71" i="9"/>
  <c r="P70" i="9"/>
  <c r="P446" i="9" s="1"/>
  <c r="O70" i="9"/>
  <c r="O446" i="9" s="1"/>
  <c r="N70" i="9"/>
  <c r="N446" i="9" s="1"/>
  <c r="M70" i="9"/>
  <c r="M446" i="9" s="1"/>
  <c r="L70" i="9"/>
  <c r="L446" i="9" s="1"/>
  <c r="K70" i="9"/>
  <c r="G70" i="9"/>
  <c r="F70" i="9"/>
  <c r="E70" i="9"/>
  <c r="P69" i="9"/>
  <c r="P445" i="9" s="1"/>
  <c r="O69" i="9"/>
  <c r="O445" i="9" s="1"/>
  <c r="N69" i="9"/>
  <c r="N445" i="9" s="1"/>
  <c r="M69" i="9"/>
  <c r="M445" i="9" s="1"/>
  <c r="L69" i="9"/>
  <c r="L445" i="9" s="1"/>
  <c r="K69" i="9"/>
  <c r="G69" i="9"/>
  <c r="F69" i="9"/>
  <c r="E69" i="9"/>
  <c r="P68" i="9"/>
  <c r="P444" i="9" s="1"/>
  <c r="O68" i="9"/>
  <c r="O444" i="9" s="1"/>
  <c r="N68" i="9"/>
  <c r="N444" i="9" s="1"/>
  <c r="M68" i="9"/>
  <c r="M444" i="9" s="1"/>
  <c r="L68" i="9"/>
  <c r="L444" i="9" s="1"/>
  <c r="K68" i="9"/>
  <c r="G68" i="9"/>
  <c r="F68" i="9"/>
  <c r="E68" i="9"/>
  <c r="P67" i="9"/>
  <c r="P443" i="9" s="1"/>
  <c r="O67" i="9"/>
  <c r="O443" i="9" s="1"/>
  <c r="N67" i="9"/>
  <c r="N443" i="9" s="1"/>
  <c r="M67" i="9"/>
  <c r="M443" i="9" s="1"/>
  <c r="L67" i="9"/>
  <c r="L443" i="9" s="1"/>
  <c r="K67" i="9"/>
  <c r="G67" i="9"/>
  <c r="F67" i="9"/>
  <c r="E67" i="9"/>
  <c r="P66" i="9"/>
  <c r="P442" i="9" s="1"/>
  <c r="O66" i="9"/>
  <c r="O442" i="9" s="1"/>
  <c r="N66" i="9"/>
  <c r="N442" i="9" s="1"/>
  <c r="M66" i="9"/>
  <c r="M442" i="9" s="1"/>
  <c r="L66" i="9"/>
  <c r="L442" i="9" s="1"/>
  <c r="K66" i="9"/>
  <c r="G66" i="9"/>
  <c r="F66" i="9"/>
  <c r="E66" i="9"/>
  <c r="P65" i="9"/>
  <c r="P441" i="9" s="1"/>
  <c r="O65" i="9"/>
  <c r="O441" i="9" s="1"/>
  <c r="N65" i="9"/>
  <c r="N441" i="9" s="1"/>
  <c r="M65" i="9"/>
  <c r="M441" i="9" s="1"/>
  <c r="L65" i="9"/>
  <c r="L441" i="9" s="1"/>
  <c r="K65" i="9"/>
  <c r="G65" i="9"/>
  <c r="F65" i="9"/>
  <c r="E65" i="9"/>
  <c r="P64" i="9"/>
  <c r="P440" i="9" s="1"/>
  <c r="O64" i="9"/>
  <c r="O440" i="9" s="1"/>
  <c r="N64" i="9"/>
  <c r="N440" i="9" s="1"/>
  <c r="M64" i="9"/>
  <c r="M440" i="9" s="1"/>
  <c r="L64" i="9"/>
  <c r="L440" i="9" s="1"/>
  <c r="K64" i="9"/>
  <c r="G64" i="9"/>
  <c r="F64" i="9"/>
  <c r="E64" i="9"/>
  <c r="P63" i="9"/>
  <c r="P439" i="9" s="1"/>
  <c r="O63" i="9"/>
  <c r="O439" i="9" s="1"/>
  <c r="N63" i="9"/>
  <c r="N439" i="9" s="1"/>
  <c r="M63" i="9"/>
  <c r="M439" i="9" s="1"/>
  <c r="L63" i="9"/>
  <c r="L439" i="9" s="1"/>
  <c r="K63" i="9"/>
  <c r="G63" i="9"/>
  <c r="F63" i="9"/>
  <c r="E63" i="9"/>
  <c r="P62" i="9"/>
  <c r="P438" i="9" s="1"/>
  <c r="O62" i="9"/>
  <c r="O438" i="9" s="1"/>
  <c r="N62" i="9"/>
  <c r="N438" i="9" s="1"/>
  <c r="M62" i="9"/>
  <c r="M438" i="9" s="1"/>
  <c r="L62" i="9"/>
  <c r="L438" i="9" s="1"/>
  <c r="K62" i="9"/>
  <c r="G62" i="9"/>
  <c r="F62" i="9"/>
  <c r="E62" i="9"/>
  <c r="P61" i="9"/>
  <c r="P437" i="9" s="1"/>
  <c r="O61" i="9"/>
  <c r="O437" i="9" s="1"/>
  <c r="N61" i="9"/>
  <c r="N437" i="9" s="1"/>
  <c r="M61" i="9"/>
  <c r="M437" i="9" s="1"/>
  <c r="L61" i="9"/>
  <c r="L437" i="9" s="1"/>
  <c r="K61" i="9"/>
  <c r="G61" i="9"/>
  <c r="F61" i="9"/>
  <c r="E61" i="9"/>
  <c r="P60" i="9"/>
  <c r="P436" i="9" s="1"/>
  <c r="O60" i="9"/>
  <c r="O436" i="9" s="1"/>
  <c r="N60" i="9"/>
  <c r="N436" i="9" s="1"/>
  <c r="M60" i="9"/>
  <c r="M436" i="9" s="1"/>
  <c r="L60" i="9"/>
  <c r="L436" i="9" s="1"/>
  <c r="K60" i="9"/>
  <c r="G60" i="9"/>
  <c r="F60" i="9"/>
  <c r="E60" i="9"/>
  <c r="P59" i="9"/>
  <c r="P435" i="9" s="1"/>
  <c r="O59" i="9"/>
  <c r="O435" i="9" s="1"/>
  <c r="N59" i="9"/>
  <c r="N435" i="9" s="1"/>
  <c r="M59" i="9"/>
  <c r="M435" i="9" s="1"/>
  <c r="L59" i="9"/>
  <c r="L435" i="9" s="1"/>
  <c r="K59" i="9"/>
  <c r="G59" i="9"/>
  <c r="F59" i="9"/>
  <c r="E59" i="9"/>
  <c r="P58" i="9"/>
  <c r="P434" i="9" s="1"/>
  <c r="O58" i="9"/>
  <c r="O434" i="9" s="1"/>
  <c r="N58" i="9"/>
  <c r="N434" i="9" s="1"/>
  <c r="M58" i="9"/>
  <c r="M434" i="9" s="1"/>
  <c r="L58" i="9"/>
  <c r="L434" i="9" s="1"/>
  <c r="K58" i="9"/>
  <c r="G58" i="9"/>
  <c r="F58" i="9"/>
  <c r="E58" i="9"/>
  <c r="P57" i="9"/>
  <c r="P433" i="9" s="1"/>
  <c r="O57" i="9"/>
  <c r="O433" i="9" s="1"/>
  <c r="N57" i="9"/>
  <c r="N433" i="9" s="1"/>
  <c r="M57" i="9"/>
  <c r="M433" i="9" s="1"/>
  <c r="L57" i="9"/>
  <c r="L433" i="9" s="1"/>
  <c r="K57" i="9"/>
  <c r="G57" i="9"/>
  <c r="F57" i="9"/>
  <c r="E57" i="9"/>
  <c r="P56" i="9"/>
  <c r="P432" i="9" s="1"/>
  <c r="O56" i="9"/>
  <c r="O432" i="9" s="1"/>
  <c r="N56" i="9"/>
  <c r="N432" i="9" s="1"/>
  <c r="M56" i="9"/>
  <c r="M432" i="9" s="1"/>
  <c r="L56" i="9"/>
  <c r="L432" i="9" s="1"/>
  <c r="K56" i="9"/>
  <c r="G56" i="9"/>
  <c r="F56" i="9"/>
  <c r="E56" i="9"/>
  <c r="P55" i="9"/>
  <c r="P431" i="9" s="1"/>
  <c r="O55" i="9"/>
  <c r="O431" i="9" s="1"/>
  <c r="N55" i="9"/>
  <c r="N431" i="9" s="1"/>
  <c r="M55" i="9"/>
  <c r="M431" i="9" s="1"/>
  <c r="L55" i="9"/>
  <c r="L431" i="9" s="1"/>
  <c r="K55" i="9"/>
  <c r="G55" i="9"/>
  <c r="F55" i="9"/>
  <c r="E55" i="9"/>
  <c r="P54" i="9"/>
  <c r="P430" i="9" s="1"/>
  <c r="O54" i="9"/>
  <c r="O430" i="9" s="1"/>
  <c r="N54" i="9"/>
  <c r="N430" i="9" s="1"/>
  <c r="M54" i="9"/>
  <c r="M430" i="9" s="1"/>
  <c r="L54" i="9"/>
  <c r="L430" i="9" s="1"/>
  <c r="K54" i="9"/>
  <c r="G54" i="9"/>
  <c r="F54" i="9"/>
  <c r="E54" i="9"/>
  <c r="P53" i="9"/>
  <c r="P429" i="9" s="1"/>
  <c r="O53" i="9"/>
  <c r="O429" i="9" s="1"/>
  <c r="N53" i="9"/>
  <c r="N429" i="9" s="1"/>
  <c r="M53" i="9"/>
  <c r="M429" i="9" s="1"/>
  <c r="L53" i="9"/>
  <c r="L429" i="9" s="1"/>
  <c r="K53" i="9"/>
  <c r="G53" i="9"/>
  <c r="F53" i="9"/>
  <c r="E53" i="9"/>
  <c r="P52" i="9"/>
  <c r="P428" i="9" s="1"/>
  <c r="O52" i="9"/>
  <c r="O428" i="9" s="1"/>
  <c r="N52" i="9"/>
  <c r="N428" i="9" s="1"/>
  <c r="M52" i="9"/>
  <c r="M428" i="9" s="1"/>
  <c r="L52" i="9"/>
  <c r="L428" i="9" s="1"/>
  <c r="K52" i="9"/>
  <c r="G52" i="9"/>
  <c r="F52" i="9"/>
  <c r="E52" i="9"/>
  <c r="P51" i="9"/>
  <c r="P427" i="9" s="1"/>
  <c r="O51" i="9"/>
  <c r="O427" i="9" s="1"/>
  <c r="N51" i="9"/>
  <c r="N427" i="9" s="1"/>
  <c r="M51" i="9"/>
  <c r="M427" i="9" s="1"/>
  <c r="L51" i="9"/>
  <c r="L427" i="9" s="1"/>
  <c r="K51" i="9"/>
  <c r="G51" i="9"/>
  <c r="F51" i="9"/>
  <c r="E51" i="9"/>
  <c r="P50" i="9"/>
  <c r="P426" i="9" s="1"/>
  <c r="O50" i="9"/>
  <c r="O426" i="9" s="1"/>
  <c r="N50" i="9"/>
  <c r="N426" i="9" s="1"/>
  <c r="M50" i="9"/>
  <c r="M426" i="9" s="1"/>
  <c r="L50" i="9"/>
  <c r="L426" i="9" s="1"/>
  <c r="K50" i="9"/>
  <c r="G50" i="9"/>
  <c r="F50" i="9"/>
  <c r="E50" i="9"/>
  <c r="P49" i="9"/>
  <c r="P425" i="9" s="1"/>
  <c r="O49" i="9"/>
  <c r="O425" i="9" s="1"/>
  <c r="N49" i="9"/>
  <c r="N425" i="9" s="1"/>
  <c r="M49" i="9"/>
  <c r="M425" i="9" s="1"/>
  <c r="L49" i="9"/>
  <c r="L425" i="9" s="1"/>
  <c r="K49" i="9"/>
  <c r="G49" i="9"/>
  <c r="F49" i="9"/>
  <c r="E49" i="9"/>
  <c r="P48" i="9"/>
  <c r="P424" i="9" s="1"/>
  <c r="O48" i="9"/>
  <c r="O424" i="9" s="1"/>
  <c r="N48" i="9"/>
  <c r="N424" i="9" s="1"/>
  <c r="M48" i="9"/>
  <c r="M424" i="9" s="1"/>
  <c r="L48" i="9"/>
  <c r="L424" i="9" s="1"/>
  <c r="K48" i="9"/>
  <c r="G48" i="9"/>
  <c r="F48" i="9"/>
  <c r="E48" i="9"/>
  <c r="P47" i="9"/>
  <c r="P423" i="9" s="1"/>
  <c r="O47" i="9"/>
  <c r="O423" i="9" s="1"/>
  <c r="N47" i="9"/>
  <c r="N423" i="9" s="1"/>
  <c r="M47" i="9"/>
  <c r="M423" i="9" s="1"/>
  <c r="L47" i="9"/>
  <c r="L423" i="9" s="1"/>
  <c r="K47" i="9"/>
  <c r="G47" i="9"/>
  <c r="F47" i="9"/>
  <c r="E47" i="9"/>
  <c r="P46" i="9"/>
  <c r="P422" i="9" s="1"/>
  <c r="O46" i="9"/>
  <c r="O422" i="9" s="1"/>
  <c r="N46" i="9"/>
  <c r="N422" i="9" s="1"/>
  <c r="M46" i="9"/>
  <c r="M422" i="9" s="1"/>
  <c r="L46" i="9"/>
  <c r="L422" i="9" s="1"/>
  <c r="K46" i="9"/>
  <c r="G46" i="9"/>
  <c r="F46" i="9"/>
  <c r="E46" i="9"/>
  <c r="P45" i="9"/>
  <c r="P421" i="9" s="1"/>
  <c r="O45" i="9"/>
  <c r="O421" i="9" s="1"/>
  <c r="N45" i="9"/>
  <c r="N421" i="9" s="1"/>
  <c r="M45" i="9"/>
  <c r="M421" i="9" s="1"/>
  <c r="L45" i="9"/>
  <c r="L421" i="9" s="1"/>
  <c r="K45" i="9"/>
  <c r="G45" i="9"/>
  <c r="F45" i="9"/>
  <c r="E45" i="9"/>
  <c r="P44" i="9"/>
  <c r="P420" i="9" s="1"/>
  <c r="O44" i="9"/>
  <c r="O420" i="9" s="1"/>
  <c r="N44" i="9"/>
  <c r="N420" i="9" s="1"/>
  <c r="M44" i="9"/>
  <c r="M420" i="9" s="1"/>
  <c r="L44" i="9"/>
  <c r="L420" i="9" s="1"/>
  <c r="K44" i="9"/>
  <c r="G44" i="9"/>
  <c r="F44" i="9"/>
  <c r="E44" i="9"/>
  <c r="P43" i="9"/>
  <c r="P419" i="9" s="1"/>
  <c r="O43" i="9"/>
  <c r="O419" i="9" s="1"/>
  <c r="N43" i="9"/>
  <c r="N419" i="9" s="1"/>
  <c r="M43" i="9"/>
  <c r="M419" i="9" s="1"/>
  <c r="L43" i="9"/>
  <c r="L419" i="9" s="1"/>
  <c r="K43" i="9"/>
  <c r="G43" i="9"/>
  <c r="F43" i="9"/>
  <c r="E43" i="9"/>
  <c r="P42" i="9"/>
  <c r="P418" i="9" s="1"/>
  <c r="O42" i="9"/>
  <c r="O418" i="9" s="1"/>
  <c r="N42" i="9"/>
  <c r="N418" i="9" s="1"/>
  <c r="M42" i="9"/>
  <c r="M418" i="9" s="1"/>
  <c r="L42" i="9"/>
  <c r="L418" i="9" s="1"/>
  <c r="K42" i="9"/>
  <c r="G42" i="9"/>
  <c r="F42" i="9"/>
  <c r="E42" i="9"/>
  <c r="P41" i="9"/>
  <c r="P417" i="9" s="1"/>
  <c r="O41" i="9"/>
  <c r="O417" i="9" s="1"/>
  <c r="N41" i="9"/>
  <c r="N417" i="9" s="1"/>
  <c r="M41" i="9"/>
  <c r="M417" i="9" s="1"/>
  <c r="L41" i="9"/>
  <c r="L417" i="9" s="1"/>
  <c r="K41" i="9"/>
  <c r="G41" i="9"/>
  <c r="F41" i="9"/>
  <c r="E41" i="9"/>
  <c r="P40" i="9"/>
  <c r="P416" i="9" s="1"/>
  <c r="O40" i="9"/>
  <c r="O416" i="9" s="1"/>
  <c r="N40" i="9"/>
  <c r="N416" i="9" s="1"/>
  <c r="M40" i="9"/>
  <c r="M416" i="9" s="1"/>
  <c r="L40" i="9"/>
  <c r="L416" i="9" s="1"/>
  <c r="K40" i="9"/>
  <c r="G40" i="9"/>
  <c r="F40" i="9"/>
  <c r="E40" i="9"/>
  <c r="P39" i="9"/>
  <c r="P415" i="9" s="1"/>
  <c r="O39" i="9"/>
  <c r="O415" i="9" s="1"/>
  <c r="N39" i="9"/>
  <c r="N415" i="9" s="1"/>
  <c r="M39" i="9"/>
  <c r="M415" i="9" s="1"/>
  <c r="L39" i="9"/>
  <c r="L415" i="9" s="1"/>
  <c r="K39" i="9"/>
  <c r="G39" i="9"/>
  <c r="F39" i="9"/>
  <c r="E39" i="9"/>
  <c r="P38" i="9"/>
  <c r="P414" i="9" s="1"/>
  <c r="O38" i="9"/>
  <c r="O414" i="9" s="1"/>
  <c r="N38" i="9"/>
  <c r="N414" i="9" s="1"/>
  <c r="M38" i="9"/>
  <c r="M414" i="9" s="1"/>
  <c r="L38" i="9"/>
  <c r="L414" i="9" s="1"/>
  <c r="K38" i="9"/>
  <c r="G38" i="9"/>
  <c r="F38" i="9"/>
  <c r="E38" i="9"/>
  <c r="P37" i="9"/>
  <c r="P413" i="9" s="1"/>
  <c r="O37" i="9"/>
  <c r="O413" i="9" s="1"/>
  <c r="N37" i="9"/>
  <c r="N413" i="9" s="1"/>
  <c r="M37" i="9"/>
  <c r="M413" i="9" s="1"/>
  <c r="L37" i="9"/>
  <c r="L413" i="9" s="1"/>
  <c r="K37" i="9"/>
  <c r="G37" i="9"/>
  <c r="F37" i="9"/>
  <c r="E37" i="9"/>
  <c r="P36" i="9"/>
  <c r="P412" i="9" s="1"/>
  <c r="O36" i="9"/>
  <c r="O412" i="9" s="1"/>
  <c r="N36" i="9"/>
  <c r="N412" i="9" s="1"/>
  <c r="M36" i="9"/>
  <c r="M412" i="9" s="1"/>
  <c r="L36" i="9"/>
  <c r="L412" i="9" s="1"/>
  <c r="K36" i="9"/>
  <c r="G36" i="9"/>
  <c r="F36" i="9"/>
  <c r="E36" i="9"/>
  <c r="P35" i="9"/>
  <c r="P411" i="9" s="1"/>
  <c r="O35" i="9"/>
  <c r="O411" i="9" s="1"/>
  <c r="N35" i="9"/>
  <c r="N411" i="9" s="1"/>
  <c r="M35" i="9"/>
  <c r="M411" i="9" s="1"/>
  <c r="L35" i="9"/>
  <c r="L411" i="9" s="1"/>
  <c r="K35" i="9"/>
  <c r="G35" i="9"/>
  <c r="F35" i="9"/>
  <c r="E35" i="9"/>
  <c r="P34" i="9"/>
  <c r="P410" i="9" s="1"/>
  <c r="O34" i="9"/>
  <c r="O410" i="9" s="1"/>
  <c r="N34" i="9"/>
  <c r="N410" i="9" s="1"/>
  <c r="M34" i="9"/>
  <c r="M410" i="9" s="1"/>
  <c r="L34" i="9"/>
  <c r="L410" i="9" s="1"/>
  <c r="K34" i="9"/>
  <c r="G34" i="9"/>
  <c r="F34" i="9"/>
  <c r="E34" i="9"/>
  <c r="P33" i="9"/>
  <c r="P409" i="9" s="1"/>
  <c r="O33" i="9"/>
  <c r="O409" i="9" s="1"/>
  <c r="N33" i="9"/>
  <c r="N409" i="9" s="1"/>
  <c r="M33" i="9"/>
  <c r="M409" i="9" s="1"/>
  <c r="L33" i="9"/>
  <c r="L409" i="9" s="1"/>
  <c r="K33" i="9"/>
  <c r="G33" i="9"/>
  <c r="F33" i="9"/>
  <c r="E33" i="9"/>
  <c r="P32" i="9"/>
  <c r="P408" i="9" s="1"/>
  <c r="O32" i="9"/>
  <c r="O408" i="9" s="1"/>
  <c r="N32" i="9"/>
  <c r="N408" i="9" s="1"/>
  <c r="M32" i="9"/>
  <c r="M408" i="9" s="1"/>
  <c r="L32" i="9"/>
  <c r="L408" i="9" s="1"/>
  <c r="K32" i="9"/>
  <c r="G32" i="9"/>
  <c r="F32" i="9"/>
  <c r="E32" i="9"/>
  <c r="P31" i="9"/>
  <c r="P407" i="9" s="1"/>
  <c r="O31" i="9"/>
  <c r="O407" i="9" s="1"/>
  <c r="N31" i="9"/>
  <c r="N407" i="9" s="1"/>
  <c r="M31" i="9"/>
  <c r="M407" i="9" s="1"/>
  <c r="L31" i="9"/>
  <c r="L407" i="9" s="1"/>
  <c r="K31" i="9"/>
  <c r="G31" i="9"/>
  <c r="F31" i="9"/>
  <c r="E31" i="9"/>
  <c r="P30" i="9"/>
  <c r="P406" i="9" s="1"/>
  <c r="O30" i="9"/>
  <c r="O406" i="9" s="1"/>
  <c r="N30" i="9"/>
  <c r="N406" i="9" s="1"/>
  <c r="M30" i="9"/>
  <c r="M406" i="9" s="1"/>
  <c r="L30" i="9"/>
  <c r="L406" i="9" s="1"/>
  <c r="K30" i="9"/>
  <c r="G30" i="9"/>
  <c r="F30" i="9"/>
  <c r="E30" i="9"/>
  <c r="P29" i="9"/>
  <c r="P405" i="9" s="1"/>
  <c r="O29" i="9"/>
  <c r="O405" i="9" s="1"/>
  <c r="N29" i="9"/>
  <c r="N405" i="9" s="1"/>
  <c r="M29" i="9"/>
  <c r="M405" i="9" s="1"/>
  <c r="L29" i="9"/>
  <c r="L405" i="9" s="1"/>
  <c r="K29" i="9"/>
  <c r="G29" i="9"/>
  <c r="F29" i="9"/>
  <c r="E29" i="9"/>
  <c r="P28" i="9"/>
  <c r="P404" i="9" s="1"/>
  <c r="O28" i="9"/>
  <c r="O404" i="9" s="1"/>
  <c r="N28" i="9"/>
  <c r="N404" i="9" s="1"/>
  <c r="M28" i="9"/>
  <c r="M404" i="9" s="1"/>
  <c r="L28" i="9"/>
  <c r="L404" i="9" s="1"/>
  <c r="K28" i="9"/>
  <c r="G28" i="9"/>
  <c r="F28" i="9"/>
  <c r="E28" i="9"/>
  <c r="P27" i="9"/>
  <c r="P403" i="9" s="1"/>
  <c r="O27" i="9"/>
  <c r="O403" i="9" s="1"/>
  <c r="N27" i="9"/>
  <c r="N403" i="9" s="1"/>
  <c r="M27" i="9"/>
  <c r="M403" i="9" s="1"/>
  <c r="L27" i="9"/>
  <c r="L403" i="9" s="1"/>
  <c r="K27" i="9"/>
  <c r="G27" i="9"/>
  <c r="F27" i="9"/>
  <c r="E27" i="9"/>
  <c r="P26" i="9"/>
  <c r="P402" i="9" s="1"/>
  <c r="O26" i="9"/>
  <c r="O402" i="9" s="1"/>
  <c r="N26" i="9"/>
  <c r="N402" i="9" s="1"/>
  <c r="M26" i="9"/>
  <c r="M402" i="9" s="1"/>
  <c r="L26" i="9"/>
  <c r="L402" i="9" s="1"/>
  <c r="K26" i="9"/>
  <c r="G26" i="9"/>
  <c r="F26" i="9"/>
  <c r="E26" i="9"/>
  <c r="P25" i="9"/>
  <c r="P401" i="9" s="1"/>
  <c r="O25" i="9"/>
  <c r="O401" i="9" s="1"/>
  <c r="N25" i="9"/>
  <c r="N401" i="9" s="1"/>
  <c r="M25" i="9"/>
  <c r="M401" i="9" s="1"/>
  <c r="L25" i="9"/>
  <c r="L401" i="9" s="1"/>
  <c r="K25" i="9"/>
  <c r="G25" i="9"/>
  <c r="F25" i="9"/>
  <c r="E25" i="9"/>
  <c r="P24" i="9"/>
  <c r="P400" i="9" s="1"/>
  <c r="O24" i="9"/>
  <c r="O400" i="9" s="1"/>
  <c r="N24" i="9"/>
  <c r="N400" i="9" s="1"/>
  <c r="M24" i="9"/>
  <c r="M400" i="9" s="1"/>
  <c r="L24" i="9"/>
  <c r="L400" i="9" s="1"/>
  <c r="K24" i="9"/>
  <c r="G24" i="9"/>
  <c r="F24" i="9"/>
  <c r="E24" i="9"/>
  <c r="P23" i="9"/>
  <c r="P399" i="9" s="1"/>
  <c r="O23" i="9"/>
  <c r="O399" i="9" s="1"/>
  <c r="N23" i="9"/>
  <c r="N399" i="9" s="1"/>
  <c r="M23" i="9"/>
  <c r="M399" i="9" s="1"/>
  <c r="L23" i="9"/>
  <c r="L399" i="9" s="1"/>
  <c r="K23" i="9"/>
  <c r="G23" i="9"/>
  <c r="F23" i="9"/>
  <c r="E23" i="9"/>
  <c r="P22" i="9"/>
  <c r="P398" i="9" s="1"/>
  <c r="O22" i="9"/>
  <c r="O398" i="9" s="1"/>
  <c r="N22" i="9"/>
  <c r="N398" i="9" s="1"/>
  <c r="M22" i="9"/>
  <c r="M398" i="9" s="1"/>
  <c r="L22" i="9"/>
  <c r="L398" i="9" s="1"/>
  <c r="K22" i="9"/>
  <c r="G22" i="9"/>
  <c r="F22" i="9"/>
  <c r="E22" i="9"/>
  <c r="P21" i="9"/>
  <c r="P397" i="9" s="1"/>
  <c r="O21" i="9"/>
  <c r="O397" i="9" s="1"/>
  <c r="N21" i="9"/>
  <c r="N397" i="9" s="1"/>
  <c r="M21" i="9"/>
  <c r="M397" i="9" s="1"/>
  <c r="L21" i="9"/>
  <c r="L397" i="9" s="1"/>
  <c r="K21" i="9"/>
  <c r="G21" i="9"/>
  <c r="F21" i="9"/>
  <c r="E21" i="9"/>
  <c r="P20" i="9"/>
  <c r="P396" i="9" s="1"/>
  <c r="O20" i="9"/>
  <c r="O396" i="9" s="1"/>
  <c r="N20" i="9"/>
  <c r="N396" i="9" s="1"/>
  <c r="M20" i="9"/>
  <c r="M396" i="9" s="1"/>
  <c r="L20" i="9"/>
  <c r="L396" i="9" s="1"/>
  <c r="K20" i="9"/>
  <c r="G20" i="9"/>
  <c r="F20" i="9"/>
  <c r="E20" i="9"/>
  <c r="P19" i="9"/>
  <c r="P395" i="9" s="1"/>
  <c r="O19" i="9"/>
  <c r="O395" i="9" s="1"/>
  <c r="N19" i="9"/>
  <c r="N395" i="9" s="1"/>
  <c r="M19" i="9"/>
  <c r="M395" i="9" s="1"/>
  <c r="L19" i="9"/>
  <c r="L395" i="9" s="1"/>
  <c r="K19" i="9"/>
  <c r="G19" i="9"/>
  <c r="F19" i="9"/>
  <c r="E19" i="9"/>
  <c r="P18" i="9"/>
  <c r="P394" i="9" s="1"/>
  <c r="O18" i="9"/>
  <c r="O394" i="9" s="1"/>
  <c r="N18" i="9"/>
  <c r="N394" i="9" s="1"/>
  <c r="M18" i="9"/>
  <c r="M394" i="9" s="1"/>
  <c r="L18" i="9"/>
  <c r="L394" i="9" s="1"/>
  <c r="K18" i="9"/>
  <c r="G18" i="9"/>
  <c r="F18" i="9"/>
  <c r="E18" i="9"/>
  <c r="P17" i="9"/>
  <c r="P393" i="9" s="1"/>
  <c r="O17" i="9"/>
  <c r="O393" i="9" s="1"/>
  <c r="N17" i="9"/>
  <c r="N393" i="9" s="1"/>
  <c r="M17" i="9"/>
  <c r="M393" i="9" s="1"/>
  <c r="L17" i="9"/>
  <c r="L393" i="9" s="1"/>
  <c r="K17" i="9"/>
  <c r="G17" i="9"/>
  <c r="F17" i="9"/>
  <c r="E17" i="9"/>
  <c r="P16" i="9"/>
  <c r="P392" i="9" s="1"/>
  <c r="O16" i="9"/>
  <c r="O392" i="9" s="1"/>
  <c r="N16" i="9"/>
  <c r="N392" i="9" s="1"/>
  <c r="M16" i="9"/>
  <c r="M392" i="9" s="1"/>
  <c r="L16" i="9"/>
  <c r="L392" i="9" s="1"/>
  <c r="K16" i="9"/>
  <c r="G16" i="9"/>
  <c r="F16" i="9"/>
  <c r="E16" i="9"/>
  <c r="P15" i="9"/>
  <c r="P391" i="9" s="1"/>
  <c r="O15" i="9"/>
  <c r="O391" i="9" s="1"/>
  <c r="N15" i="9"/>
  <c r="N391" i="9" s="1"/>
  <c r="M15" i="9"/>
  <c r="M391" i="9" s="1"/>
  <c r="L15" i="9"/>
  <c r="L391" i="9" s="1"/>
  <c r="K15" i="9"/>
  <c r="G15" i="9"/>
  <c r="F15" i="9"/>
  <c r="E15" i="9"/>
  <c r="P14" i="9"/>
  <c r="P390" i="9" s="1"/>
  <c r="O14" i="9"/>
  <c r="O390" i="9" s="1"/>
  <c r="N14" i="9"/>
  <c r="N390" i="9" s="1"/>
  <c r="M14" i="9"/>
  <c r="M390" i="9" s="1"/>
  <c r="L14" i="9"/>
  <c r="L390" i="9" s="1"/>
  <c r="K14" i="9"/>
  <c r="G14" i="9"/>
  <c r="F14" i="9"/>
  <c r="E14" i="9"/>
  <c r="P13" i="9"/>
  <c r="P389" i="9" s="1"/>
  <c r="O13" i="9"/>
  <c r="O389" i="9" s="1"/>
  <c r="N13" i="9"/>
  <c r="N389" i="9" s="1"/>
  <c r="M13" i="9"/>
  <c r="M389" i="9" s="1"/>
  <c r="L13" i="9"/>
  <c r="L389" i="9" s="1"/>
  <c r="K13" i="9"/>
  <c r="G13" i="9"/>
  <c r="F13" i="9"/>
  <c r="E13" i="9"/>
  <c r="P12" i="9"/>
  <c r="P388" i="9" s="1"/>
  <c r="O12" i="9"/>
  <c r="O388" i="9" s="1"/>
  <c r="N12" i="9"/>
  <c r="N388" i="9" s="1"/>
  <c r="M12" i="9"/>
  <c r="M388" i="9" s="1"/>
  <c r="L12" i="9"/>
  <c r="L388" i="9" s="1"/>
  <c r="K12" i="9"/>
  <c r="G12" i="9"/>
  <c r="F12" i="9"/>
  <c r="E12" i="9"/>
  <c r="P11" i="9"/>
  <c r="P387" i="9" s="1"/>
  <c r="O11" i="9"/>
  <c r="O387" i="9" s="1"/>
  <c r="N11" i="9"/>
  <c r="N387" i="9" s="1"/>
  <c r="M11" i="9"/>
  <c r="M387" i="9" s="1"/>
  <c r="L11" i="9"/>
  <c r="L387" i="9" s="1"/>
  <c r="K11" i="9"/>
  <c r="G11" i="9"/>
  <c r="F11" i="9"/>
  <c r="E11" i="9"/>
  <c r="P10" i="9"/>
  <c r="P386" i="9" s="1"/>
  <c r="O10" i="9"/>
  <c r="O386" i="9" s="1"/>
  <c r="N10" i="9"/>
  <c r="N386" i="9" s="1"/>
  <c r="M10" i="9"/>
  <c r="M386" i="9" s="1"/>
  <c r="L10" i="9"/>
  <c r="L386" i="9" s="1"/>
  <c r="K10" i="9"/>
  <c r="G10" i="9"/>
  <c r="F10" i="9"/>
  <c r="E10" i="9"/>
  <c r="P9" i="9"/>
  <c r="P385" i="9" s="1"/>
  <c r="O9" i="9"/>
  <c r="O385" i="9" s="1"/>
  <c r="N9" i="9"/>
  <c r="N385" i="9" s="1"/>
  <c r="M9" i="9"/>
  <c r="M385" i="9" s="1"/>
  <c r="L9" i="9"/>
  <c r="L385" i="9" s="1"/>
  <c r="K9" i="9"/>
  <c r="G9" i="9"/>
  <c r="F9" i="9"/>
  <c r="E9" i="9"/>
  <c r="P8" i="9"/>
  <c r="P384" i="9" s="1"/>
  <c r="O8" i="9"/>
  <c r="O384" i="9" s="1"/>
  <c r="N8" i="9"/>
  <c r="N384" i="9" s="1"/>
  <c r="M8" i="9"/>
  <c r="M384" i="9" s="1"/>
  <c r="L8" i="9"/>
  <c r="L384" i="9" s="1"/>
  <c r="K8" i="9"/>
  <c r="G8" i="9"/>
  <c r="F8" i="9"/>
  <c r="E8" i="9"/>
  <c r="P7" i="9"/>
  <c r="P383" i="9" s="1"/>
  <c r="O7" i="9"/>
  <c r="O383" i="9" s="1"/>
  <c r="N7" i="9"/>
  <c r="N383" i="9" s="1"/>
  <c r="M7" i="9"/>
  <c r="M383" i="9" s="1"/>
  <c r="L7" i="9"/>
  <c r="L383" i="9" s="1"/>
  <c r="K7" i="9"/>
  <c r="G7" i="9"/>
  <c r="F7" i="9"/>
  <c r="E7" i="9"/>
  <c r="P6" i="9"/>
  <c r="P382" i="9" s="1"/>
  <c r="O6" i="9"/>
  <c r="O382" i="9" s="1"/>
  <c r="N6" i="9"/>
  <c r="N382" i="9" s="1"/>
  <c r="M6" i="9"/>
  <c r="M382" i="9" s="1"/>
  <c r="L6" i="9"/>
  <c r="L382" i="9" s="1"/>
  <c r="K6" i="9"/>
  <c r="G6" i="9"/>
  <c r="F6" i="9"/>
  <c r="E6" i="9"/>
  <c r="K211" i="8"/>
  <c r="S210" i="8" s="1"/>
  <c r="J211" i="8"/>
  <c r="R210" i="8" s="1"/>
  <c r="I211" i="8"/>
  <c r="Q210" i="8"/>
  <c r="K210" i="8"/>
  <c r="S209" i="8" s="1"/>
  <c r="J210" i="8"/>
  <c r="I210" i="8"/>
  <c r="Q209" i="8" s="1"/>
  <c r="R209" i="8"/>
  <c r="K209" i="8"/>
  <c r="S208" i="8" s="1"/>
  <c r="J209" i="8"/>
  <c r="I209" i="8"/>
  <c r="Q208" i="8" s="1"/>
  <c r="R208" i="8"/>
  <c r="K208" i="8"/>
  <c r="J208" i="8"/>
  <c r="I208" i="8"/>
  <c r="Q207" i="8" s="1"/>
  <c r="S207" i="8"/>
  <c r="R207" i="8"/>
  <c r="K207" i="8"/>
  <c r="S206" i="8" s="1"/>
  <c r="J207" i="8"/>
  <c r="R206" i="8" s="1"/>
  <c r="I207" i="8"/>
  <c r="Q206" i="8"/>
  <c r="K206" i="8"/>
  <c r="S205" i="8" s="1"/>
  <c r="J206" i="8"/>
  <c r="R205" i="8" s="1"/>
  <c r="I206" i="8"/>
  <c r="Q205" i="8" s="1"/>
  <c r="K205" i="8"/>
  <c r="S204" i="8" s="1"/>
  <c r="J205" i="8"/>
  <c r="I205" i="8"/>
  <c r="R204" i="8"/>
  <c r="Q204" i="8"/>
  <c r="K204" i="8"/>
  <c r="S203" i="8" s="1"/>
  <c r="J204" i="8"/>
  <c r="R203" i="8" s="1"/>
  <c r="I204" i="8"/>
  <c r="Q203" i="8" s="1"/>
  <c r="K203" i="8"/>
  <c r="S202" i="8" s="1"/>
  <c r="J203" i="8"/>
  <c r="I203" i="8"/>
  <c r="R202" i="8"/>
  <c r="Q202" i="8"/>
  <c r="K202" i="8"/>
  <c r="S201" i="8" s="1"/>
  <c r="J202" i="8"/>
  <c r="R201" i="8" s="1"/>
  <c r="I202" i="8"/>
  <c r="Q201" i="8" s="1"/>
  <c r="K201" i="8"/>
  <c r="S200" i="8" s="1"/>
  <c r="J201" i="8"/>
  <c r="R200" i="8" s="1"/>
  <c r="I201" i="8"/>
  <c r="Q200" i="8" s="1"/>
  <c r="K200" i="8"/>
  <c r="J200" i="8"/>
  <c r="I200" i="8"/>
  <c r="Q199" i="8" s="1"/>
  <c r="S199" i="8"/>
  <c r="R199" i="8"/>
  <c r="K199" i="8"/>
  <c r="J199" i="8"/>
  <c r="R198" i="8" s="1"/>
  <c r="I199" i="8"/>
  <c r="Q198" i="8" s="1"/>
  <c r="S198" i="8"/>
  <c r="K198" i="8"/>
  <c r="S197" i="8" s="1"/>
  <c r="J198" i="8"/>
  <c r="I198" i="8"/>
  <c r="Q197" i="8" s="1"/>
  <c r="R197" i="8"/>
  <c r="K197" i="8"/>
  <c r="S196" i="8" s="1"/>
  <c r="J197" i="8"/>
  <c r="R196" i="8" s="1"/>
  <c r="I197" i="8"/>
  <c r="Q196" i="8"/>
  <c r="K196" i="8"/>
  <c r="J196" i="8"/>
  <c r="R195" i="8" s="1"/>
  <c r="I196" i="8"/>
  <c r="Q195" i="8" s="1"/>
  <c r="S195" i="8"/>
  <c r="K195" i="8"/>
  <c r="S194" i="8" s="1"/>
  <c r="J195" i="8"/>
  <c r="R194" i="8" s="1"/>
  <c r="I195" i="8"/>
  <c r="Q194" i="8" s="1"/>
  <c r="K194" i="8"/>
  <c r="S193" i="8" s="1"/>
  <c r="J194" i="8"/>
  <c r="R193" i="8" s="1"/>
  <c r="I194" i="8"/>
  <c r="Q193" i="8" s="1"/>
  <c r="K193" i="8"/>
  <c r="S192" i="8" s="1"/>
  <c r="J193" i="8"/>
  <c r="R192" i="8" s="1"/>
  <c r="I193" i="8"/>
  <c r="Q192" i="8"/>
  <c r="K192" i="8"/>
  <c r="S191" i="8" s="1"/>
  <c r="J192" i="8"/>
  <c r="R191" i="8" s="1"/>
  <c r="I192" i="8"/>
  <c r="Q191" i="8" s="1"/>
  <c r="K191" i="8"/>
  <c r="S190" i="8" s="1"/>
  <c r="J191" i="8"/>
  <c r="R190" i="8" s="1"/>
  <c r="I191" i="8"/>
  <c r="Q190" i="8"/>
  <c r="K190" i="8"/>
  <c r="S189" i="8" s="1"/>
  <c r="J190" i="8"/>
  <c r="R189" i="8" s="1"/>
  <c r="I190" i="8"/>
  <c r="Q189" i="8" s="1"/>
  <c r="K189" i="8"/>
  <c r="S188" i="8" s="1"/>
  <c r="J189" i="8"/>
  <c r="R188" i="8" s="1"/>
  <c r="I189" i="8"/>
  <c r="Q188" i="8"/>
  <c r="K188" i="8"/>
  <c r="S187" i="8" s="1"/>
  <c r="J188" i="8"/>
  <c r="R187" i="8" s="1"/>
  <c r="I188" i="8"/>
  <c r="Q187" i="8" s="1"/>
  <c r="K187" i="8"/>
  <c r="J187" i="8"/>
  <c r="I187" i="8"/>
  <c r="Q186" i="8" s="1"/>
  <c r="S186" i="8"/>
  <c r="R186" i="8"/>
  <c r="K186" i="8"/>
  <c r="S185" i="8" s="1"/>
  <c r="J186" i="8"/>
  <c r="R185" i="8" s="1"/>
  <c r="I186" i="8"/>
  <c r="Q185" i="8" s="1"/>
  <c r="K185" i="8"/>
  <c r="J185" i="8"/>
  <c r="I185" i="8"/>
  <c r="S184" i="8"/>
  <c r="R184" i="8"/>
  <c r="Q184" i="8"/>
  <c r="K184" i="8"/>
  <c r="S183" i="8" s="1"/>
  <c r="J184" i="8"/>
  <c r="I184" i="8"/>
  <c r="Q183" i="8" s="1"/>
  <c r="R183" i="8"/>
  <c r="K183" i="8"/>
  <c r="J183" i="8"/>
  <c r="I183" i="8"/>
  <c r="S182" i="8"/>
  <c r="R182" i="8"/>
  <c r="Q182" i="8"/>
  <c r="K182" i="8"/>
  <c r="S181" i="8" s="1"/>
  <c r="J182" i="8"/>
  <c r="R181" i="8" s="1"/>
  <c r="I182" i="8"/>
  <c r="Q181" i="8" s="1"/>
  <c r="K181" i="8"/>
  <c r="S180" i="8" s="1"/>
  <c r="J181" i="8"/>
  <c r="R180" i="8" s="1"/>
  <c r="I181" i="8"/>
  <c r="Q180" i="8" s="1"/>
  <c r="K180" i="8"/>
  <c r="J180" i="8"/>
  <c r="I180" i="8"/>
  <c r="Q179" i="8" s="1"/>
  <c r="S179" i="8"/>
  <c r="R179" i="8"/>
  <c r="K179" i="8"/>
  <c r="J179" i="8"/>
  <c r="R178" i="8" s="1"/>
  <c r="I179" i="8"/>
  <c r="Q178" i="8" s="1"/>
  <c r="S178" i="8"/>
  <c r="K178" i="8"/>
  <c r="S177" i="8" s="1"/>
  <c r="J178" i="8"/>
  <c r="I178" i="8"/>
  <c r="Q177" i="8" s="1"/>
  <c r="R177" i="8"/>
  <c r="K177" i="8"/>
  <c r="S176" i="8" s="1"/>
  <c r="J177" i="8"/>
  <c r="R176" i="8" s="1"/>
  <c r="I177" i="8"/>
  <c r="Q176" i="8"/>
  <c r="K176" i="8"/>
  <c r="S175" i="8" s="1"/>
  <c r="J176" i="8"/>
  <c r="R175" i="8" s="1"/>
  <c r="I176" i="8"/>
  <c r="Q175" i="8" s="1"/>
  <c r="K175" i="8"/>
  <c r="J175" i="8"/>
  <c r="R174" i="8" s="1"/>
  <c r="I175" i="8"/>
  <c r="S174" i="8"/>
  <c r="Q174" i="8"/>
  <c r="K174" i="8"/>
  <c r="S173" i="8" s="1"/>
  <c r="J174" i="8"/>
  <c r="R173" i="8" s="1"/>
  <c r="I174" i="8"/>
  <c r="Q173" i="8" s="1"/>
  <c r="K173" i="8"/>
  <c r="S172" i="8" s="1"/>
  <c r="J173" i="8"/>
  <c r="R172" i="8" s="1"/>
  <c r="I173" i="8"/>
  <c r="Q172" i="8" s="1"/>
  <c r="K172" i="8"/>
  <c r="J172" i="8"/>
  <c r="R171" i="8" s="1"/>
  <c r="I172" i="8"/>
  <c r="Q171" i="8" s="1"/>
  <c r="S171" i="8"/>
  <c r="K171" i="8"/>
  <c r="S170" i="8" s="1"/>
  <c r="J171" i="8"/>
  <c r="R170" i="8" s="1"/>
  <c r="I171" i="8"/>
  <c r="Q170" i="8"/>
  <c r="K170" i="8"/>
  <c r="S169" i="8" s="1"/>
  <c r="J170" i="8"/>
  <c r="I170" i="8"/>
  <c r="Q169" i="8" s="1"/>
  <c r="R169" i="8"/>
  <c r="K169" i="8"/>
  <c r="J169" i="8"/>
  <c r="R168" i="8" s="1"/>
  <c r="I169" i="8"/>
  <c r="Q168" i="8" s="1"/>
  <c r="S168" i="8"/>
  <c r="K168" i="8"/>
  <c r="J168" i="8"/>
  <c r="I168" i="8"/>
  <c r="K167" i="8"/>
  <c r="S167" i="8" s="1"/>
  <c r="J167" i="8"/>
  <c r="R167" i="8" s="1"/>
  <c r="I167" i="8"/>
  <c r="Q167" i="8" s="1"/>
  <c r="R166" i="8"/>
  <c r="K166" i="8"/>
  <c r="S166" i="8" s="1"/>
  <c r="J166" i="8"/>
  <c r="I166" i="8"/>
  <c r="Q166" i="8" s="1"/>
  <c r="R165" i="8"/>
  <c r="K165" i="8"/>
  <c r="S165" i="8" s="1"/>
  <c r="J165" i="8"/>
  <c r="I165" i="8"/>
  <c r="Q165" i="8" s="1"/>
  <c r="K164" i="8"/>
  <c r="S164" i="8" s="1"/>
  <c r="J164" i="8"/>
  <c r="R164" i="8" s="1"/>
  <c r="I164" i="8"/>
  <c r="Q164" i="8" s="1"/>
  <c r="R163" i="8"/>
  <c r="K163" i="8"/>
  <c r="S163" i="8" s="1"/>
  <c r="J163" i="8"/>
  <c r="I163" i="8"/>
  <c r="Q163" i="8" s="1"/>
  <c r="K162" i="8"/>
  <c r="S162" i="8" s="1"/>
  <c r="J162" i="8"/>
  <c r="R162" i="8" s="1"/>
  <c r="I162" i="8"/>
  <c r="Q162" i="8" s="1"/>
  <c r="K161" i="8"/>
  <c r="S161" i="8" s="1"/>
  <c r="J161" i="8"/>
  <c r="R161" i="8" s="1"/>
  <c r="I161" i="8"/>
  <c r="Q161" i="8" s="1"/>
  <c r="S160" i="8"/>
  <c r="K160" i="8"/>
  <c r="J160" i="8"/>
  <c r="R160" i="8" s="1"/>
  <c r="I160" i="8"/>
  <c r="Q160" i="8" s="1"/>
  <c r="S159" i="8"/>
  <c r="R159" i="8"/>
  <c r="K159" i="8"/>
  <c r="J159" i="8"/>
  <c r="I159" i="8"/>
  <c r="Q159" i="8" s="1"/>
  <c r="Q158" i="8"/>
  <c r="K158" i="8"/>
  <c r="S158" i="8" s="1"/>
  <c r="J158" i="8"/>
  <c r="R158" i="8" s="1"/>
  <c r="I158" i="8"/>
  <c r="S136" i="8"/>
  <c r="K136" i="8"/>
  <c r="J136" i="8"/>
  <c r="R136" i="8" s="1"/>
  <c r="I136" i="8"/>
  <c r="Q136" i="8" s="1"/>
  <c r="E136" i="8"/>
  <c r="C136" i="8"/>
  <c r="B136" i="8"/>
  <c r="D136" i="8" s="1"/>
  <c r="O136" i="8" s="1"/>
  <c r="K135" i="8"/>
  <c r="S135" i="8" s="1"/>
  <c r="J135" i="8"/>
  <c r="R135" i="8" s="1"/>
  <c r="I135" i="8"/>
  <c r="Q135" i="8" s="1"/>
  <c r="D135" i="8"/>
  <c r="O135" i="8" s="1"/>
  <c r="C135" i="8"/>
  <c r="E135" i="8" s="1"/>
  <c r="B135" i="8"/>
  <c r="K134" i="8"/>
  <c r="S134" i="8" s="1"/>
  <c r="J134" i="8"/>
  <c r="R134" i="8" s="1"/>
  <c r="I134" i="8"/>
  <c r="Q134" i="8" s="1"/>
  <c r="C134" i="8"/>
  <c r="E134" i="8" s="1"/>
  <c r="B134" i="8"/>
  <c r="D134" i="8" s="1"/>
  <c r="O134" i="8" s="1"/>
  <c r="Q133" i="8"/>
  <c r="K133" i="8"/>
  <c r="S133" i="8" s="1"/>
  <c r="J133" i="8"/>
  <c r="R133" i="8" s="1"/>
  <c r="I133" i="8"/>
  <c r="C133" i="8"/>
  <c r="E133" i="8" s="1"/>
  <c r="B133" i="8"/>
  <c r="D133" i="8" s="1"/>
  <c r="O133" i="8" s="1"/>
  <c r="Q132" i="8"/>
  <c r="K132" i="8"/>
  <c r="S132" i="8" s="1"/>
  <c r="J132" i="8"/>
  <c r="R132" i="8" s="1"/>
  <c r="I132" i="8"/>
  <c r="C132" i="8"/>
  <c r="E132" i="8" s="1"/>
  <c r="F132" i="8" s="1"/>
  <c r="N132" i="8" s="1"/>
  <c r="B132" i="8"/>
  <c r="D132" i="8" s="1"/>
  <c r="O132" i="8" s="1"/>
  <c r="K131" i="8"/>
  <c r="S131" i="8" s="1"/>
  <c r="J131" i="8"/>
  <c r="R131" i="8" s="1"/>
  <c r="I131" i="8"/>
  <c r="Q131" i="8" s="1"/>
  <c r="C131" i="8"/>
  <c r="E131" i="8" s="1"/>
  <c r="B131" i="8"/>
  <c r="D131" i="8" s="1"/>
  <c r="O131" i="8" s="1"/>
  <c r="K130" i="8"/>
  <c r="S130" i="8" s="1"/>
  <c r="J130" i="8"/>
  <c r="R130" i="8" s="1"/>
  <c r="I130" i="8"/>
  <c r="Q130" i="8" s="1"/>
  <c r="D130" i="8"/>
  <c r="O130" i="8" s="1"/>
  <c r="C130" i="8"/>
  <c r="E130" i="8" s="1"/>
  <c r="F130" i="8" s="1"/>
  <c r="N130" i="8" s="1"/>
  <c r="B130" i="8"/>
  <c r="K129" i="8"/>
  <c r="S129" i="8" s="1"/>
  <c r="J129" i="8"/>
  <c r="R129" i="8" s="1"/>
  <c r="I129" i="8"/>
  <c r="Q129" i="8" s="1"/>
  <c r="C129" i="8"/>
  <c r="E129" i="8" s="1"/>
  <c r="B129" i="8"/>
  <c r="D129" i="8" s="1"/>
  <c r="O129" i="8" s="1"/>
  <c r="S128" i="8"/>
  <c r="K128" i="8"/>
  <c r="J128" i="8"/>
  <c r="R128" i="8" s="1"/>
  <c r="I128" i="8"/>
  <c r="Q128" i="8" s="1"/>
  <c r="E128" i="8"/>
  <c r="C128" i="8"/>
  <c r="B128" i="8"/>
  <c r="D128" i="8" s="1"/>
  <c r="O128" i="8" s="1"/>
  <c r="K127" i="8"/>
  <c r="S127" i="8" s="1"/>
  <c r="J127" i="8"/>
  <c r="R127" i="8" s="1"/>
  <c r="I127" i="8"/>
  <c r="Q127" i="8" s="1"/>
  <c r="D127" i="8"/>
  <c r="O127" i="8" s="1"/>
  <c r="C127" i="8"/>
  <c r="E127" i="8" s="1"/>
  <c r="B127" i="8"/>
  <c r="K126" i="8"/>
  <c r="S126" i="8" s="1"/>
  <c r="J126" i="8"/>
  <c r="R126" i="8" s="1"/>
  <c r="I126" i="8"/>
  <c r="Q126" i="8" s="1"/>
  <c r="C126" i="8"/>
  <c r="E126" i="8" s="1"/>
  <c r="B126" i="8"/>
  <c r="D126" i="8" s="1"/>
  <c r="O126" i="8" s="1"/>
  <c r="Q125" i="8"/>
  <c r="K125" i="8"/>
  <c r="S125" i="8" s="1"/>
  <c r="J125" i="8"/>
  <c r="R125" i="8" s="1"/>
  <c r="I125" i="8"/>
  <c r="C125" i="8"/>
  <c r="E125" i="8" s="1"/>
  <c r="B125" i="8"/>
  <c r="D125" i="8" s="1"/>
  <c r="O125" i="8" s="1"/>
  <c r="Q124" i="8"/>
  <c r="K124" i="8"/>
  <c r="S124" i="8" s="1"/>
  <c r="J124" i="8"/>
  <c r="R124" i="8" s="1"/>
  <c r="I124" i="8"/>
  <c r="C124" i="8"/>
  <c r="E124" i="8" s="1"/>
  <c r="F124" i="8" s="1"/>
  <c r="N124" i="8" s="1"/>
  <c r="B124" i="8"/>
  <c r="D124" i="8" s="1"/>
  <c r="O124" i="8" s="1"/>
  <c r="K123" i="8"/>
  <c r="S123" i="8" s="1"/>
  <c r="J123" i="8"/>
  <c r="R123" i="8" s="1"/>
  <c r="I123" i="8"/>
  <c r="Q123" i="8" s="1"/>
  <c r="C123" i="8"/>
  <c r="E123" i="8" s="1"/>
  <c r="B123" i="8"/>
  <c r="D123" i="8" s="1"/>
  <c r="O123" i="8" s="1"/>
  <c r="K122" i="8"/>
  <c r="S122" i="8" s="1"/>
  <c r="J122" i="8"/>
  <c r="R122" i="8" s="1"/>
  <c r="I122" i="8"/>
  <c r="Q122" i="8" s="1"/>
  <c r="D122" i="8"/>
  <c r="O122" i="8" s="1"/>
  <c r="C122" i="8"/>
  <c r="E122" i="8" s="1"/>
  <c r="F122" i="8" s="1"/>
  <c r="N122" i="8" s="1"/>
  <c r="B122" i="8"/>
  <c r="K121" i="8"/>
  <c r="S121" i="8" s="1"/>
  <c r="J121" i="8"/>
  <c r="R121" i="8" s="1"/>
  <c r="I121" i="8"/>
  <c r="Q121" i="8" s="1"/>
  <c r="C121" i="8"/>
  <c r="E121" i="8" s="1"/>
  <c r="B121" i="8"/>
  <c r="D121" i="8" s="1"/>
  <c r="O121" i="8" s="1"/>
  <c r="S120" i="8"/>
  <c r="K120" i="8"/>
  <c r="J120" i="8"/>
  <c r="R120" i="8" s="1"/>
  <c r="I120" i="8"/>
  <c r="Q120" i="8" s="1"/>
  <c r="E120" i="8"/>
  <c r="C120" i="8"/>
  <c r="B120" i="8"/>
  <c r="D120" i="8" s="1"/>
  <c r="O120" i="8" s="1"/>
  <c r="K119" i="8"/>
  <c r="S119" i="8" s="1"/>
  <c r="J119" i="8"/>
  <c r="R119" i="8" s="1"/>
  <c r="I119" i="8"/>
  <c r="Q119" i="8" s="1"/>
  <c r="D119" i="8"/>
  <c r="O119" i="8" s="1"/>
  <c r="C119" i="8"/>
  <c r="E119" i="8" s="1"/>
  <c r="B119" i="8"/>
  <c r="K118" i="8"/>
  <c r="S118" i="8" s="1"/>
  <c r="J118" i="8"/>
  <c r="R118" i="8" s="1"/>
  <c r="I118" i="8"/>
  <c r="Q118" i="8" s="1"/>
  <c r="C118" i="8"/>
  <c r="E118" i="8" s="1"/>
  <c r="B118" i="8"/>
  <c r="D118" i="8" s="1"/>
  <c r="O118" i="8" s="1"/>
  <c r="Q117" i="8"/>
  <c r="K117" i="8"/>
  <c r="S117" i="8" s="1"/>
  <c r="J117" i="8"/>
  <c r="R117" i="8" s="1"/>
  <c r="I117" i="8"/>
  <c r="C117" i="8"/>
  <c r="E117" i="8" s="1"/>
  <c r="B117" i="8"/>
  <c r="D117" i="8" s="1"/>
  <c r="O117" i="8" s="1"/>
  <c r="Q116" i="8"/>
  <c r="K116" i="8"/>
  <c r="S116" i="8" s="1"/>
  <c r="J116" i="8"/>
  <c r="R116" i="8" s="1"/>
  <c r="I116" i="8"/>
  <c r="C116" i="8"/>
  <c r="E116" i="8" s="1"/>
  <c r="B116" i="8"/>
  <c r="D116" i="8" s="1"/>
  <c r="O116" i="8" s="1"/>
  <c r="K115" i="8"/>
  <c r="S115" i="8" s="1"/>
  <c r="J115" i="8"/>
  <c r="R115" i="8" s="1"/>
  <c r="I115" i="8"/>
  <c r="Q115" i="8" s="1"/>
  <c r="C115" i="8"/>
  <c r="E115" i="8" s="1"/>
  <c r="B115" i="8"/>
  <c r="D115" i="8" s="1"/>
  <c r="O115" i="8" s="1"/>
  <c r="K114" i="8"/>
  <c r="S114" i="8" s="1"/>
  <c r="J114" i="8"/>
  <c r="R114" i="8" s="1"/>
  <c r="I114" i="8"/>
  <c r="Q114" i="8" s="1"/>
  <c r="D114" i="8"/>
  <c r="O114" i="8" s="1"/>
  <c r="C114" i="8"/>
  <c r="E114" i="8" s="1"/>
  <c r="F114" i="8" s="1"/>
  <c r="N114" i="8" s="1"/>
  <c r="B114" i="8"/>
  <c r="K113" i="8"/>
  <c r="S113" i="8" s="1"/>
  <c r="J113" i="8"/>
  <c r="R113" i="8" s="1"/>
  <c r="I113" i="8"/>
  <c r="Q113" i="8" s="1"/>
  <c r="C113" i="8"/>
  <c r="E113" i="8" s="1"/>
  <c r="B113" i="8"/>
  <c r="D113" i="8" s="1"/>
  <c r="O113" i="8" s="1"/>
  <c r="S112" i="8"/>
  <c r="K112" i="8"/>
  <c r="J112" i="8"/>
  <c r="R112" i="8" s="1"/>
  <c r="I112" i="8"/>
  <c r="Q112" i="8" s="1"/>
  <c r="E112" i="8"/>
  <c r="C112" i="8"/>
  <c r="B112" i="8"/>
  <c r="D112" i="8" s="1"/>
  <c r="O112" i="8" s="1"/>
  <c r="K111" i="8"/>
  <c r="S111" i="8" s="1"/>
  <c r="J111" i="8"/>
  <c r="R111" i="8" s="1"/>
  <c r="I111" i="8"/>
  <c r="Q111" i="8" s="1"/>
  <c r="D111" i="8"/>
  <c r="O111" i="8" s="1"/>
  <c r="C111" i="8"/>
  <c r="E111" i="8" s="1"/>
  <c r="B111" i="8"/>
  <c r="K110" i="8"/>
  <c r="S110" i="8" s="1"/>
  <c r="J110" i="8"/>
  <c r="R110" i="8" s="1"/>
  <c r="I110" i="8"/>
  <c r="Q110" i="8" s="1"/>
  <c r="C110" i="8"/>
  <c r="E110" i="8" s="1"/>
  <c r="B110" i="8"/>
  <c r="D110" i="8" s="1"/>
  <c r="O110" i="8" s="1"/>
  <c r="Q109" i="8"/>
  <c r="K109" i="8"/>
  <c r="S109" i="8" s="1"/>
  <c r="J109" i="8"/>
  <c r="R109" i="8" s="1"/>
  <c r="I109" i="8"/>
  <c r="C109" i="8"/>
  <c r="E109" i="8" s="1"/>
  <c r="B109" i="8"/>
  <c r="D109" i="8" s="1"/>
  <c r="O109" i="8" s="1"/>
  <c r="Q108" i="8"/>
  <c r="K108" i="8"/>
  <c r="S108" i="8" s="1"/>
  <c r="J108" i="8"/>
  <c r="R108" i="8" s="1"/>
  <c r="I108" i="8"/>
  <c r="C108" i="8"/>
  <c r="E108" i="8" s="1"/>
  <c r="B108" i="8"/>
  <c r="D108" i="8" s="1"/>
  <c r="O108" i="8" s="1"/>
  <c r="K107" i="8"/>
  <c r="S107" i="8" s="1"/>
  <c r="J107" i="8"/>
  <c r="R107" i="8" s="1"/>
  <c r="I107" i="8"/>
  <c r="Q107" i="8" s="1"/>
  <c r="C107" i="8"/>
  <c r="E107" i="8" s="1"/>
  <c r="B107" i="8"/>
  <c r="D107" i="8" s="1"/>
  <c r="O107" i="8" s="1"/>
  <c r="K106" i="8"/>
  <c r="S106" i="8" s="1"/>
  <c r="J106" i="8"/>
  <c r="R106" i="8" s="1"/>
  <c r="I106" i="8"/>
  <c r="Q106" i="8" s="1"/>
  <c r="D106" i="8"/>
  <c r="O106" i="8" s="1"/>
  <c r="C106" i="8"/>
  <c r="E106" i="8" s="1"/>
  <c r="F106" i="8" s="1"/>
  <c r="N106" i="8" s="1"/>
  <c r="B106" i="8"/>
  <c r="K105" i="8"/>
  <c r="S105" i="8" s="1"/>
  <c r="J105" i="8"/>
  <c r="R105" i="8" s="1"/>
  <c r="I105" i="8"/>
  <c r="Q105" i="8" s="1"/>
  <c r="C105" i="8"/>
  <c r="E105" i="8" s="1"/>
  <c r="B105" i="8"/>
  <c r="D105" i="8" s="1"/>
  <c r="O105" i="8" s="1"/>
  <c r="S104" i="8"/>
  <c r="K104" i="8"/>
  <c r="J104" i="8"/>
  <c r="R104" i="8" s="1"/>
  <c r="I104" i="8"/>
  <c r="Q104" i="8" s="1"/>
  <c r="C104" i="8"/>
  <c r="E104" i="8" s="1"/>
  <c r="B104" i="8"/>
  <c r="D104" i="8" s="1"/>
  <c r="O104" i="8" s="1"/>
  <c r="K103" i="8"/>
  <c r="S103" i="8" s="1"/>
  <c r="J103" i="8"/>
  <c r="R103" i="8" s="1"/>
  <c r="I103" i="8"/>
  <c r="Q103" i="8" s="1"/>
  <c r="D103" i="8"/>
  <c r="O103" i="8" s="1"/>
  <c r="C103" i="8"/>
  <c r="E103" i="8" s="1"/>
  <c r="B103" i="8"/>
  <c r="K102" i="8"/>
  <c r="S102" i="8" s="1"/>
  <c r="J102" i="8"/>
  <c r="R102" i="8" s="1"/>
  <c r="I102" i="8"/>
  <c r="Q102" i="8" s="1"/>
  <c r="C102" i="8"/>
  <c r="E102" i="8" s="1"/>
  <c r="B102" i="8"/>
  <c r="D102" i="8" s="1"/>
  <c r="O102" i="8" s="1"/>
  <c r="Q101" i="8"/>
  <c r="K101" i="8"/>
  <c r="S101" i="8" s="1"/>
  <c r="J101" i="8"/>
  <c r="R101" i="8" s="1"/>
  <c r="I101" i="8"/>
  <c r="C101" i="8"/>
  <c r="E101" i="8" s="1"/>
  <c r="B101" i="8"/>
  <c r="D101" i="8" s="1"/>
  <c r="O101" i="8" s="1"/>
  <c r="Q100" i="8"/>
  <c r="K100" i="8"/>
  <c r="S100" i="8" s="1"/>
  <c r="J100" i="8"/>
  <c r="R100" i="8" s="1"/>
  <c r="I100" i="8"/>
  <c r="C100" i="8"/>
  <c r="E100" i="8" s="1"/>
  <c r="F100" i="8" s="1"/>
  <c r="N100" i="8" s="1"/>
  <c r="B100" i="8"/>
  <c r="D100" i="8" s="1"/>
  <c r="O100" i="8" s="1"/>
  <c r="K99" i="8"/>
  <c r="S99" i="8" s="1"/>
  <c r="J99" i="8"/>
  <c r="R99" i="8" s="1"/>
  <c r="I99" i="8"/>
  <c r="Q99" i="8" s="1"/>
  <c r="C99" i="8"/>
  <c r="E99" i="8" s="1"/>
  <c r="B99" i="8"/>
  <c r="D99" i="8" s="1"/>
  <c r="O99" i="8" s="1"/>
  <c r="K98" i="8"/>
  <c r="S98" i="8" s="1"/>
  <c r="J98" i="8"/>
  <c r="R98" i="8" s="1"/>
  <c r="I98" i="8"/>
  <c r="Q98" i="8" s="1"/>
  <c r="D98" i="8"/>
  <c r="O98" i="8" s="1"/>
  <c r="C98" i="8"/>
  <c r="E98" i="8" s="1"/>
  <c r="F98" i="8" s="1"/>
  <c r="N98" i="8" s="1"/>
  <c r="B98" i="8"/>
  <c r="K97" i="8"/>
  <c r="S97" i="8" s="1"/>
  <c r="J97" i="8"/>
  <c r="R97" i="8" s="1"/>
  <c r="I97" i="8"/>
  <c r="Q97" i="8" s="1"/>
  <c r="C97" i="8"/>
  <c r="E97" i="8" s="1"/>
  <c r="B97" i="8"/>
  <c r="D97" i="8" s="1"/>
  <c r="O97" i="8" s="1"/>
  <c r="S96" i="8"/>
  <c r="K96" i="8"/>
  <c r="J96" i="8"/>
  <c r="R96" i="8" s="1"/>
  <c r="I96" i="8"/>
  <c r="Q96" i="8" s="1"/>
  <c r="C96" i="8"/>
  <c r="E96" i="8" s="1"/>
  <c r="B96" i="8"/>
  <c r="D96" i="8" s="1"/>
  <c r="O96" i="8" s="1"/>
  <c r="K95" i="8"/>
  <c r="S95" i="8" s="1"/>
  <c r="J95" i="8"/>
  <c r="R95" i="8" s="1"/>
  <c r="I95" i="8"/>
  <c r="Q95" i="8" s="1"/>
  <c r="D95" i="8"/>
  <c r="O95" i="8" s="1"/>
  <c r="C95" i="8"/>
  <c r="E95" i="8" s="1"/>
  <c r="B95" i="8"/>
  <c r="K94" i="8"/>
  <c r="S94" i="8" s="1"/>
  <c r="J94" i="8"/>
  <c r="R94" i="8" s="1"/>
  <c r="I94" i="8"/>
  <c r="Q94" i="8" s="1"/>
  <c r="C94" i="8"/>
  <c r="E94" i="8" s="1"/>
  <c r="B94" i="8"/>
  <c r="D94" i="8" s="1"/>
  <c r="O94" i="8" s="1"/>
  <c r="Q93" i="8"/>
  <c r="K93" i="8"/>
  <c r="S93" i="8" s="1"/>
  <c r="J93" i="8"/>
  <c r="R93" i="8" s="1"/>
  <c r="I93" i="8"/>
  <c r="C93" i="8"/>
  <c r="E93" i="8" s="1"/>
  <c r="B93" i="8"/>
  <c r="D93" i="8" s="1"/>
  <c r="O93" i="8" s="1"/>
  <c r="Q92" i="8"/>
  <c r="K92" i="8"/>
  <c r="S92" i="8" s="1"/>
  <c r="J92" i="8"/>
  <c r="R92" i="8" s="1"/>
  <c r="I92" i="8"/>
  <c r="C92" i="8"/>
  <c r="E92" i="8" s="1"/>
  <c r="F92" i="8" s="1"/>
  <c r="N92" i="8" s="1"/>
  <c r="B92" i="8"/>
  <c r="D92" i="8" s="1"/>
  <c r="O92" i="8" s="1"/>
  <c r="K91" i="8"/>
  <c r="S91" i="8" s="1"/>
  <c r="J91" i="8"/>
  <c r="R91" i="8" s="1"/>
  <c r="I91" i="8"/>
  <c r="Q91" i="8" s="1"/>
  <c r="C91" i="8"/>
  <c r="E91" i="8" s="1"/>
  <c r="B91" i="8"/>
  <c r="D91" i="8" s="1"/>
  <c r="O91" i="8" s="1"/>
  <c r="K90" i="8"/>
  <c r="S90" i="8" s="1"/>
  <c r="J90" i="8"/>
  <c r="R90" i="8" s="1"/>
  <c r="I90" i="8"/>
  <c r="Q90" i="8" s="1"/>
  <c r="D90" i="8"/>
  <c r="O90" i="8" s="1"/>
  <c r="C90" i="8"/>
  <c r="E90" i="8" s="1"/>
  <c r="F90" i="8" s="1"/>
  <c r="N90" i="8" s="1"/>
  <c r="B90" i="8"/>
  <c r="K89" i="8"/>
  <c r="S89" i="8" s="1"/>
  <c r="J89" i="8"/>
  <c r="R89" i="8" s="1"/>
  <c r="I89" i="8"/>
  <c r="Q89" i="8" s="1"/>
  <c r="C89" i="8"/>
  <c r="E89" i="8" s="1"/>
  <c r="B89" i="8"/>
  <c r="D89" i="8" s="1"/>
  <c r="O89" i="8" s="1"/>
  <c r="S88" i="8"/>
  <c r="K88" i="8"/>
  <c r="J88" i="8"/>
  <c r="R88" i="8" s="1"/>
  <c r="I88" i="8"/>
  <c r="Q88" i="8" s="1"/>
  <c r="C88" i="8"/>
  <c r="E88" i="8" s="1"/>
  <c r="F88" i="8" s="1"/>
  <c r="N88" i="8" s="1"/>
  <c r="B88" i="8"/>
  <c r="D88" i="8" s="1"/>
  <c r="O88" i="8" s="1"/>
  <c r="K87" i="8"/>
  <c r="S87" i="8" s="1"/>
  <c r="J87" i="8"/>
  <c r="R87" i="8" s="1"/>
  <c r="I87" i="8"/>
  <c r="Q87" i="8" s="1"/>
  <c r="D87" i="8"/>
  <c r="O87" i="8" s="1"/>
  <c r="C87" i="8"/>
  <c r="E87" i="8" s="1"/>
  <c r="B87" i="8"/>
  <c r="K86" i="8"/>
  <c r="S86" i="8" s="1"/>
  <c r="J86" i="8"/>
  <c r="R86" i="8" s="1"/>
  <c r="I86" i="8"/>
  <c r="Q86" i="8" s="1"/>
  <c r="C86" i="8"/>
  <c r="E86" i="8" s="1"/>
  <c r="B86" i="8"/>
  <c r="D86" i="8" s="1"/>
  <c r="O86" i="8" s="1"/>
  <c r="Q85" i="8"/>
  <c r="K85" i="8"/>
  <c r="S85" i="8" s="1"/>
  <c r="J85" i="8"/>
  <c r="R85" i="8" s="1"/>
  <c r="I85" i="8"/>
  <c r="C85" i="8"/>
  <c r="E85" i="8" s="1"/>
  <c r="B85" i="8"/>
  <c r="D85" i="8" s="1"/>
  <c r="O85" i="8" s="1"/>
  <c r="K84" i="8"/>
  <c r="S84" i="8" s="1"/>
  <c r="J84" i="8"/>
  <c r="R84" i="8" s="1"/>
  <c r="I84" i="8"/>
  <c r="Q84" i="8" s="1"/>
  <c r="C84" i="8"/>
  <c r="E84" i="8" s="1"/>
  <c r="B84" i="8"/>
  <c r="D84" i="8" s="1"/>
  <c r="O84" i="8" s="1"/>
  <c r="K83" i="8"/>
  <c r="S83" i="8" s="1"/>
  <c r="J83" i="8"/>
  <c r="R83" i="8" s="1"/>
  <c r="I83" i="8"/>
  <c r="Q83" i="8" s="1"/>
  <c r="C83" i="8"/>
  <c r="E83" i="8" s="1"/>
  <c r="B83" i="8"/>
  <c r="D83" i="8" s="1"/>
  <c r="O83" i="8" s="1"/>
  <c r="K82" i="8"/>
  <c r="S82" i="8" s="1"/>
  <c r="J82" i="8"/>
  <c r="R82" i="8" s="1"/>
  <c r="I82" i="8"/>
  <c r="Q82" i="8" s="1"/>
  <c r="C82" i="8"/>
  <c r="E82" i="8" s="1"/>
  <c r="B82" i="8"/>
  <c r="D82" i="8" s="1"/>
  <c r="O82" i="8" s="1"/>
  <c r="K81" i="8"/>
  <c r="S81" i="8" s="1"/>
  <c r="J81" i="8"/>
  <c r="R81" i="8" s="1"/>
  <c r="I81" i="8"/>
  <c r="Q81" i="8" s="1"/>
  <c r="C81" i="8"/>
  <c r="E81" i="8" s="1"/>
  <c r="B81" i="8"/>
  <c r="D81" i="8" s="1"/>
  <c r="K59" i="8"/>
  <c r="S58" i="8" s="1"/>
  <c r="J59" i="8"/>
  <c r="R58" i="8" s="1"/>
  <c r="I59" i="8"/>
  <c r="Q58" i="8" s="1"/>
  <c r="D59" i="8"/>
  <c r="O58" i="8" s="1"/>
  <c r="C59" i="8"/>
  <c r="E59" i="8" s="1"/>
  <c r="F59" i="8" s="1"/>
  <c r="N58" i="8" s="1"/>
  <c r="B59" i="8"/>
  <c r="K58" i="8"/>
  <c r="S57" i="8" s="1"/>
  <c r="J58" i="8"/>
  <c r="R57" i="8" s="1"/>
  <c r="I58" i="8"/>
  <c r="C58" i="8"/>
  <c r="E58" i="8" s="1"/>
  <c r="B58" i="8"/>
  <c r="D58" i="8" s="1"/>
  <c r="O57" i="8" s="1"/>
  <c r="Q57" i="8"/>
  <c r="K57" i="8"/>
  <c r="S56" i="8" s="1"/>
  <c r="J57" i="8"/>
  <c r="I57" i="8"/>
  <c r="C57" i="8"/>
  <c r="E57" i="8" s="1"/>
  <c r="F57" i="8" s="1"/>
  <c r="N56" i="8" s="1"/>
  <c r="B57" i="8"/>
  <c r="D57" i="8" s="1"/>
  <c r="O56" i="8" s="1"/>
  <c r="R56" i="8"/>
  <c r="Q56" i="8"/>
  <c r="K56" i="8"/>
  <c r="S55" i="8" s="1"/>
  <c r="J56" i="8"/>
  <c r="I56" i="8"/>
  <c r="Q55" i="8" s="1"/>
  <c r="C56" i="8"/>
  <c r="E56" i="8" s="1"/>
  <c r="B56" i="8"/>
  <c r="D56" i="8" s="1"/>
  <c r="O55" i="8" s="1"/>
  <c r="R55" i="8"/>
  <c r="K55" i="8"/>
  <c r="S54" i="8" s="1"/>
  <c r="J55" i="8"/>
  <c r="R54" i="8" s="1"/>
  <c r="I55" i="8"/>
  <c r="Q54" i="8" s="1"/>
  <c r="F55" i="8"/>
  <c r="N54" i="8" s="1"/>
  <c r="D55" i="8"/>
  <c r="O54" i="8" s="1"/>
  <c r="C55" i="8"/>
  <c r="E55" i="8" s="1"/>
  <c r="B55" i="8"/>
  <c r="K54" i="8"/>
  <c r="S53" i="8" s="1"/>
  <c r="J54" i="8"/>
  <c r="I54" i="8"/>
  <c r="Q53" i="8" s="1"/>
  <c r="E54" i="8"/>
  <c r="F54" i="8" s="1"/>
  <c r="N53" i="8" s="1"/>
  <c r="C54" i="8"/>
  <c r="B54" i="8"/>
  <c r="D54" i="8" s="1"/>
  <c r="O53" i="8" s="1"/>
  <c r="R53" i="8"/>
  <c r="K53" i="8"/>
  <c r="J53" i="8"/>
  <c r="R52" i="8" s="1"/>
  <c r="I53" i="8"/>
  <c r="C53" i="8"/>
  <c r="E53" i="8" s="1"/>
  <c r="F53" i="8" s="1"/>
  <c r="N52" i="8" s="1"/>
  <c r="B53" i="8"/>
  <c r="D53" i="8" s="1"/>
  <c r="O52" i="8" s="1"/>
  <c r="S52" i="8"/>
  <c r="Q52" i="8"/>
  <c r="K52" i="8"/>
  <c r="S51" i="8" s="1"/>
  <c r="J52" i="8"/>
  <c r="R51" i="8" s="1"/>
  <c r="I52" i="8"/>
  <c r="Q51" i="8" s="1"/>
  <c r="E52" i="8"/>
  <c r="C52" i="8"/>
  <c r="B52" i="8"/>
  <c r="D52" i="8" s="1"/>
  <c r="O51" i="8" s="1"/>
  <c r="K51" i="8"/>
  <c r="J51" i="8"/>
  <c r="R50" i="8" s="1"/>
  <c r="I51" i="8"/>
  <c r="Q50" i="8" s="1"/>
  <c r="E51" i="8"/>
  <c r="C51" i="8"/>
  <c r="B51" i="8"/>
  <c r="D51" i="8" s="1"/>
  <c r="O50" i="8" s="1"/>
  <c r="S50" i="8"/>
  <c r="K50" i="8"/>
  <c r="S49" i="8" s="1"/>
  <c r="J50" i="8"/>
  <c r="I50" i="8"/>
  <c r="Q49" i="8" s="1"/>
  <c r="C50" i="8"/>
  <c r="E50" i="8" s="1"/>
  <c r="B50" i="8"/>
  <c r="D50" i="8" s="1"/>
  <c r="O49" i="8" s="1"/>
  <c r="R49" i="8"/>
  <c r="K49" i="8"/>
  <c r="S48" i="8" s="1"/>
  <c r="J49" i="8"/>
  <c r="R48" i="8" s="1"/>
  <c r="I49" i="8"/>
  <c r="Q48" i="8" s="1"/>
  <c r="C49" i="8"/>
  <c r="E49" i="8" s="1"/>
  <c r="B49" i="8"/>
  <c r="D49" i="8" s="1"/>
  <c r="O48" i="8" s="1"/>
  <c r="K48" i="8"/>
  <c r="S47" i="8" s="1"/>
  <c r="J48" i="8"/>
  <c r="I48" i="8"/>
  <c r="C48" i="8"/>
  <c r="E48" i="8" s="1"/>
  <c r="B48" i="8"/>
  <c r="D48" i="8" s="1"/>
  <c r="R47" i="8"/>
  <c r="Q47" i="8"/>
  <c r="K47" i="8"/>
  <c r="S46" i="8" s="1"/>
  <c r="J47" i="8"/>
  <c r="R46" i="8" s="1"/>
  <c r="I47" i="8"/>
  <c r="Q46" i="8" s="1"/>
  <c r="C47" i="8"/>
  <c r="E47" i="8" s="1"/>
  <c r="F47" i="8" s="1"/>
  <c r="N46" i="8" s="1"/>
  <c r="B47" i="8"/>
  <c r="D47" i="8" s="1"/>
  <c r="O46" i="8" s="1"/>
  <c r="K46" i="8"/>
  <c r="S45" i="8" s="1"/>
  <c r="J46" i="8"/>
  <c r="R45" i="8" s="1"/>
  <c r="I46" i="8"/>
  <c r="Q45" i="8" s="1"/>
  <c r="C46" i="8"/>
  <c r="E46" i="8" s="1"/>
  <c r="F46" i="8" s="1"/>
  <c r="N45" i="8" s="1"/>
  <c r="B46" i="8"/>
  <c r="D46" i="8" s="1"/>
  <c r="O45" i="8" s="1"/>
  <c r="K45" i="8"/>
  <c r="J45" i="8"/>
  <c r="R44" i="8" s="1"/>
  <c r="I45" i="8"/>
  <c r="C45" i="8"/>
  <c r="E45" i="8" s="1"/>
  <c r="F45" i="8" s="1"/>
  <c r="N44" i="8" s="1"/>
  <c r="B45" i="8"/>
  <c r="D45" i="8" s="1"/>
  <c r="O44" i="8" s="1"/>
  <c r="S44" i="8"/>
  <c r="Q44" i="8"/>
  <c r="K44" i="8"/>
  <c r="S43" i="8" s="1"/>
  <c r="J44" i="8"/>
  <c r="R43" i="8" s="1"/>
  <c r="I44" i="8"/>
  <c r="Q43" i="8" s="1"/>
  <c r="E44" i="8"/>
  <c r="C44" i="8"/>
  <c r="B44" i="8"/>
  <c r="D44" i="8" s="1"/>
  <c r="K43" i="8"/>
  <c r="J43" i="8"/>
  <c r="R42" i="8" s="1"/>
  <c r="I43" i="8"/>
  <c r="Q42" i="8" s="1"/>
  <c r="E43" i="8"/>
  <c r="F43" i="8" s="1"/>
  <c r="N42" i="8" s="1"/>
  <c r="C43" i="8"/>
  <c r="B43" i="8"/>
  <c r="D43" i="8" s="1"/>
  <c r="O42" i="8" s="1"/>
  <c r="S42" i="8"/>
  <c r="K42" i="8"/>
  <c r="S41" i="8" s="1"/>
  <c r="J42" i="8"/>
  <c r="I42" i="8"/>
  <c r="Q41" i="8" s="1"/>
  <c r="C42" i="8"/>
  <c r="E42" i="8" s="1"/>
  <c r="F42" i="8" s="1"/>
  <c r="N41" i="8" s="1"/>
  <c r="B42" i="8"/>
  <c r="D42" i="8" s="1"/>
  <c r="O41" i="8" s="1"/>
  <c r="R41" i="8"/>
  <c r="K41" i="8"/>
  <c r="J41" i="8"/>
  <c r="R40" i="8" s="1"/>
  <c r="I41" i="8"/>
  <c r="Q40" i="8" s="1"/>
  <c r="C41" i="8"/>
  <c r="E41" i="8" s="1"/>
  <c r="B41" i="8"/>
  <c r="D41" i="8" s="1"/>
  <c r="O40" i="8" s="1"/>
  <c r="S40" i="8"/>
  <c r="K40" i="8"/>
  <c r="S39" i="8" s="1"/>
  <c r="J40" i="8"/>
  <c r="I40" i="8"/>
  <c r="C40" i="8"/>
  <c r="E40" i="8" s="1"/>
  <c r="B40" i="8"/>
  <c r="D40" i="8" s="1"/>
  <c r="R39" i="8"/>
  <c r="Q39" i="8"/>
  <c r="K39" i="8"/>
  <c r="S38" i="8" s="1"/>
  <c r="J39" i="8"/>
  <c r="R38" i="8" s="1"/>
  <c r="I39" i="8"/>
  <c r="Q38" i="8" s="1"/>
  <c r="C39" i="8"/>
  <c r="E39" i="8" s="1"/>
  <c r="B39" i="8"/>
  <c r="D39" i="8" s="1"/>
  <c r="O38" i="8" s="1"/>
  <c r="K38" i="8"/>
  <c r="S37" i="8" s="1"/>
  <c r="J38" i="8"/>
  <c r="R37" i="8" s="1"/>
  <c r="I38" i="8"/>
  <c r="Q37" i="8" s="1"/>
  <c r="D38" i="8"/>
  <c r="O37" i="8" s="1"/>
  <c r="C38" i="8"/>
  <c r="E38" i="8" s="1"/>
  <c r="F38" i="8" s="1"/>
  <c r="N37" i="8" s="1"/>
  <c r="B38" i="8"/>
  <c r="K37" i="8"/>
  <c r="S36" i="8" s="1"/>
  <c r="J37" i="8"/>
  <c r="R36" i="8" s="1"/>
  <c r="I37" i="8"/>
  <c r="C37" i="8"/>
  <c r="E37" i="8" s="1"/>
  <c r="B37" i="8"/>
  <c r="D37" i="8" s="1"/>
  <c r="O36" i="8" s="1"/>
  <c r="Q36" i="8"/>
  <c r="K36" i="8"/>
  <c r="S35" i="8" s="1"/>
  <c r="J36" i="8"/>
  <c r="R35" i="8" s="1"/>
  <c r="I36" i="8"/>
  <c r="Q35" i="8" s="1"/>
  <c r="E36" i="8"/>
  <c r="C36" i="8"/>
  <c r="B36" i="8"/>
  <c r="D36" i="8" s="1"/>
  <c r="K35" i="8"/>
  <c r="S34" i="8" s="1"/>
  <c r="J35" i="8"/>
  <c r="R34" i="8" s="1"/>
  <c r="I35" i="8"/>
  <c r="Q34" i="8" s="1"/>
  <c r="C35" i="8"/>
  <c r="E35" i="8" s="1"/>
  <c r="B35" i="8"/>
  <c r="D35" i="8" s="1"/>
  <c r="O34" i="8" s="1"/>
  <c r="K34" i="8"/>
  <c r="S33" i="8" s="1"/>
  <c r="J34" i="8"/>
  <c r="I34" i="8"/>
  <c r="Q33" i="8" s="1"/>
  <c r="C34" i="8"/>
  <c r="E34" i="8" s="1"/>
  <c r="B34" i="8"/>
  <c r="D34" i="8" s="1"/>
  <c r="O33" i="8" s="1"/>
  <c r="R33" i="8"/>
  <c r="K33" i="8"/>
  <c r="S32" i="8" s="1"/>
  <c r="J33" i="8"/>
  <c r="R32" i="8" s="1"/>
  <c r="I33" i="8"/>
  <c r="Q32" i="8" s="1"/>
  <c r="C33" i="8"/>
  <c r="E33" i="8" s="1"/>
  <c r="F33" i="8" s="1"/>
  <c r="N32" i="8" s="1"/>
  <c r="B33" i="8"/>
  <c r="D33" i="8" s="1"/>
  <c r="O32" i="8" s="1"/>
  <c r="K32" i="8"/>
  <c r="S31" i="8" s="1"/>
  <c r="J32" i="8"/>
  <c r="I32" i="8"/>
  <c r="Q31" i="8" s="1"/>
  <c r="E32" i="8"/>
  <c r="C32" i="8"/>
  <c r="B32" i="8"/>
  <c r="D32" i="8" s="1"/>
  <c r="R31" i="8"/>
  <c r="K31" i="8"/>
  <c r="J31" i="8"/>
  <c r="R30" i="8" s="1"/>
  <c r="I31" i="8"/>
  <c r="Q30" i="8" s="1"/>
  <c r="C31" i="8"/>
  <c r="E31" i="8" s="1"/>
  <c r="F31" i="8" s="1"/>
  <c r="N30" i="8" s="1"/>
  <c r="B31" i="8"/>
  <c r="D31" i="8" s="1"/>
  <c r="O30" i="8" s="1"/>
  <c r="S30" i="8"/>
  <c r="K30" i="8"/>
  <c r="S29" i="8" s="1"/>
  <c r="J30" i="8"/>
  <c r="R29" i="8" s="1"/>
  <c r="I30" i="8"/>
  <c r="Q29" i="8" s="1"/>
  <c r="E30" i="8"/>
  <c r="F30" i="8" s="1"/>
  <c r="N29" i="8" s="1"/>
  <c r="D30" i="8"/>
  <c r="O29" i="8" s="1"/>
  <c r="C30" i="8"/>
  <c r="B30" i="8"/>
  <c r="K29" i="8"/>
  <c r="J29" i="8"/>
  <c r="R28" i="8" s="1"/>
  <c r="I29" i="8"/>
  <c r="Q28" i="8" s="1"/>
  <c r="C29" i="8"/>
  <c r="E29" i="8" s="1"/>
  <c r="F29" i="8" s="1"/>
  <c r="N28" i="8" s="1"/>
  <c r="B29" i="8"/>
  <c r="D29" i="8" s="1"/>
  <c r="O28" i="8" s="1"/>
  <c r="S28" i="8"/>
  <c r="K28" i="8"/>
  <c r="S27" i="8" s="1"/>
  <c r="J28" i="8"/>
  <c r="I28" i="8"/>
  <c r="C28" i="8"/>
  <c r="E28" i="8" s="1"/>
  <c r="B28" i="8"/>
  <c r="D28" i="8" s="1"/>
  <c r="R27" i="8"/>
  <c r="Q27" i="8"/>
  <c r="K27" i="8"/>
  <c r="S26" i="8" s="1"/>
  <c r="J27" i="8"/>
  <c r="R26" i="8" s="1"/>
  <c r="I27" i="8"/>
  <c r="Q26" i="8" s="1"/>
  <c r="E27" i="8"/>
  <c r="C27" i="8"/>
  <c r="B27" i="8"/>
  <c r="D27" i="8" s="1"/>
  <c r="O26" i="8" s="1"/>
  <c r="K26" i="8"/>
  <c r="S25" i="8" s="1"/>
  <c r="J26" i="8"/>
  <c r="I26" i="8"/>
  <c r="Q25" i="8" s="1"/>
  <c r="D26" i="8"/>
  <c r="O25" i="8" s="1"/>
  <c r="C26" i="8"/>
  <c r="E26" i="8" s="1"/>
  <c r="F26" i="8" s="1"/>
  <c r="N25" i="8" s="1"/>
  <c r="B26" i="8"/>
  <c r="R25" i="8"/>
  <c r="K25" i="8"/>
  <c r="S24" i="8" s="1"/>
  <c r="J25" i="8"/>
  <c r="R24" i="8" s="1"/>
  <c r="I25" i="8"/>
  <c r="C25" i="8"/>
  <c r="E25" i="8" s="1"/>
  <c r="B25" i="8"/>
  <c r="D25" i="8" s="1"/>
  <c r="O24" i="8" s="1"/>
  <c r="Q24" i="8"/>
  <c r="K24" i="8"/>
  <c r="S23" i="8" s="1"/>
  <c r="J24" i="8"/>
  <c r="R23" i="8" s="1"/>
  <c r="I24" i="8"/>
  <c r="Q23" i="8" s="1"/>
  <c r="C24" i="8"/>
  <c r="E24" i="8" s="1"/>
  <c r="B24" i="8"/>
  <c r="D24" i="8" s="1"/>
  <c r="K23" i="8"/>
  <c r="J23" i="8"/>
  <c r="R22" i="8" s="1"/>
  <c r="I23" i="8"/>
  <c r="Q22" i="8" s="1"/>
  <c r="C23" i="8"/>
  <c r="E23" i="8" s="1"/>
  <c r="B23" i="8"/>
  <c r="D23" i="8" s="1"/>
  <c r="O22" i="8" s="1"/>
  <c r="S22" i="8"/>
  <c r="K22" i="8"/>
  <c r="S21" i="8" s="1"/>
  <c r="J22" i="8"/>
  <c r="R21" i="8" s="1"/>
  <c r="I22" i="8"/>
  <c r="Q21" i="8" s="1"/>
  <c r="E22" i="8"/>
  <c r="F22" i="8" s="1"/>
  <c r="N21" i="8" s="1"/>
  <c r="D22" i="8"/>
  <c r="O21" i="8" s="1"/>
  <c r="C22" i="8"/>
  <c r="B22" i="8"/>
  <c r="K21" i="8"/>
  <c r="J21" i="8"/>
  <c r="R20" i="8" s="1"/>
  <c r="I21" i="8"/>
  <c r="Q20" i="8" s="1"/>
  <c r="C21" i="8"/>
  <c r="E21" i="8" s="1"/>
  <c r="B21" i="8"/>
  <c r="D21" i="8" s="1"/>
  <c r="O20" i="8" s="1"/>
  <c r="S20" i="8"/>
  <c r="K20" i="8"/>
  <c r="S19" i="8" s="1"/>
  <c r="J20" i="8"/>
  <c r="I20" i="8"/>
  <c r="C20" i="8"/>
  <c r="E20" i="8" s="1"/>
  <c r="B20" i="8"/>
  <c r="D20" i="8" s="1"/>
  <c r="R19" i="8"/>
  <c r="Q19" i="8"/>
  <c r="K19" i="8"/>
  <c r="S18" i="8" s="1"/>
  <c r="J19" i="8"/>
  <c r="R18" i="8" s="1"/>
  <c r="I19" i="8"/>
  <c r="Q18" i="8" s="1"/>
  <c r="E19" i="8"/>
  <c r="F19" i="8" s="1"/>
  <c r="N18" i="8" s="1"/>
  <c r="C19" i="8"/>
  <c r="B19" i="8"/>
  <c r="D19" i="8" s="1"/>
  <c r="O18" i="8" s="1"/>
  <c r="K18" i="8"/>
  <c r="S17" i="8" s="1"/>
  <c r="J18" i="8"/>
  <c r="I18" i="8"/>
  <c r="Q17" i="8" s="1"/>
  <c r="E18" i="8"/>
  <c r="D18" i="8"/>
  <c r="O17" i="8" s="1"/>
  <c r="C18" i="8"/>
  <c r="B18" i="8"/>
  <c r="R17" i="8"/>
  <c r="K17" i="8"/>
  <c r="S16" i="8" s="1"/>
  <c r="J17" i="8"/>
  <c r="R16" i="8" s="1"/>
  <c r="I17" i="8"/>
  <c r="C17" i="8"/>
  <c r="E17" i="8" s="1"/>
  <c r="B17" i="8"/>
  <c r="D17" i="8" s="1"/>
  <c r="O16" i="8" s="1"/>
  <c r="Q16" i="8"/>
  <c r="K16" i="8"/>
  <c r="J16" i="8"/>
  <c r="I16" i="8"/>
  <c r="C16" i="8"/>
  <c r="E16" i="8" s="1"/>
  <c r="B16" i="8"/>
  <c r="D16" i="8" s="1"/>
  <c r="K15" i="8"/>
  <c r="S15" i="8" s="1"/>
  <c r="J15" i="8"/>
  <c r="R15" i="8" s="1"/>
  <c r="I15" i="8"/>
  <c r="Q15" i="8" s="1"/>
  <c r="C15" i="8"/>
  <c r="E15" i="8" s="1"/>
  <c r="B15" i="8"/>
  <c r="D15" i="8" s="1"/>
  <c r="O15" i="8" s="1"/>
  <c r="K14" i="8"/>
  <c r="S14" i="8" s="1"/>
  <c r="J14" i="8"/>
  <c r="R14" i="8" s="1"/>
  <c r="I14" i="8"/>
  <c r="Q14" i="8" s="1"/>
  <c r="C14" i="8"/>
  <c r="E14" i="8" s="1"/>
  <c r="B14" i="8"/>
  <c r="D14" i="8" s="1"/>
  <c r="O14" i="8" s="1"/>
  <c r="K13" i="8"/>
  <c r="S13" i="8" s="1"/>
  <c r="J13" i="8"/>
  <c r="R13" i="8" s="1"/>
  <c r="I13" i="8"/>
  <c r="Q13" i="8" s="1"/>
  <c r="C13" i="8"/>
  <c r="E13" i="8" s="1"/>
  <c r="B13" i="8"/>
  <c r="D13" i="8" s="1"/>
  <c r="O13" i="8" s="1"/>
  <c r="Q12" i="8"/>
  <c r="K12" i="8"/>
  <c r="S12" i="8" s="1"/>
  <c r="J12" i="8"/>
  <c r="R12" i="8" s="1"/>
  <c r="I12" i="8"/>
  <c r="E12" i="8"/>
  <c r="C12" i="8"/>
  <c r="B12" i="8"/>
  <c r="D12" i="8" s="1"/>
  <c r="K11" i="8"/>
  <c r="S11" i="8" s="1"/>
  <c r="J11" i="8"/>
  <c r="R11" i="8" s="1"/>
  <c r="I11" i="8"/>
  <c r="Q11" i="8" s="1"/>
  <c r="C11" i="8"/>
  <c r="E11" i="8" s="1"/>
  <c r="F11" i="8" s="1"/>
  <c r="N11" i="8" s="1"/>
  <c r="B11" i="8"/>
  <c r="D11" i="8" s="1"/>
  <c r="O11" i="8" s="1"/>
  <c r="K10" i="8"/>
  <c r="S10" i="8" s="1"/>
  <c r="J10" i="8"/>
  <c r="R10" i="8" s="1"/>
  <c r="I10" i="8"/>
  <c r="Q10" i="8" s="1"/>
  <c r="C10" i="8"/>
  <c r="E10" i="8" s="1"/>
  <c r="B10" i="8"/>
  <c r="D10" i="8" s="1"/>
  <c r="O10" i="8" s="1"/>
  <c r="K9" i="8"/>
  <c r="S9" i="8" s="1"/>
  <c r="J9" i="8"/>
  <c r="R9" i="8" s="1"/>
  <c r="I9" i="8"/>
  <c r="Q9" i="8" s="1"/>
  <c r="C9" i="8"/>
  <c r="E9" i="8" s="1"/>
  <c r="F9" i="8" s="1"/>
  <c r="N9" i="8" s="1"/>
  <c r="B9" i="8"/>
  <c r="D9" i="8" s="1"/>
  <c r="O9" i="8" s="1"/>
  <c r="Q8" i="8"/>
  <c r="K8" i="8"/>
  <c r="S8" i="8" s="1"/>
  <c r="J8" i="8"/>
  <c r="R8" i="8" s="1"/>
  <c r="I8" i="8"/>
  <c r="C8" i="8"/>
  <c r="E8" i="8" s="1"/>
  <c r="B8" i="8"/>
  <c r="D8" i="8" s="1"/>
  <c r="K7" i="8"/>
  <c r="S7" i="8" s="1"/>
  <c r="J7" i="8"/>
  <c r="R7" i="8" s="1"/>
  <c r="I7" i="8"/>
  <c r="Q7" i="8" s="1"/>
  <c r="E7" i="8"/>
  <c r="C7" i="8"/>
  <c r="B7" i="8"/>
  <c r="D7" i="8" s="1"/>
  <c r="O7" i="8" s="1"/>
  <c r="K6" i="8"/>
  <c r="S6" i="8" s="1"/>
  <c r="J6" i="8"/>
  <c r="R6" i="8" s="1"/>
  <c r="I6" i="8"/>
  <c r="Q6" i="8" s="1"/>
  <c r="C6" i="8"/>
  <c r="E6" i="8" s="1"/>
  <c r="F6" i="8" s="1"/>
  <c r="B6" i="8"/>
  <c r="D6" i="8" s="1"/>
  <c r="O6" i="8" s="1"/>
  <c r="I12" i="7"/>
  <c r="H12" i="7"/>
  <c r="F12" i="7"/>
  <c r="E12" i="7"/>
  <c r="D103" i="12" s="1"/>
  <c r="F103" i="12" s="1"/>
  <c r="G103" i="12" s="1"/>
  <c r="D12" i="7"/>
  <c r="D104" i="12" s="1"/>
  <c r="F104" i="12" s="1"/>
  <c r="G104" i="12" s="1"/>
  <c r="C12" i="7"/>
  <c r="B12" i="7"/>
  <c r="I11" i="7"/>
  <c r="H11" i="7"/>
  <c r="F11" i="7"/>
  <c r="E11" i="7"/>
  <c r="D101" i="12" s="1"/>
  <c r="F101" i="12" s="1"/>
  <c r="G101" i="12" s="1"/>
  <c r="D11" i="7"/>
  <c r="D102" i="12" s="1"/>
  <c r="F102" i="12" s="1"/>
  <c r="G102" i="12" s="1"/>
  <c r="C11" i="7"/>
  <c r="B11" i="7"/>
  <c r="I10" i="7"/>
  <c r="H10" i="7"/>
  <c r="F10" i="7"/>
  <c r="E10" i="7"/>
  <c r="D99" i="12" s="1"/>
  <c r="F99" i="12" s="1"/>
  <c r="G99" i="12" s="1"/>
  <c r="D10" i="7"/>
  <c r="D100" i="12" s="1"/>
  <c r="F100" i="12" s="1"/>
  <c r="G100" i="12" s="1"/>
  <c r="C10" i="7"/>
  <c r="B10" i="7"/>
  <c r="I9" i="7"/>
  <c r="H9" i="7"/>
  <c r="F9" i="7"/>
  <c r="E9" i="7"/>
  <c r="D97" i="12" s="1"/>
  <c r="F97" i="12" s="1"/>
  <c r="G97" i="12" s="1"/>
  <c r="D9" i="7"/>
  <c r="D98" i="12" s="1"/>
  <c r="F98" i="12" s="1"/>
  <c r="G98" i="12" s="1"/>
  <c r="C9" i="7"/>
  <c r="B9" i="7"/>
  <c r="I8" i="7"/>
  <c r="H8" i="7"/>
  <c r="F8" i="7"/>
  <c r="E8" i="7"/>
  <c r="D95" i="12" s="1"/>
  <c r="F95" i="12" s="1"/>
  <c r="G95" i="12" s="1"/>
  <c r="D8" i="7"/>
  <c r="D96" i="12" s="1"/>
  <c r="F96" i="12" s="1"/>
  <c r="G96" i="12" s="1"/>
  <c r="C8" i="7"/>
  <c r="B8" i="7"/>
  <c r="I7" i="7"/>
  <c r="H7" i="7"/>
  <c r="F7" i="7"/>
  <c r="E7" i="7"/>
  <c r="D93" i="12" s="1"/>
  <c r="F93" i="12" s="1"/>
  <c r="G93" i="12" s="1"/>
  <c r="D7" i="7"/>
  <c r="D94" i="12" s="1"/>
  <c r="F94" i="12" s="1"/>
  <c r="G94" i="12" s="1"/>
  <c r="C7" i="7"/>
  <c r="B7" i="7"/>
  <c r="I6" i="7"/>
  <c r="H6" i="7"/>
  <c r="F6" i="7"/>
  <c r="E6" i="7"/>
  <c r="D91" i="12" s="1"/>
  <c r="F91" i="12" s="1"/>
  <c r="G91" i="12" s="1"/>
  <c r="D6" i="7"/>
  <c r="D92" i="12" s="1"/>
  <c r="F92" i="12" s="1"/>
  <c r="G92" i="12" s="1"/>
  <c r="C6" i="7"/>
  <c r="B6" i="7"/>
  <c r="I5" i="7"/>
  <c r="H5" i="7"/>
  <c r="F5" i="7"/>
  <c r="E5" i="7"/>
  <c r="D89" i="12" s="1"/>
  <c r="F89" i="12" s="1"/>
  <c r="G89" i="12" s="1"/>
  <c r="D5" i="7"/>
  <c r="D90" i="12" s="1"/>
  <c r="F90" i="12" s="1"/>
  <c r="G90" i="12" s="1"/>
  <c r="C5" i="7"/>
  <c r="B5" i="7"/>
  <c r="J449" i="6"/>
  <c r="H449" i="6"/>
  <c r="G449" i="6"/>
  <c r="E449" i="6"/>
  <c r="I449" i="6" s="1"/>
  <c r="D449" i="6"/>
  <c r="C449" i="6"/>
  <c r="J448" i="6"/>
  <c r="E448" i="6"/>
  <c r="I448" i="6" s="1"/>
  <c r="D448" i="6"/>
  <c r="H448" i="6" s="1"/>
  <c r="C448" i="6"/>
  <c r="G448" i="6" s="1"/>
  <c r="K448" i="6" s="1"/>
  <c r="J447" i="6"/>
  <c r="H447" i="6"/>
  <c r="G447" i="6"/>
  <c r="E447" i="6"/>
  <c r="I447" i="6" s="1"/>
  <c r="D447" i="6"/>
  <c r="C447" i="6"/>
  <c r="J446" i="6"/>
  <c r="E446" i="6"/>
  <c r="I446" i="6" s="1"/>
  <c r="D446" i="6"/>
  <c r="H446" i="6" s="1"/>
  <c r="C446" i="6"/>
  <c r="G446" i="6" s="1"/>
  <c r="J445" i="6"/>
  <c r="H445" i="6"/>
  <c r="G445" i="6"/>
  <c r="E445" i="6"/>
  <c r="I445" i="6" s="1"/>
  <c r="D445" i="6"/>
  <c r="C445" i="6"/>
  <c r="J444" i="6"/>
  <c r="E444" i="6"/>
  <c r="I444" i="6" s="1"/>
  <c r="D444" i="6"/>
  <c r="H444" i="6" s="1"/>
  <c r="C444" i="6"/>
  <c r="G444" i="6" s="1"/>
  <c r="K444" i="6" s="1"/>
  <c r="J443" i="6"/>
  <c r="E443" i="6"/>
  <c r="I443" i="6" s="1"/>
  <c r="D443" i="6"/>
  <c r="H443" i="6" s="1"/>
  <c r="C443" i="6"/>
  <c r="G443" i="6" s="1"/>
  <c r="J442" i="6"/>
  <c r="E442" i="6"/>
  <c r="I442" i="6" s="1"/>
  <c r="D442" i="6"/>
  <c r="H442" i="6" s="1"/>
  <c r="C442" i="6"/>
  <c r="G442" i="6" s="1"/>
  <c r="J441" i="6"/>
  <c r="E441" i="6"/>
  <c r="I441" i="6" s="1"/>
  <c r="D441" i="6"/>
  <c r="H441" i="6" s="1"/>
  <c r="C441" i="6"/>
  <c r="G441" i="6" s="1"/>
  <c r="J440" i="6"/>
  <c r="E440" i="6"/>
  <c r="I440" i="6" s="1"/>
  <c r="D440" i="6"/>
  <c r="H440" i="6" s="1"/>
  <c r="C440" i="6"/>
  <c r="G440" i="6" s="1"/>
  <c r="K440" i="6" s="1"/>
  <c r="J439" i="6"/>
  <c r="H439" i="6"/>
  <c r="E439" i="6"/>
  <c r="I439" i="6" s="1"/>
  <c r="D439" i="6"/>
  <c r="C439" i="6"/>
  <c r="G439" i="6" s="1"/>
  <c r="J438" i="6"/>
  <c r="E438" i="6"/>
  <c r="I438" i="6" s="1"/>
  <c r="D438" i="6"/>
  <c r="H438" i="6" s="1"/>
  <c r="C438" i="6"/>
  <c r="G438" i="6" s="1"/>
  <c r="J437" i="6"/>
  <c r="H437" i="6"/>
  <c r="E437" i="6"/>
  <c r="I437" i="6" s="1"/>
  <c r="D437" i="6"/>
  <c r="C437" i="6"/>
  <c r="G437" i="6" s="1"/>
  <c r="J436" i="6"/>
  <c r="H436" i="6"/>
  <c r="E436" i="6"/>
  <c r="I436" i="6" s="1"/>
  <c r="D436" i="6"/>
  <c r="C436" i="6"/>
  <c r="G436" i="6" s="1"/>
  <c r="K436" i="6" s="1"/>
  <c r="J435" i="6"/>
  <c r="E435" i="6"/>
  <c r="I435" i="6" s="1"/>
  <c r="D435" i="6"/>
  <c r="H435" i="6" s="1"/>
  <c r="C435" i="6"/>
  <c r="G435" i="6" s="1"/>
  <c r="J434" i="6"/>
  <c r="H434" i="6"/>
  <c r="G434" i="6"/>
  <c r="E434" i="6"/>
  <c r="I434" i="6" s="1"/>
  <c r="D434" i="6"/>
  <c r="C434" i="6"/>
  <c r="J433" i="6"/>
  <c r="E433" i="6"/>
  <c r="I433" i="6" s="1"/>
  <c r="D433" i="6"/>
  <c r="H433" i="6" s="1"/>
  <c r="C433" i="6"/>
  <c r="G433" i="6" s="1"/>
  <c r="J432" i="6"/>
  <c r="E432" i="6"/>
  <c r="I432" i="6" s="1"/>
  <c r="D432" i="6"/>
  <c r="H432" i="6" s="1"/>
  <c r="C432" i="6"/>
  <c r="G432" i="6" s="1"/>
  <c r="J431" i="6"/>
  <c r="E431" i="6"/>
  <c r="I431" i="6" s="1"/>
  <c r="D431" i="6"/>
  <c r="H431" i="6" s="1"/>
  <c r="C431" i="6"/>
  <c r="G431" i="6" s="1"/>
  <c r="K431" i="6" s="1"/>
  <c r="J430" i="6"/>
  <c r="G430" i="6"/>
  <c r="E430" i="6"/>
  <c r="I430" i="6" s="1"/>
  <c r="D430" i="6"/>
  <c r="H430" i="6" s="1"/>
  <c r="C430" i="6"/>
  <c r="J429" i="6"/>
  <c r="E429" i="6"/>
  <c r="I429" i="6" s="1"/>
  <c r="D429" i="6"/>
  <c r="H429" i="6" s="1"/>
  <c r="C429" i="6"/>
  <c r="G429" i="6" s="1"/>
  <c r="J428" i="6"/>
  <c r="G428" i="6"/>
  <c r="E428" i="6"/>
  <c r="I428" i="6" s="1"/>
  <c r="D428" i="6"/>
  <c r="H428" i="6" s="1"/>
  <c r="C428" i="6"/>
  <c r="J427" i="6"/>
  <c r="E427" i="6"/>
  <c r="I427" i="6" s="1"/>
  <c r="D427" i="6"/>
  <c r="H427" i="6" s="1"/>
  <c r="C427" i="6"/>
  <c r="G427" i="6" s="1"/>
  <c r="J426" i="6"/>
  <c r="H426" i="6"/>
  <c r="E426" i="6"/>
  <c r="I426" i="6" s="1"/>
  <c r="D426" i="6"/>
  <c r="C426" i="6"/>
  <c r="G426" i="6" s="1"/>
  <c r="J425" i="6"/>
  <c r="E425" i="6"/>
  <c r="I425" i="6" s="1"/>
  <c r="D425" i="6"/>
  <c r="H425" i="6" s="1"/>
  <c r="C425" i="6"/>
  <c r="G425" i="6" s="1"/>
  <c r="K425" i="6" s="1"/>
  <c r="J424" i="6"/>
  <c r="H424" i="6"/>
  <c r="G424" i="6"/>
  <c r="E424" i="6"/>
  <c r="I424" i="6" s="1"/>
  <c r="D424" i="6"/>
  <c r="C424" i="6"/>
  <c r="J423" i="6"/>
  <c r="E423" i="6"/>
  <c r="I423" i="6" s="1"/>
  <c r="D423" i="6"/>
  <c r="H423" i="6" s="1"/>
  <c r="C423" i="6"/>
  <c r="G423" i="6" s="1"/>
  <c r="J422" i="6"/>
  <c r="H422" i="6"/>
  <c r="G422" i="6"/>
  <c r="E422" i="6"/>
  <c r="I422" i="6" s="1"/>
  <c r="D422" i="6"/>
  <c r="C422" i="6"/>
  <c r="J421" i="6"/>
  <c r="E421" i="6"/>
  <c r="I421" i="6" s="1"/>
  <c r="D421" i="6"/>
  <c r="H421" i="6" s="1"/>
  <c r="C421" i="6"/>
  <c r="G421" i="6" s="1"/>
  <c r="J420" i="6"/>
  <c r="E420" i="6"/>
  <c r="I420" i="6" s="1"/>
  <c r="D420" i="6"/>
  <c r="H420" i="6" s="1"/>
  <c r="C420" i="6"/>
  <c r="G420" i="6" s="1"/>
  <c r="J419" i="6"/>
  <c r="H419" i="6"/>
  <c r="G419" i="6"/>
  <c r="K419" i="6" s="1"/>
  <c r="E419" i="6"/>
  <c r="I419" i="6" s="1"/>
  <c r="D419" i="6"/>
  <c r="C419" i="6"/>
  <c r="J418" i="6"/>
  <c r="E418" i="6"/>
  <c r="I418" i="6" s="1"/>
  <c r="D418" i="6"/>
  <c r="H418" i="6" s="1"/>
  <c r="C418" i="6"/>
  <c r="G418" i="6" s="1"/>
  <c r="J417" i="6"/>
  <c r="G417" i="6"/>
  <c r="E417" i="6"/>
  <c r="I417" i="6" s="1"/>
  <c r="D417" i="6"/>
  <c r="H417" i="6" s="1"/>
  <c r="C417" i="6"/>
  <c r="J416" i="6"/>
  <c r="E416" i="6"/>
  <c r="I416" i="6" s="1"/>
  <c r="D416" i="6"/>
  <c r="H416" i="6" s="1"/>
  <c r="C416" i="6"/>
  <c r="G416" i="6" s="1"/>
  <c r="J415" i="6"/>
  <c r="E415" i="6"/>
  <c r="I415" i="6" s="1"/>
  <c r="D415" i="6"/>
  <c r="H415" i="6" s="1"/>
  <c r="C415" i="6"/>
  <c r="G415" i="6" s="1"/>
  <c r="J414" i="6"/>
  <c r="E414" i="6"/>
  <c r="I414" i="6" s="1"/>
  <c r="D414" i="6"/>
  <c r="H414" i="6" s="1"/>
  <c r="C414" i="6"/>
  <c r="G414" i="6" s="1"/>
  <c r="J413" i="6"/>
  <c r="H413" i="6"/>
  <c r="E413" i="6"/>
  <c r="I413" i="6" s="1"/>
  <c r="D413" i="6"/>
  <c r="C413" i="6"/>
  <c r="G413" i="6" s="1"/>
  <c r="J412" i="6"/>
  <c r="E412" i="6"/>
  <c r="I412" i="6" s="1"/>
  <c r="D412" i="6"/>
  <c r="H412" i="6" s="1"/>
  <c r="C412" i="6"/>
  <c r="G412" i="6" s="1"/>
  <c r="J411" i="6"/>
  <c r="H411" i="6"/>
  <c r="G411" i="6"/>
  <c r="E411" i="6"/>
  <c r="I411" i="6" s="1"/>
  <c r="D411" i="6"/>
  <c r="C411" i="6"/>
  <c r="J410" i="6"/>
  <c r="E410" i="6"/>
  <c r="I410" i="6" s="1"/>
  <c r="D410" i="6"/>
  <c r="H410" i="6" s="1"/>
  <c r="C410" i="6"/>
  <c r="G410" i="6" s="1"/>
  <c r="J409" i="6"/>
  <c r="H409" i="6"/>
  <c r="E409" i="6"/>
  <c r="I409" i="6" s="1"/>
  <c r="D409" i="6"/>
  <c r="C409" i="6"/>
  <c r="G409" i="6" s="1"/>
  <c r="J408" i="6"/>
  <c r="H408" i="6"/>
  <c r="E408" i="6"/>
  <c r="I408" i="6" s="1"/>
  <c r="D408" i="6"/>
  <c r="C408" i="6"/>
  <c r="G408" i="6" s="1"/>
  <c r="J407" i="6"/>
  <c r="G407" i="6"/>
  <c r="E407" i="6"/>
  <c r="I407" i="6" s="1"/>
  <c r="D407" i="6"/>
  <c r="H407" i="6" s="1"/>
  <c r="C407" i="6"/>
  <c r="J406" i="6"/>
  <c r="H406" i="6"/>
  <c r="E406" i="6"/>
  <c r="I406" i="6" s="1"/>
  <c r="D406" i="6"/>
  <c r="C406" i="6"/>
  <c r="G406" i="6" s="1"/>
  <c r="J405" i="6"/>
  <c r="E405" i="6"/>
  <c r="I405" i="6" s="1"/>
  <c r="D405" i="6"/>
  <c r="H405" i="6" s="1"/>
  <c r="C405" i="6"/>
  <c r="G405" i="6" s="1"/>
  <c r="J404" i="6"/>
  <c r="G404" i="6"/>
  <c r="E404" i="6"/>
  <c r="I404" i="6" s="1"/>
  <c r="D404" i="6"/>
  <c r="H404" i="6" s="1"/>
  <c r="C404" i="6"/>
  <c r="J403" i="6"/>
  <c r="E403" i="6"/>
  <c r="I403" i="6" s="1"/>
  <c r="D403" i="6"/>
  <c r="H403" i="6" s="1"/>
  <c r="C403" i="6"/>
  <c r="G403" i="6" s="1"/>
  <c r="J402" i="6"/>
  <c r="E402" i="6"/>
  <c r="I402" i="6" s="1"/>
  <c r="D402" i="6"/>
  <c r="H402" i="6" s="1"/>
  <c r="C402" i="6"/>
  <c r="G402" i="6" s="1"/>
  <c r="J401" i="6"/>
  <c r="E401" i="6"/>
  <c r="I401" i="6" s="1"/>
  <c r="D401" i="6"/>
  <c r="H401" i="6" s="1"/>
  <c r="C401" i="6"/>
  <c r="G401" i="6" s="1"/>
  <c r="K401" i="6" s="1"/>
  <c r="J400" i="6"/>
  <c r="H400" i="6"/>
  <c r="E400" i="6"/>
  <c r="I400" i="6" s="1"/>
  <c r="D400" i="6"/>
  <c r="C400" i="6"/>
  <c r="G400" i="6" s="1"/>
  <c r="J399" i="6"/>
  <c r="E399" i="6"/>
  <c r="I399" i="6" s="1"/>
  <c r="D399" i="6"/>
  <c r="H399" i="6" s="1"/>
  <c r="C399" i="6"/>
  <c r="G399" i="6" s="1"/>
  <c r="J398" i="6"/>
  <c r="H398" i="6"/>
  <c r="G398" i="6"/>
  <c r="E398" i="6"/>
  <c r="I398" i="6" s="1"/>
  <c r="D398" i="6"/>
  <c r="C398" i="6"/>
  <c r="J397" i="6"/>
  <c r="E397" i="6"/>
  <c r="I397" i="6" s="1"/>
  <c r="D397" i="6"/>
  <c r="H397" i="6" s="1"/>
  <c r="C397" i="6"/>
  <c r="G397" i="6" s="1"/>
  <c r="J396" i="6"/>
  <c r="E396" i="6"/>
  <c r="I396" i="6" s="1"/>
  <c r="D396" i="6"/>
  <c r="H396" i="6" s="1"/>
  <c r="C396" i="6"/>
  <c r="G396" i="6" s="1"/>
  <c r="J395" i="6"/>
  <c r="H395" i="6"/>
  <c r="G395" i="6"/>
  <c r="K395" i="6" s="1"/>
  <c r="E395" i="6"/>
  <c r="I395" i="6" s="1"/>
  <c r="D395" i="6"/>
  <c r="C395" i="6"/>
  <c r="J394" i="6"/>
  <c r="E394" i="6"/>
  <c r="I394" i="6" s="1"/>
  <c r="D394" i="6"/>
  <c r="H394" i="6" s="1"/>
  <c r="C394" i="6"/>
  <c r="G394" i="6" s="1"/>
  <c r="J393" i="6"/>
  <c r="G393" i="6"/>
  <c r="E393" i="6"/>
  <c r="I393" i="6" s="1"/>
  <c r="D393" i="6"/>
  <c r="H393" i="6" s="1"/>
  <c r="C393" i="6"/>
  <c r="J392" i="6"/>
  <c r="E392" i="6"/>
  <c r="I392" i="6" s="1"/>
  <c r="D392" i="6"/>
  <c r="H392" i="6" s="1"/>
  <c r="C392" i="6"/>
  <c r="G392" i="6" s="1"/>
  <c r="J391" i="6"/>
  <c r="E391" i="6"/>
  <c r="I391" i="6" s="1"/>
  <c r="D391" i="6"/>
  <c r="H391" i="6" s="1"/>
  <c r="C391" i="6"/>
  <c r="G391" i="6" s="1"/>
  <c r="J390" i="6"/>
  <c r="E390" i="6"/>
  <c r="I390" i="6" s="1"/>
  <c r="D390" i="6"/>
  <c r="H390" i="6" s="1"/>
  <c r="C390" i="6"/>
  <c r="G390" i="6" s="1"/>
  <c r="J389" i="6"/>
  <c r="E389" i="6"/>
  <c r="I389" i="6" s="1"/>
  <c r="D389" i="6"/>
  <c r="H389" i="6" s="1"/>
  <c r="C389" i="6"/>
  <c r="G389" i="6" s="1"/>
  <c r="J388" i="6"/>
  <c r="E388" i="6"/>
  <c r="I388" i="6" s="1"/>
  <c r="D388" i="6"/>
  <c r="H388" i="6" s="1"/>
  <c r="C388" i="6"/>
  <c r="G388" i="6" s="1"/>
  <c r="J387" i="6"/>
  <c r="H387" i="6"/>
  <c r="E387" i="6"/>
  <c r="I387" i="6" s="1"/>
  <c r="D387" i="6"/>
  <c r="C387" i="6"/>
  <c r="G387" i="6" s="1"/>
  <c r="J386" i="6"/>
  <c r="E386" i="6"/>
  <c r="I386" i="6" s="1"/>
  <c r="D386" i="6"/>
  <c r="H386" i="6" s="1"/>
  <c r="C386" i="6"/>
  <c r="G386" i="6" s="1"/>
  <c r="J385" i="6"/>
  <c r="H385" i="6"/>
  <c r="E385" i="6"/>
  <c r="I385" i="6" s="1"/>
  <c r="D385" i="6"/>
  <c r="C385" i="6"/>
  <c r="G385" i="6" s="1"/>
  <c r="J384" i="6"/>
  <c r="H384" i="6"/>
  <c r="E384" i="6"/>
  <c r="I384" i="6" s="1"/>
  <c r="D384" i="6"/>
  <c r="C384" i="6"/>
  <c r="G384" i="6" s="1"/>
  <c r="J383" i="6"/>
  <c r="H383" i="6"/>
  <c r="G383" i="6"/>
  <c r="E383" i="6"/>
  <c r="I383" i="6" s="1"/>
  <c r="D383" i="6"/>
  <c r="C383" i="6"/>
  <c r="J382" i="6"/>
  <c r="H382" i="6"/>
  <c r="E382" i="6"/>
  <c r="I382" i="6" s="1"/>
  <c r="D382" i="6"/>
  <c r="C382" i="6"/>
  <c r="G382" i="6" s="1"/>
  <c r="J381" i="6"/>
  <c r="G381" i="6"/>
  <c r="E381" i="6"/>
  <c r="I381" i="6" s="1"/>
  <c r="D381" i="6"/>
  <c r="H381" i="6" s="1"/>
  <c r="C381" i="6"/>
  <c r="J380" i="6"/>
  <c r="H380" i="6"/>
  <c r="G380" i="6"/>
  <c r="E380" i="6"/>
  <c r="I380" i="6" s="1"/>
  <c r="D380" i="6"/>
  <c r="C380" i="6"/>
  <c r="J379" i="6"/>
  <c r="E379" i="6"/>
  <c r="I379" i="6" s="1"/>
  <c r="D379" i="6"/>
  <c r="H379" i="6" s="1"/>
  <c r="C379" i="6"/>
  <c r="G379" i="6" s="1"/>
  <c r="J378" i="6"/>
  <c r="E378" i="6"/>
  <c r="I378" i="6" s="1"/>
  <c r="D378" i="6"/>
  <c r="H378" i="6" s="1"/>
  <c r="C378" i="6"/>
  <c r="G378" i="6" s="1"/>
  <c r="J377" i="6"/>
  <c r="E377" i="6"/>
  <c r="I377" i="6" s="1"/>
  <c r="D377" i="6"/>
  <c r="H377" i="6" s="1"/>
  <c r="C377" i="6"/>
  <c r="G377" i="6" s="1"/>
  <c r="J376" i="6"/>
  <c r="E376" i="6"/>
  <c r="I376" i="6" s="1"/>
  <c r="D376" i="6"/>
  <c r="H376" i="6" s="1"/>
  <c r="C376" i="6"/>
  <c r="G376" i="6" s="1"/>
  <c r="J375" i="6"/>
  <c r="E375" i="6"/>
  <c r="I375" i="6" s="1"/>
  <c r="D375" i="6"/>
  <c r="H375" i="6" s="1"/>
  <c r="C375" i="6"/>
  <c r="G375" i="6" s="1"/>
  <c r="J374" i="6"/>
  <c r="H374" i="6"/>
  <c r="E374" i="6"/>
  <c r="I374" i="6" s="1"/>
  <c r="D374" i="6"/>
  <c r="C374" i="6"/>
  <c r="G374" i="6" s="1"/>
  <c r="J373" i="6"/>
  <c r="E373" i="6"/>
  <c r="I373" i="6" s="1"/>
  <c r="D373" i="6"/>
  <c r="H373" i="6" s="1"/>
  <c r="C373" i="6"/>
  <c r="G373" i="6" s="1"/>
  <c r="J372" i="6"/>
  <c r="H372" i="6"/>
  <c r="E372" i="6"/>
  <c r="I372" i="6" s="1"/>
  <c r="D372" i="6"/>
  <c r="C372" i="6"/>
  <c r="G372" i="6" s="1"/>
  <c r="J371" i="6"/>
  <c r="H371" i="6"/>
  <c r="E371" i="6"/>
  <c r="I371" i="6" s="1"/>
  <c r="D371" i="6"/>
  <c r="C371" i="6"/>
  <c r="G371" i="6" s="1"/>
  <c r="K371" i="6" s="1"/>
  <c r="J370" i="6"/>
  <c r="E370" i="6"/>
  <c r="I370" i="6" s="1"/>
  <c r="D370" i="6"/>
  <c r="H370" i="6" s="1"/>
  <c r="C370" i="6"/>
  <c r="G370" i="6" s="1"/>
  <c r="J369" i="6"/>
  <c r="H369" i="6"/>
  <c r="G369" i="6"/>
  <c r="E369" i="6"/>
  <c r="I369" i="6" s="1"/>
  <c r="D369" i="6"/>
  <c r="C369" i="6"/>
  <c r="J368" i="6"/>
  <c r="G368" i="6"/>
  <c r="E368" i="6"/>
  <c r="I368" i="6" s="1"/>
  <c r="D368" i="6"/>
  <c r="H368" i="6" s="1"/>
  <c r="C368" i="6"/>
  <c r="J367" i="6"/>
  <c r="H367" i="6"/>
  <c r="E367" i="6"/>
  <c r="I367" i="6" s="1"/>
  <c r="D367" i="6"/>
  <c r="C367" i="6"/>
  <c r="G367" i="6" s="1"/>
  <c r="J366" i="6"/>
  <c r="E366" i="6"/>
  <c r="I366" i="6" s="1"/>
  <c r="D366" i="6"/>
  <c r="H366" i="6" s="1"/>
  <c r="C366" i="6"/>
  <c r="G366" i="6" s="1"/>
  <c r="J365" i="6"/>
  <c r="E365" i="6"/>
  <c r="I365" i="6" s="1"/>
  <c r="D365" i="6"/>
  <c r="H365" i="6" s="1"/>
  <c r="C365" i="6"/>
  <c r="G365" i="6" s="1"/>
  <c r="J364" i="6"/>
  <c r="E364" i="6"/>
  <c r="I364" i="6" s="1"/>
  <c r="D364" i="6"/>
  <c r="H364" i="6" s="1"/>
  <c r="C364" i="6"/>
  <c r="G364" i="6" s="1"/>
  <c r="J363" i="6"/>
  <c r="H363" i="6"/>
  <c r="E363" i="6"/>
  <c r="I363" i="6" s="1"/>
  <c r="D363" i="6"/>
  <c r="C363" i="6"/>
  <c r="G363" i="6" s="1"/>
  <c r="J362" i="6"/>
  <c r="E362" i="6"/>
  <c r="I362" i="6" s="1"/>
  <c r="D362" i="6"/>
  <c r="H362" i="6" s="1"/>
  <c r="C362" i="6"/>
  <c r="G362" i="6" s="1"/>
  <c r="J361" i="6"/>
  <c r="H361" i="6"/>
  <c r="E361" i="6"/>
  <c r="I361" i="6" s="1"/>
  <c r="D361" i="6"/>
  <c r="C361" i="6"/>
  <c r="G361" i="6" s="1"/>
  <c r="J360" i="6"/>
  <c r="H360" i="6"/>
  <c r="E360" i="6"/>
  <c r="I360" i="6" s="1"/>
  <c r="D360" i="6"/>
  <c r="C360" i="6"/>
  <c r="G360" i="6" s="1"/>
  <c r="J359" i="6"/>
  <c r="H359" i="6"/>
  <c r="G359" i="6"/>
  <c r="E359" i="6"/>
  <c r="I359" i="6" s="1"/>
  <c r="D359" i="6"/>
  <c r="C359" i="6"/>
  <c r="J358" i="6"/>
  <c r="H358" i="6"/>
  <c r="E358" i="6"/>
  <c r="I358" i="6" s="1"/>
  <c r="D358" i="6"/>
  <c r="C358" i="6"/>
  <c r="G358" i="6" s="1"/>
  <c r="J357" i="6"/>
  <c r="G357" i="6"/>
  <c r="E357" i="6"/>
  <c r="I357" i="6" s="1"/>
  <c r="D357" i="6"/>
  <c r="H357" i="6" s="1"/>
  <c r="C357" i="6"/>
  <c r="J356" i="6"/>
  <c r="H356" i="6"/>
  <c r="G356" i="6"/>
  <c r="E356" i="6"/>
  <c r="I356" i="6" s="1"/>
  <c r="D356" i="6"/>
  <c r="C356" i="6"/>
  <c r="J355" i="6"/>
  <c r="E355" i="6"/>
  <c r="I355" i="6" s="1"/>
  <c r="D355" i="6"/>
  <c r="H355" i="6" s="1"/>
  <c r="C355" i="6"/>
  <c r="G355" i="6" s="1"/>
  <c r="J354" i="6"/>
  <c r="H354" i="6"/>
  <c r="E354" i="6"/>
  <c r="I354" i="6" s="1"/>
  <c r="O354" i="6" s="1"/>
  <c r="D354" i="6"/>
  <c r="C354" i="6"/>
  <c r="G354" i="6" s="1"/>
  <c r="J353" i="6"/>
  <c r="E353" i="6"/>
  <c r="I353" i="6" s="1"/>
  <c r="D353" i="6"/>
  <c r="H353" i="6" s="1"/>
  <c r="C353" i="6"/>
  <c r="G353" i="6" s="1"/>
  <c r="J352" i="6"/>
  <c r="E352" i="6"/>
  <c r="I352" i="6" s="1"/>
  <c r="D352" i="6"/>
  <c r="H352" i="6" s="1"/>
  <c r="C352" i="6"/>
  <c r="G352" i="6" s="1"/>
  <c r="J351" i="6"/>
  <c r="E351" i="6"/>
  <c r="I351" i="6" s="1"/>
  <c r="D351" i="6"/>
  <c r="H351" i="6" s="1"/>
  <c r="C351" i="6"/>
  <c r="G351" i="6" s="1"/>
  <c r="J350" i="6"/>
  <c r="G350" i="6"/>
  <c r="E350" i="6"/>
  <c r="I350" i="6" s="1"/>
  <c r="D350" i="6"/>
  <c r="H350" i="6" s="1"/>
  <c r="C350" i="6"/>
  <c r="J349" i="6"/>
  <c r="E349" i="6"/>
  <c r="I349" i="6" s="1"/>
  <c r="D349" i="6"/>
  <c r="H349" i="6" s="1"/>
  <c r="C349" i="6"/>
  <c r="G349" i="6" s="1"/>
  <c r="J348" i="6"/>
  <c r="H348" i="6"/>
  <c r="E348" i="6"/>
  <c r="I348" i="6" s="1"/>
  <c r="D348" i="6"/>
  <c r="C348" i="6"/>
  <c r="G348" i="6" s="1"/>
  <c r="J347" i="6"/>
  <c r="E347" i="6"/>
  <c r="I347" i="6" s="1"/>
  <c r="D347" i="6"/>
  <c r="H347" i="6" s="1"/>
  <c r="C347" i="6"/>
  <c r="G347" i="6" s="1"/>
  <c r="J346" i="6"/>
  <c r="H346" i="6"/>
  <c r="E346" i="6"/>
  <c r="I346" i="6" s="1"/>
  <c r="D346" i="6"/>
  <c r="C346" i="6"/>
  <c r="G346" i="6" s="1"/>
  <c r="J345" i="6"/>
  <c r="H345" i="6"/>
  <c r="E345" i="6"/>
  <c r="I345" i="6" s="1"/>
  <c r="D345" i="6"/>
  <c r="C345" i="6"/>
  <c r="G345" i="6" s="1"/>
  <c r="J344" i="6"/>
  <c r="H344" i="6"/>
  <c r="G344" i="6"/>
  <c r="E344" i="6"/>
  <c r="I344" i="6" s="1"/>
  <c r="D344" i="6"/>
  <c r="C344" i="6"/>
  <c r="J343" i="6"/>
  <c r="H343" i="6"/>
  <c r="E343" i="6"/>
  <c r="I343" i="6" s="1"/>
  <c r="D343" i="6"/>
  <c r="C343" i="6"/>
  <c r="G343" i="6" s="1"/>
  <c r="J342" i="6"/>
  <c r="E342" i="6"/>
  <c r="I342" i="6" s="1"/>
  <c r="D342" i="6"/>
  <c r="H342" i="6" s="1"/>
  <c r="C342" i="6"/>
  <c r="G342" i="6" s="1"/>
  <c r="J341" i="6"/>
  <c r="G341" i="6"/>
  <c r="E341" i="6"/>
  <c r="I341" i="6" s="1"/>
  <c r="D341" i="6"/>
  <c r="H341" i="6" s="1"/>
  <c r="C341" i="6"/>
  <c r="J340" i="6"/>
  <c r="E340" i="6"/>
  <c r="I340" i="6" s="1"/>
  <c r="D340" i="6"/>
  <c r="H340" i="6" s="1"/>
  <c r="C340" i="6"/>
  <c r="G340" i="6" s="1"/>
  <c r="J339" i="6"/>
  <c r="E339" i="6"/>
  <c r="I339" i="6" s="1"/>
  <c r="D339" i="6"/>
  <c r="H339" i="6" s="1"/>
  <c r="C339" i="6"/>
  <c r="G339" i="6" s="1"/>
  <c r="J338" i="6"/>
  <c r="E338" i="6"/>
  <c r="I338" i="6" s="1"/>
  <c r="D338" i="6"/>
  <c r="H338" i="6" s="1"/>
  <c r="C338" i="6"/>
  <c r="G338" i="6" s="1"/>
  <c r="J337" i="6"/>
  <c r="E337" i="6"/>
  <c r="I337" i="6" s="1"/>
  <c r="D337" i="6"/>
  <c r="H337" i="6" s="1"/>
  <c r="C337" i="6"/>
  <c r="G337" i="6" s="1"/>
  <c r="J336" i="6"/>
  <c r="H336" i="6"/>
  <c r="E336" i="6"/>
  <c r="I336" i="6" s="1"/>
  <c r="D336" i="6"/>
  <c r="C336" i="6"/>
  <c r="G336" i="6" s="1"/>
  <c r="J335" i="6"/>
  <c r="H335" i="6"/>
  <c r="E335" i="6"/>
  <c r="I335" i="6" s="1"/>
  <c r="D335" i="6"/>
  <c r="C335" i="6"/>
  <c r="G335" i="6" s="1"/>
  <c r="J334" i="6"/>
  <c r="H334" i="6"/>
  <c r="E334" i="6"/>
  <c r="I334" i="6" s="1"/>
  <c r="D334" i="6"/>
  <c r="C334" i="6"/>
  <c r="G334" i="6" s="1"/>
  <c r="J333" i="6"/>
  <c r="H333" i="6"/>
  <c r="G333" i="6"/>
  <c r="E333" i="6"/>
  <c r="I333" i="6" s="1"/>
  <c r="D333" i="6"/>
  <c r="C333" i="6"/>
  <c r="J332" i="6"/>
  <c r="H332" i="6"/>
  <c r="G332" i="6"/>
  <c r="E332" i="6"/>
  <c r="I332" i="6" s="1"/>
  <c r="D332" i="6"/>
  <c r="C332" i="6"/>
  <c r="J331" i="6"/>
  <c r="H331" i="6"/>
  <c r="E331" i="6"/>
  <c r="I331" i="6" s="1"/>
  <c r="D331" i="6"/>
  <c r="C331" i="6"/>
  <c r="G331" i="6" s="1"/>
  <c r="J330" i="6"/>
  <c r="H330" i="6"/>
  <c r="E330" i="6"/>
  <c r="I330" i="6" s="1"/>
  <c r="D330" i="6"/>
  <c r="C330" i="6"/>
  <c r="G330" i="6" s="1"/>
  <c r="J329" i="6"/>
  <c r="G329" i="6"/>
  <c r="E329" i="6"/>
  <c r="I329" i="6" s="1"/>
  <c r="D329" i="6"/>
  <c r="H329" i="6" s="1"/>
  <c r="C329" i="6"/>
  <c r="J328" i="6"/>
  <c r="H328" i="6"/>
  <c r="E328" i="6"/>
  <c r="I328" i="6" s="1"/>
  <c r="D328" i="6"/>
  <c r="C328" i="6"/>
  <c r="G328" i="6" s="1"/>
  <c r="J327" i="6"/>
  <c r="E327" i="6"/>
  <c r="I327" i="6" s="1"/>
  <c r="D327" i="6"/>
  <c r="H327" i="6" s="1"/>
  <c r="C327" i="6"/>
  <c r="G327" i="6" s="1"/>
  <c r="J326" i="6"/>
  <c r="G326" i="6"/>
  <c r="E326" i="6"/>
  <c r="I326" i="6" s="1"/>
  <c r="D326" i="6"/>
  <c r="H326" i="6" s="1"/>
  <c r="C326" i="6"/>
  <c r="J325" i="6"/>
  <c r="E325" i="6"/>
  <c r="I325" i="6" s="1"/>
  <c r="D325" i="6"/>
  <c r="H325" i="6" s="1"/>
  <c r="C325" i="6"/>
  <c r="G325" i="6" s="1"/>
  <c r="J324" i="6"/>
  <c r="E324" i="6"/>
  <c r="I324" i="6" s="1"/>
  <c r="D324" i="6"/>
  <c r="H324" i="6" s="1"/>
  <c r="C324" i="6"/>
  <c r="G324" i="6" s="1"/>
  <c r="J323" i="6"/>
  <c r="E323" i="6"/>
  <c r="I323" i="6" s="1"/>
  <c r="D323" i="6"/>
  <c r="H323" i="6" s="1"/>
  <c r="C323" i="6"/>
  <c r="G323" i="6" s="1"/>
  <c r="J322" i="6"/>
  <c r="E322" i="6"/>
  <c r="I322" i="6" s="1"/>
  <c r="D322" i="6"/>
  <c r="H322" i="6" s="1"/>
  <c r="C322" i="6"/>
  <c r="G322" i="6" s="1"/>
  <c r="J321" i="6"/>
  <c r="E321" i="6"/>
  <c r="I321" i="6" s="1"/>
  <c r="D321" i="6"/>
  <c r="H321" i="6" s="1"/>
  <c r="C321" i="6"/>
  <c r="G321" i="6" s="1"/>
  <c r="J320" i="6"/>
  <c r="G320" i="6"/>
  <c r="E320" i="6"/>
  <c r="I320" i="6" s="1"/>
  <c r="D320" i="6"/>
  <c r="H320" i="6" s="1"/>
  <c r="C320" i="6"/>
  <c r="J319" i="6"/>
  <c r="E319" i="6"/>
  <c r="I319" i="6" s="1"/>
  <c r="D319" i="6"/>
  <c r="H319" i="6" s="1"/>
  <c r="C319" i="6"/>
  <c r="G319" i="6" s="1"/>
  <c r="J318" i="6"/>
  <c r="E318" i="6"/>
  <c r="I318" i="6" s="1"/>
  <c r="D318" i="6"/>
  <c r="H318" i="6" s="1"/>
  <c r="C318" i="6"/>
  <c r="G318" i="6" s="1"/>
  <c r="J317" i="6"/>
  <c r="H317" i="6"/>
  <c r="G317" i="6"/>
  <c r="E317" i="6"/>
  <c r="I317" i="6" s="1"/>
  <c r="D317" i="6"/>
  <c r="C317" i="6"/>
  <c r="J316" i="6"/>
  <c r="E316" i="6"/>
  <c r="I316" i="6" s="1"/>
  <c r="D316" i="6"/>
  <c r="H316" i="6" s="1"/>
  <c r="C316" i="6"/>
  <c r="G316" i="6" s="1"/>
  <c r="J315" i="6"/>
  <c r="H315" i="6"/>
  <c r="E315" i="6"/>
  <c r="I315" i="6" s="1"/>
  <c r="D315" i="6"/>
  <c r="C315" i="6"/>
  <c r="G315" i="6" s="1"/>
  <c r="J314" i="6"/>
  <c r="E314" i="6"/>
  <c r="I314" i="6" s="1"/>
  <c r="D314" i="6"/>
  <c r="H314" i="6" s="1"/>
  <c r="C314" i="6"/>
  <c r="G314" i="6" s="1"/>
  <c r="J313" i="6"/>
  <c r="E313" i="6"/>
  <c r="I313" i="6" s="1"/>
  <c r="D313" i="6"/>
  <c r="H313" i="6" s="1"/>
  <c r="C313" i="6"/>
  <c r="G313" i="6" s="1"/>
  <c r="J312" i="6"/>
  <c r="H312" i="6"/>
  <c r="E312" i="6"/>
  <c r="I312" i="6" s="1"/>
  <c r="D312" i="6"/>
  <c r="C312" i="6"/>
  <c r="G312" i="6" s="1"/>
  <c r="J311" i="6"/>
  <c r="E311" i="6"/>
  <c r="I311" i="6" s="1"/>
  <c r="D311" i="6"/>
  <c r="H311" i="6" s="1"/>
  <c r="C311" i="6"/>
  <c r="G311" i="6" s="1"/>
  <c r="J310" i="6"/>
  <c r="E310" i="6"/>
  <c r="I310" i="6" s="1"/>
  <c r="D310" i="6"/>
  <c r="H310" i="6" s="1"/>
  <c r="C310" i="6"/>
  <c r="G310" i="6" s="1"/>
  <c r="J309" i="6"/>
  <c r="H309" i="6"/>
  <c r="E309" i="6"/>
  <c r="I309" i="6" s="1"/>
  <c r="D309" i="6"/>
  <c r="C309" i="6"/>
  <c r="G309" i="6" s="1"/>
  <c r="J308" i="6"/>
  <c r="H308" i="6"/>
  <c r="G308" i="6"/>
  <c r="E308" i="6"/>
  <c r="I308" i="6" s="1"/>
  <c r="D308" i="6"/>
  <c r="C308" i="6"/>
  <c r="J307" i="6"/>
  <c r="E307" i="6"/>
  <c r="I307" i="6" s="1"/>
  <c r="D307" i="6"/>
  <c r="H307" i="6" s="1"/>
  <c r="C307" i="6"/>
  <c r="G307" i="6" s="1"/>
  <c r="J306" i="6"/>
  <c r="G306" i="6"/>
  <c r="E306" i="6"/>
  <c r="I306" i="6" s="1"/>
  <c r="D306" i="6"/>
  <c r="H306" i="6" s="1"/>
  <c r="C306" i="6"/>
  <c r="J305" i="6"/>
  <c r="E305" i="6"/>
  <c r="I305" i="6" s="1"/>
  <c r="D305" i="6"/>
  <c r="H305" i="6" s="1"/>
  <c r="C305" i="6"/>
  <c r="G305" i="6" s="1"/>
  <c r="J304" i="6"/>
  <c r="E304" i="6"/>
  <c r="I304" i="6" s="1"/>
  <c r="D304" i="6"/>
  <c r="H304" i="6" s="1"/>
  <c r="C304" i="6"/>
  <c r="G304" i="6" s="1"/>
  <c r="J303" i="6"/>
  <c r="E303" i="6"/>
  <c r="I303" i="6" s="1"/>
  <c r="D303" i="6"/>
  <c r="H303" i="6" s="1"/>
  <c r="C303" i="6"/>
  <c r="G303" i="6" s="1"/>
  <c r="J302" i="6"/>
  <c r="H302" i="6"/>
  <c r="E302" i="6"/>
  <c r="I302" i="6" s="1"/>
  <c r="D302" i="6"/>
  <c r="C302" i="6"/>
  <c r="G302" i="6" s="1"/>
  <c r="J301" i="6"/>
  <c r="E301" i="6"/>
  <c r="I301" i="6" s="1"/>
  <c r="D301" i="6"/>
  <c r="H301" i="6" s="1"/>
  <c r="C301" i="6"/>
  <c r="G301" i="6" s="1"/>
  <c r="K301" i="6" s="1"/>
  <c r="J300" i="6"/>
  <c r="H300" i="6"/>
  <c r="G300" i="6"/>
  <c r="K300" i="6" s="1"/>
  <c r="E300" i="6"/>
  <c r="I300" i="6" s="1"/>
  <c r="D300" i="6"/>
  <c r="C300" i="6"/>
  <c r="J299" i="6"/>
  <c r="E299" i="6"/>
  <c r="I299" i="6" s="1"/>
  <c r="D299" i="6"/>
  <c r="H299" i="6" s="1"/>
  <c r="C299" i="6"/>
  <c r="G299" i="6" s="1"/>
  <c r="J298" i="6"/>
  <c r="E298" i="6"/>
  <c r="I298" i="6" s="1"/>
  <c r="D298" i="6"/>
  <c r="H298" i="6" s="1"/>
  <c r="C298" i="6"/>
  <c r="G298" i="6" s="1"/>
  <c r="J297" i="6"/>
  <c r="H297" i="6"/>
  <c r="E297" i="6"/>
  <c r="I297" i="6" s="1"/>
  <c r="D297" i="6"/>
  <c r="C297" i="6"/>
  <c r="G297" i="6" s="1"/>
  <c r="K297" i="6" s="1"/>
  <c r="J296" i="6"/>
  <c r="H296" i="6"/>
  <c r="G296" i="6"/>
  <c r="E296" i="6"/>
  <c r="I296" i="6" s="1"/>
  <c r="D296" i="6"/>
  <c r="C296" i="6"/>
  <c r="J295" i="6"/>
  <c r="H295" i="6"/>
  <c r="E295" i="6"/>
  <c r="I295" i="6" s="1"/>
  <c r="D295" i="6"/>
  <c r="C295" i="6"/>
  <c r="G295" i="6" s="1"/>
  <c r="J294" i="6"/>
  <c r="G294" i="6"/>
  <c r="E294" i="6"/>
  <c r="I294" i="6" s="1"/>
  <c r="D294" i="6"/>
  <c r="H294" i="6" s="1"/>
  <c r="C294" i="6"/>
  <c r="J293" i="6"/>
  <c r="E293" i="6"/>
  <c r="I293" i="6" s="1"/>
  <c r="D293" i="6"/>
  <c r="H293" i="6" s="1"/>
  <c r="C293" i="6"/>
  <c r="G293" i="6" s="1"/>
  <c r="J292" i="6"/>
  <c r="E292" i="6"/>
  <c r="I292" i="6" s="1"/>
  <c r="D292" i="6"/>
  <c r="H292" i="6" s="1"/>
  <c r="C292" i="6"/>
  <c r="G292" i="6" s="1"/>
  <c r="J291" i="6"/>
  <c r="E291" i="6"/>
  <c r="I291" i="6" s="1"/>
  <c r="D291" i="6"/>
  <c r="H291" i="6" s="1"/>
  <c r="C291" i="6"/>
  <c r="G291" i="6" s="1"/>
  <c r="J290" i="6"/>
  <c r="H290" i="6"/>
  <c r="E290" i="6"/>
  <c r="I290" i="6" s="1"/>
  <c r="D290" i="6"/>
  <c r="C290" i="6"/>
  <c r="G290" i="6" s="1"/>
  <c r="J289" i="6"/>
  <c r="E289" i="6"/>
  <c r="I289" i="6" s="1"/>
  <c r="D289" i="6"/>
  <c r="H289" i="6" s="1"/>
  <c r="C289" i="6"/>
  <c r="G289" i="6" s="1"/>
  <c r="J288" i="6"/>
  <c r="E288" i="6"/>
  <c r="I288" i="6" s="1"/>
  <c r="D288" i="6"/>
  <c r="H288" i="6" s="1"/>
  <c r="C288" i="6"/>
  <c r="G288" i="6" s="1"/>
  <c r="J287" i="6"/>
  <c r="E287" i="6"/>
  <c r="I287" i="6" s="1"/>
  <c r="D287" i="6"/>
  <c r="H287" i="6" s="1"/>
  <c r="C287" i="6"/>
  <c r="G287" i="6" s="1"/>
  <c r="J286" i="6"/>
  <c r="H286" i="6"/>
  <c r="E286" i="6"/>
  <c r="I286" i="6" s="1"/>
  <c r="D286" i="6"/>
  <c r="C286" i="6"/>
  <c r="G286" i="6" s="1"/>
  <c r="J285" i="6"/>
  <c r="H285" i="6"/>
  <c r="E285" i="6"/>
  <c r="I285" i="6" s="1"/>
  <c r="D285" i="6"/>
  <c r="C285" i="6"/>
  <c r="G285" i="6" s="1"/>
  <c r="J284" i="6"/>
  <c r="E284" i="6"/>
  <c r="I284" i="6" s="1"/>
  <c r="D284" i="6"/>
  <c r="H284" i="6" s="1"/>
  <c r="C284" i="6"/>
  <c r="G284" i="6" s="1"/>
  <c r="J283" i="6"/>
  <c r="H283" i="6"/>
  <c r="E283" i="6"/>
  <c r="I283" i="6" s="1"/>
  <c r="D283" i="6"/>
  <c r="C283" i="6"/>
  <c r="G283" i="6" s="1"/>
  <c r="J282" i="6"/>
  <c r="E282" i="6"/>
  <c r="I282" i="6" s="1"/>
  <c r="D282" i="6"/>
  <c r="H282" i="6" s="1"/>
  <c r="C282" i="6"/>
  <c r="G282" i="6" s="1"/>
  <c r="J281" i="6"/>
  <c r="H281" i="6"/>
  <c r="E281" i="6"/>
  <c r="I281" i="6" s="1"/>
  <c r="D281" i="6"/>
  <c r="C281" i="6"/>
  <c r="G281" i="6" s="1"/>
  <c r="J280" i="6"/>
  <c r="H280" i="6"/>
  <c r="E280" i="6"/>
  <c r="I280" i="6" s="1"/>
  <c r="D280" i="6"/>
  <c r="C280" i="6"/>
  <c r="G280" i="6" s="1"/>
  <c r="J279" i="6"/>
  <c r="H279" i="6"/>
  <c r="E279" i="6"/>
  <c r="I279" i="6" s="1"/>
  <c r="D279" i="6"/>
  <c r="C279" i="6"/>
  <c r="G279" i="6" s="1"/>
  <c r="J278" i="6"/>
  <c r="H278" i="6"/>
  <c r="E278" i="6"/>
  <c r="I278" i="6" s="1"/>
  <c r="D278" i="6"/>
  <c r="C278" i="6"/>
  <c r="G278" i="6" s="1"/>
  <c r="J277" i="6"/>
  <c r="E277" i="6"/>
  <c r="I277" i="6" s="1"/>
  <c r="D277" i="6"/>
  <c r="H277" i="6" s="1"/>
  <c r="C277" i="6"/>
  <c r="G277" i="6" s="1"/>
  <c r="J276" i="6"/>
  <c r="E276" i="6"/>
  <c r="I276" i="6" s="1"/>
  <c r="D276" i="6"/>
  <c r="H276" i="6" s="1"/>
  <c r="C276" i="6"/>
  <c r="G276" i="6" s="1"/>
  <c r="J275" i="6"/>
  <c r="E275" i="6"/>
  <c r="I275" i="6" s="1"/>
  <c r="D275" i="6"/>
  <c r="H275" i="6" s="1"/>
  <c r="C275" i="6"/>
  <c r="G275" i="6" s="1"/>
  <c r="J274" i="6"/>
  <c r="H274" i="6"/>
  <c r="E274" i="6"/>
  <c r="I274" i="6" s="1"/>
  <c r="D274" i="6"/>
  <c r="C274" i="6"/>
  <c r="G274" i="6" s="1"/>
  <c r="J273" i="6"/>
  <c r="E273" i="6"/>
  <c r="I273" i="6" s="1"/>
  <c r="D273" i="6"/>
  <c r="H273" i="6" s="1"/>
  <c r="C273" i="6"/>
  <c r="G273" i="6" s="1"/>
  <c r="J272" i="6"/>
  <c r="E272" i="6"/>
  <c r="I272" i="6" s="1"/>
  <c r="D272" i="6"/>
  <c r="H272" i="6" s="1"/>
  <c r="C272" i="6"/>
  <c r="G272" i="6" s="1"/>
  <c r="J271" i="6"/>
  <c r="H271" i="6"/>
  <c r="E271" i="6"/>
  <c r="I271" i="6" s="1"/>
  <c r="D271" i="6"/>
  <c r="C271" i="6"/>
  <c r="G271" i="6" s="1"/>
  <c r="J270" i="6"/>
  <c r="E270" i="6"/>
  <c r="I270" i="6" s="1"/>
  <c r="D270" i="6"/>
  <c r="H270" i="6" s="1"/>
  <c r="C270" i="6"/>
  <c r="G270" i="6" s="1"/>
  <c r="J269" i="6"/>
  <c r="H269" i="6"/>
  <c r="E269" i="6"/>
  <c r="I269" i="6" s="1"/>
  <c r="D269" i="6"/>
  <c r="C269" i="6"/>
  <c r="G269" i="6" s="1"/>
  <c r="J268" i="6"/>
  <c r="H268" i="6"/>
  <c r="E268" i="6"/>
  <c r="I268" i="6" s="1"/>
  <c r="D268" i="6"/>
  <c r="C268" i="6"/>
  <c r="G268" i="6" s="1"/>
  <c r="J267" i="6"/>
  <c r="H267" i="6"/>
  <c r="E267" i="6"/>
  <c r="I267" i="6" s="1"/>
  <c r="D267" i="6"/>
  <c r="C267" i="6"/>
  <c r="G267" i="6" s="1"/>
  <c r="J266" i="6"/>
  <c r="H266" i="6"/>
  <c r="E266" i="6"/>
  <c r="I266" i="6" s="1"/>
  <c r="D266" i="6"/>
  <c r="C266" i="6"/>
  <c r="G266" i="6" s="1"/>
  <c r="J265" i="6"/>
  <c r="E265" i="6"/>
  <c r="I265" i="6" s="1"/>
  <c r="D265" i="6"/>
  <c r="H265" i="6" s="1"/>
  <c r="C265" i="6"/>
  <c r="G265" i="6" s="1"/>
  <c r="J264" i="6"/>
  <c r="E264" i="6"/>
  <c r="I264" i="6" s="1"/>
  <c r="D264" i="6"/>
  <c r="H264" i="6" s="1"/>
  <c r="C264" i="6"/>
  <c r="G264" i="6" s="1"/>
  <c r="J263" i="6"/>
  <c r="E263" i="6"/>
  <c r="I263" i="6" s="1"/>
  <c r="D263" i="6"/>
  <c r="H263" i="6" s="1"/>
  <c r="C263" i="6"/>
  <c r="G263" i="6" s="1"/>
  <c r="J262" i="6"/>
  <c r="H262" i="6"/>
  <c r="E262" i="6"/>
  <c r="I262" i="6" s="1"/>
  <c r="D262" i="6"/>
  <c r="C262" i="6"/>
  <c r="G262" i="6" s="1"/>
  <c r="J261" i="6"/>
  <c r="E261" i="6"/>
  <c r="I261" i="6" s="1"/>
  <c r="D261" i="6"/>
  <c r="H261" i="6" s="1"/>
  <c r="C261" i="6"/>
  <c r="G261" i="6" s="1"/>
  <c r="J260" i="6"/>
  <c r="E260" i="6"/>
  <c r="I260" i="6" s="1"/>
  <c r="D260" i="6"/>
  <c r="H260" i="6" s="1"/>
  <c r="C260" i="6"/>
  <c r="G260" i="6" s="1"/>
  <c r="J259" i="6"/>
  <c r="E259" i="6"/>
  <c r="I259" i="6" s="1"/>
  <c r="D259" i="6"/>
  <c r="H259" i="6" s="1"/>
  <c r="C259" i="6"/>
  <c r="G259" i="6" s="1"/>
  <c r="J258" i="6"/>
  <c r="E258" i="6"/>
  <c r="I258" i="6" s="1"/>
  <c r="D258" i="6"/>
  <c r="H258" i="6" s="1"/>
  <c r="C258" i="6"/>
  <c r="G258" i="6" s="1"/>
  <c r="J257" i="6"/>
  <c r="H257" i="6"/>
  <c r="E257" i="6"/>
  <c r="I257" i="6" s="1"/>
  <c r="D257" i="6"/>
  <c r="C257" i="6"/>
  <c r="G257" i="6" s="1"/>
  <c r="J256" i="6"/>
  <c r="H256" i="6"/>
  <c r="E256" i="6"/>
  <c r="I256" i="6" s="1"/>
  <c r="D256" i="6"/>
  <c r="C256" i="6"/>
  <c r="G256" i="6" s="1"/>
  <c r="J255" i="6"/>
  <c r="H255" i="6"/>
  <c r="E255" i="6"/>
  <c r="I255" i="6" s="1"/>
  <c r="D255" i="6"/>
  <c r="C255" i="6"/>
  <c r="G255" i="6" s="1"/>
  <c r="J254" i="6"/>
  <c r="H254" i="6"/>
  <c r="E254" i="6"/>
  <c r="I254" i="6" s="1"/>
  <c r="D254" i="6"/>
  <c r="C254" i="6"/>
  <c r="G254" i="6" s="1"/>
  <c r="J253" i="6"/>
  <c r="E253" i="6"/>
  <c r="I253" i="6" s="1"/>
  <c r="D253" i="6"/>
  <c r="H253" i="6" s="1"/>
  <c r="C253" i="6"/>
  <c r="G253" i="6" s="1"/>
  <c r="J252" i="6"/>
  <c r="E252" i="6"/>
  <c r="I252" i="6" s="1"/>
  <c r="D252" i="6"/>
  <c r="H252" i="6" s="1"/>
  <c r="C252" i="6"/>
  <c r="G252" i="6" s="1"/>
  <c r="J251" i="6"/>
  <c r="E251" i="6"/>
  <c r="I251" i="6" s="1"/>
  <c r="D251" i="6"/>
  <c r="H251" i="6" s="1"/>
  <c r="C251" i="6"/>
  <c r="G251" i="6" s="1"/>
  <c r="J250" i="6"/>
  <c r="H250" i="6"/>
  <c r="E250" i="6"/>
  <c r="I250" i="6" s="1"/>
  <c r="D250" i="6"/>
  <c r="C250" i="6"/>
  <c r="G250" i="6" s="1"/>
  <c r="J249" i="6"/>
  <c r="H249" i="6"/>
  <c r="E249" i="6"/>
  <c r="I249" i="6" s="1"/>
  <c r="D249" i="6"/>
  <c r="C249" i="6"/>
  <c r="G249" i="6" s="1"/>
  <c r="J248" i="6"/>
  <c r="E248" i="6"/>
  <c r="I248" i="6" s="1"/>
  <c r="D248" i="6"/>
  <c r="H248" i="6" s="1"/>
  <c r="C248" i="6"/>
  <c r="G248" i="6" s="1"/>
  <c r="J247" i="6"/>
  <c r="E247" i="6"/>
  <c r="I247" i="6" s="1"/>
  <c r="D247" i="6"/>
  <c r="H247" i="6" s="1"/>
  <c r="C247" i="6"/>
  <c r="G247" i="6" s="1"/>
  <c r="J246" i="6"/>
  <c r="E246" i="6"/>
  <c r="I246" i="6" s="1"/>
  <c r="D246" i="6"/>
  <c r="H246" i="6" s="1"/>
  <c r="C246" i="6"/>
  <c r="G246" i="6" s="1"/>
  <c r="K246" i="6" s="1"/>
  <c r="J245" i="6"/>
  <c r="E245" i="6"/>
  <c r="I245" i="6" s="1"/>
  <c r="D245" i="6"/>
  <c r="H245" i="6" s="1"/>
  <c r="C245" i="6"/>
  <c r="G245" i="6" s="1"/>
  <c r="J244" i="6"/>
  <c r="H244" i="6"/>
  <c r="E244" i="6"/>
  <c r="I244" i="6" s="1"/>
  <c r="D244" i="6"/>
  <c r="C244" i="6"/>
  <c r="G244" i="6" s="1"/>
  <c r="J243" i="6"/>
  <c r="K243" i="6" s="1"/>
  <c r="H243" i="6"/>
  <c r="E243" i="6"/>
  <c r="I243" i="6" s="1"/>
  <c r="D243" i="6"/>
  <c r="C243" i="6"/>
  <c r="G243" i="6" s="1"/>
  <c r="J242" i="6"/>
  <c r="E242" i="6"/>
  <c r="I242" i="6" s="1"/>
  <c r="D242" i="6"/>
  <c r="H242" i="6" s="1"/>
  <c r="C242" i="6"/>
  <c r="G242" i="6" s="1"/>
  <c r="J241" i="6"/>
  <c r="H241" i="6"/>
  <c r="E241" i="6"/>
  <c r="I241" i="6" s="1"/>
  <c r="D241" i="6"/>
  <c r="C241" i="6"/>
  <c r="G241" i="6" s="1"/>
  <c r="J240" i="6"/>
  <c r="H240" i="6"/>
  <c r="E240" i="6"/>
  <c r="I240" i="6" s="1"/>
  <c r="D240" i="6"/>
  <c r="C240" i="6"/>
  <c r="G240" i="6" s="1"/>
  <c r="J239" i="6"/>
  <c r="H239" i="6"/>
  <c r="E239" i="6"/>
  <c r="I239" i="6" s="1"/>
  <c r="D239" i="6"/>
  <c r="C239" i="6"/>
  <c r="G239" i="6" s="1"/>
  <c r="J238" i="6"/>
  <c r="E238" i="6"/>
  <c r="I238" i="6" s="1"/>
  <c r="D238" i="6"/>
  <c r="H238" i="6" s="1"/>
  <c r="C238" i="6"/>
  <c r="G238" i="6" s="1"/>
  <c r="J237" i="6"/>
  <c r="H237" i="6"/>
  <c r="E237" i="6"/>
  <c r="I237" i="6" s="1"/>
  <c r="D237" i="6"/>
  <c r="C237" i="6"/>
  <c r="G237" i="6" s="1"/>
  <c r="J236" i="6"/>
  <c r="E236" i="6"/>
  <c r="I236" i="6" s="1"/>
  <c r="D236" i="6"/>
  <c r="H236" i="6" s="1"/>
  <c r="C236" i="6"/>
  <c r="G236" i="6" s="1"/>
  <c r="J235" i="6"/>
  <c r="E235" i="6"/>
  <c r="I235" i="6" s="1"/>
  <c r="D235" i="6"/>
  <c r="H235" i="6" s="1"/>
  <c r="C235" i="6"/>
  <c r="G235" i="6" s="1"/>
  <c r="J234" i="6"/>
  <c r="E234" i="6"/>
  <c r="I234" i="6" s="1"/>
  <c r="D234" i="6"/>
  <c r="H234" i="6" s="1"/>
  <c r="C234" i="6"/>
  <c r="G234" i="6" s="1"/>
  <c r="J233" i="6"/>
  <c r="H233" i="6"/>
  <c r="E233" i="6"/>
  <c r="I233" i="6" s="1"/>
  <c r="D233" i="6"/>
  <c r="C233" i="6"/>
  <c r="G233" i="6" s="1"/>
  <c r="J232" i="6"/>
  <c r="E232" i="6"/>
  <c r="I232" i="6" s="1"/>
  <c r="D232" i="6"/>
  <c r="H232" i="6" s="1"/>
  <c r="C232" i="6"/>
  <c r="G232" i="6" s="1"/>
  <c r="J231" i="6"/>
  <c r="E231" i="6"/>
  <c r="I231" i="6" s="1"/>
  <c r="D231" i="6"/>
  <c r="H231" i="6" s="1"/>
  <c r="C231" i="6"/>
  <c r="G231" i="6" s="1"/>
  <c r="J230" i="6"/>
  <c r="E230" i="6"/>
  <c r="I230" i="6" s="1"/>
  <c r="D230" i="6"/>
  <c r="H230" i="6" s="1"/>
  <c r="C230" i="6"/>
  <c r="G230" i="6" s="1"/>
  <c r="J229" i="6"/>
  <c r="E229" i="6"/>
  <c r="I229" i="6" s="1"/>
  <c r="D229" i="6"/>
  <c r="H229" i="6" s="1"/>
  <c r="C229" i="6"/>
  <c r="G229" i="6" s="1"/>
  <c r="K229" i="6" s="1"/>
  <c r="J228" i="6"/>
  <c r="H228" i="6"/>
  <c r="E228" i="6"/>
  <c r="I228" i="6" s="1"/>
  <c r="D228" i="6"/>
  <c r="C228" i="6"/>
  <c r="G228" i="6" s="1"/>
  <c r="K228" i="6" s="1"/>
  <c r="J227" i="6"/>
  <c r="E227" i="6"/>
  <c r="I227" i="6" s="1"/>
  <c r="D227" i="6"/>
  <c r="H227" i="6" s="1"/>
  <c r="C227" i="6"/>
  <c r="G227" i="6" s="1"/>
  <c r="J226" i="6"/>
  <c r="E226" i="6"/>
  <c r="I226" i="6" s="1"/>
  <c r="D226" i="6"/>
  <c r="H226" i="6" s="1"/>
  <c r="C226" i="6"/>
  <c r="G226" i="6" s="1"/>
  <c r="J225" i="6"/>
  <c r="E225" i="6"/>
  <c r="I225" i="6" s="1"/>
  <c r="D225" i="6"/>
  <c r="H225" i="6" s="1"/>
  <c r="C225" i="6"/>
  <c r="G225" i="6" s="1"/>
  <c r="J224" i="6"/>
  <c r="H224" i="6"/>
  <c r="E224" i="6"/>
  <c r="I224" i="6" s="1"/>
  <c r="D224" i="6"/>
  <c r="C224" i="6"/>
  <c r="G224" i="6" s="1"/>
  <c r="J223" i="6"/>
  <c r="E223" i="6"/>
  <c r="I223" i="6" s="1"/>
  <c r="D223" i="6"/>
  <c r="H223" i="6" s="1"/>
  <c r="C223" i="6"/>
  <c r="G223" i="6" s="1"/>
  <c r="J222" i="6"/>
  <c r="G222" i="6"/>
  <c r="E222" i="6"/>
  <c r="I222" i="6" s="1"/>
  <c r="D222" i="6"/>
  <c r="H222" i="6" s="1"/>
  <c r="C222" i="6"/>
  <c r="F221" i="6"/>
  <c r="J221" i="6" s="1"/>
  <c r="E221" i="6"/>
  <c r="I221" i="6" s="1"/>
  <c r="D221" i="6"/>
  <c r="H221" i="6" s="1"/>
  <c r="C221" i="6"/>
  <c r="G221" i="6" s="1"/>
  <c r="J220" i="6"/>
  <c r="I220" i="6"/>
  <c r="F220" i="6"/>
  <c r="E220" i="6"/>
  <c r="D220" i="6"/>
  <c r="H220" i="6" s="1"/>
  <c r="C220" i="6"/>
  <c r="G220" i="6" s="1"/>
  <c r="K220" i="6" s="1"/>
  <c r="F219" i="6"/>
  <c r="J219" i="6" s="1"/>
  <c r="E219" i="6"/>
  <c r="I219" i="6" s="1"/>
  <c r="D219" i="6"/>
  <c r="H219" i="6" s="1"/>
  <c r="C219" i="6"/>
  <c r="G219" i="6" s="1"/>
  <c r="H218" i="6"/>
  <c r="F218" i="6"/>
  <c r="J218" i="6" s="1"/>
  <c r="E218" i="6"/>
  <c r="I218" i="6" s="1"/>
  <c r="D218" i="6"/>
  <c r="C218" i="6"/>
  <c r="G218" i="6" s="1"/>
  <c r="J217" i="6"/>
  <c r="F217" i="6"/>
  <c r="E217" i="6"/>
  <c r="I217" i="6" s="1"/>
  <c r="D217" i="6"/>
  <c r="H217" i="6" s="1"/>
  <c r="C217" i="6"/>
  <c r="G217" i="6" s="1"/>
  <c r="H216" i="6"/>
  <c r="F216" i="6"/>
  <c r="J216" i="6" s="1"/>
  <c r="E216" i="6"/>
  <c r="I216" i="6" s="1"/>
  <c r="D216" i="6"/>
  <c r="C216" i="6"/>
  <c r="G216" i="6" s="1"/>
  <c r="G215" i="6"/>
  <c r="F215" i="6"/>
  <c r="J215" i="6" s="1"/>
  <c r="E215" i="6"/>
  <c r="I215" i="6" s="1"/>
  <c r="D215" i="6"/>
  <c r="H215" i="6" s="1"/>
  <c r="C215" i="6"/>
  <c r="J214" i="6"/>
  <c r="G214" i="6"/>
  <c r="K214" i="6" s="1"/>
  <c r="F214" i="6"/>
  <c r="E214" i="6"/>
  <c r="I214" i="6" s="1"/>
  <c r="D214" i="6"/>
  <c r="H214" i="6" s="1"/>
  <c r="C214" i="6"/>
  <c r="F213" i="6"/>
  <c r="J213" i="6" s="1"/>
  <c r="E213" i="6"/>
  <c r="I213" i="6" s="1"/>
  <c r="D213" i="6"/>
  <c r="H213" i="6" s="1"/>
  <c r="C213" i="6"/>
  <c r="G213" i="6" s="1"/>
  <c r="G212" i="6"/>
  <c r="F212" i="6"/>
  <c r="J212" i="6" s="1"/>
  <c r="E212" i="6"/>
  <c r="I212" i="6" s="1"/>
  <c r="D212" i="6"/>
  <c r="H212" i="6" s="1"/>
  <c r="C212" i="6"/>
  <c r="I211" i="6"/>
  <c r="G211" i="6"/>
  <c r="F211" i="6"/>
  <c r="J211" i="6" s="1"/>
  <c r="E211" i="6"/>
  <c r="D211" i="6"/>
  <c r="H211" i="6" s="1"/>
  <c r="C211" i="6"/>
  <c r="J210" i="6"/>
  <c r="I210" i="6"/>
  <c r="F210" i="6"/>
  <c r="E210" i="6"/>
  <c r="D210" i="6"/>
  <c r="H210" i="6" s="1"/>
  <c r="C210" i="6"/>
  <c r="G210" i="6" s="1"/>
  <c r="F209" i="6"/>
  <c r="J209" i="6" s="1"/>
  <c r="E209" i="6"/>
  <c r="I209" i="6" s="1"/>
  <c r="D209" i="6"/>
  <c r="H209" i="6" s="1"/>
  <c r="C209" i="6"/>
  <c r="G209" i="6" s="1"/>
  <c r="J208" i="6"/>
  <c r="F208" i="6"/>
  <c r="E208" i="6"/>
  <c r="I208" i="6" s="1"/>
  <c r="D208" i="6"/>
  <c r="H208" i="6" s="1"/>
  <c r="C208" i="6"/>
  <c r="G208" i="6" s="1"/>
  <c r="F207" i="6"/>
  <c r="J207" i="6" s="1"/>
  <c r="E207" i="6"/>
  <c r="I207" i="6" s="1"/>
  <c r="D207" i="6"/>
  <c r="H207" i="6" s="1"/>
  <c r="C207" i="6"/>
  <c r="G207" i="6" s="1"/>
  <c r="I206" i="6"/>
  <c r="H206" i="6"/>
  <c r="F206" i="6"/>
  <c r="J206" i="6" s="1"/>
  <c r="E206" i="6"/>
  <c r="D206" i="6"/>
  <c r="C206" i="6"/>
  <c r="G206" i="6" s="1"/>
  <c r="J205" i="6"/>
  <c r="F205" i="6"/>
  <c r="E205" i="6"/>
  <c r="I205" i="6" s="1"/>
  <c r="D205" i="6"/>
  <c r="H205" i="6" s="1"/>
  <c r="C205" i="6"/>
  <c r="G205" i="6" s="1"/>
  <c r="I204" i="6"/>
  <c r="F204" i="6"/>
  <c r="J204" i="6" s="1"/>
  <c r="E204" i="6"/>
  <c r="D204" i="6"/>
  <c r="H204" i="6" s="1"/>
  <c r="C204" i="6"/>
  <c r="G204" i="6" s="1"/>
  <c r="F203" i="6"/>
  <c r="J203" i="6" s="1"/>
  <c r="E203" i="6"/>
  <c r="I203" i="6" s="1"/>
  <c r="D203" i="6"/>
  <c r="H203" i="6" s="1"/>
  <c r="C203" i="6"/>
  <c r="G203" i="6" s="1"/>
  <c r="I202" i="6"/>
  <c r="F202" i="6"/>
  <c r="J202" i="6" s="1"/>
  <c r="E202" i="6"/>
  <c r="D202" i="6"/>
  <c r="H202" i="6" s="1"/>
  <c r="C202" i="6"/>
  <c r="G202" i="6" s="1"/>
  <c r="H201" i="6"/>
  <c r="F201" i="6"/>
  <c r="J201" i="6" s="1"/>
  <c r="E201" i="6"/>
  <c r="I201" i="6" s="1"/>
  <c r="D201" i="6"/>
  <c r="C201" i="6"/>
  <c r="G201" i="6" s="1"/>
  <c r="H200" i="6"/>
  <c r="F200" i="6"/>
  <c r="J200" i="6" s="1"/>
  <c r="E200" i="6"/>
  <c r="I200" i="6" s="1"/>
  <c r="D200" i="6"/>
  <c r="C200" i="6"/>
  <c r="G200" i="6" s="1"/>
  <c r="J199" i="6"/>
  <c r="I199" i="6"/>
  <c r="G199" i="6"/>
  <c r="F199" i="6"/>
  <c r="E199" i="6"/>
  <c r="D199" i="6"/>
  <c r="H199" i="6" s="1"/>
  <c r="C199" i="6"/>
  <c r="J198" i="6"/>
  <c r="F198" i="6"/>
  <c r="E198" i="6"/>
  <c r="I198" i="6" s="1"/>
  <c r="D198" i="6"/>
  <c r="H198" i="6" s="1"/>
  <c r="C198" i="6"/>
  <c r="G198" i="6" s="1"/>
  <c r="I197" i="6"/>
  <c r="F197" i="6"/>
  <c r="J197" i="6" s="1"/>
  <c r="E197" i="6"/>
  <c r="D197" i="6"/>
  <c r="H197" i="6" s="1"/>
  <c r="C197" i="6"/>
  <c r="G197" i="6" s="1"/>
  <c r="J196" i="6"/>
  <c r="F196" i="6"/>
  <c r="E196" i="6"/>
  <c r="I196" i="6" s="1"/>
  <c r="D196" i="6"/>
  <c r="H196" i="6" s="1"/>
  <c r="C196" i="6"/>
  <c r="G196" i="6" s="1"/>
  <c r="F195" i="6"/>
  <c r="J195" i="6" s="1"/>
  <c r="E195" i="6"/>
  <c r="I195" i="6" s="1"/>
  <c r="D195" i="6"/>
  <c r="H195" i="6" s="1"/>
  <c r="C195" i="6"/>
  <c r="G195" i="6" s="1"/>
  <c r="F194" i="6"/>
  <c r="J194" i="6" s="1"/>
  <c r="E194" i="6"/>
  <c r="I194" i="6" s="1"/>
  <c r="D194" i="6"/>
  <c r="H194" i="6" s="1"/>
  <c r="C194" i="6"/>
  <c r="G194" i="6" s="1"/>
  <c r="I193" i="6"/>
  <c r="F193" i="6"/>
  <c r="J193" i="6" s="1"/>
  <c r="E193" i="6"/>
  <c r="D193" i="6"/>
  <c r="H193" i="6" s="1"/>
  <c r="C193" i="6"/>
  <c r="G193" i="6" s="1"/>
  <c r="G192" i="6"/>
  <c r="F192" i="6"/>
  <c r="J192" i="6" s="1"/>
  <c r="E192" i="6"/>
  <c r="I192" i="6" s="1"/>
  <c r="D192" i="6"/>
  <c r="H192" i="6" s="1"/>
  <c r="C192" i="6"/>
  <c r="G191" i="6"/>
  <c r="F191" i="6"/>
  <c r="J191" i="6" s="1"/>
  <c r="E191" i="6"/>
  <c r="I191" i="6" s="1"/>
  <c r="D191" i="6"/>
  <c r="H191" i="6" s="1"/>
  <c r="C191" i="6"/>
  <c r="I190" i="6"/>
  <c r="G190" i="6"/>
  <c r="F190" i="6"/>
  <c r="J190" i="6" s="1"/>
  <c r="E190" i="6"/>
  <c r="D190" i="6"/>
  <c r="H190" i="6" s="1"/>
  <c r="C190" i="6"/>
  <c r="H189" i="6"/>
  <c r="G189" i="6"/>
  <c r="F189" i="6"/>
  <c r="J189" i="6" s="1"/>
  <c r="E189" i="6"/>
  <c r="I189" i="6" s="1"/>
  <c r="D189" i="6"/>
  <c r="C189" i="6"/>
  <c r="I188" i="6"/>
  <c r="H188" i="6"/>
  <c r="F188" i="6"/>
  <c r="J188" i="6" s="1"/>
  <c r="E188" i="6"/>
  <c r="D188" i="6"/>
  <c r="C188" i="6"/>
  <c r="G188" i="6" s="1"/>
  <c r="I187" i="6"/>
  <c r="F187" i="6"/>
  <c r="J187" i="6" s="1"/>
  <c r="E187" i="6"/>
  <c r="D187" i="6"/>
  <c r="H187" i="6" s="1"/>
  <c r="C187" i="6"/>
  <c r="G187" i="6" s="1"/>
  <c r="J186" i="6"/>
  <c r="F186" i="6"/>
  <c r="E186" i="6"/>
  <c r="I186" i="6" s="1"/>
  <c r="D186" i="6"/>
  <c r="H186" i="6" s="1"/>
  <c r="C186" i="6"/>
  <c r="G186" i="6" s="1"/>
  <c r="J185" i="6"/>
  <c r="F185" i="6"/>
  <c r="E185" i="6"/>
  <c r="I185" i="6" s="1"/>
  <c r="D185" i="6"/>
  <c r="H185" i="6" s="1"/>
  <c r="C185" i="6"/>
  <c r="G185" i="6" s="1"/>
  <c r="J184" i="6"/>
  <c r="F184" i="6"/>
  <c r="E184" i="6"/>
  <c r="I184" i="6" s="1"/>
  <c r="D184" i="6"/>
  <c r="H184" i="6" s="1"/>
  <c r="C184" i="6"/>
  <c r="G184" i="6" s="1"/>
  <c r="K184" i="6" s="1"/>
  <c r="F183" i="6"/>
  <c r="J183" i="6" s="1"/>
  <c r="E183" i="6"/>
  <c r="I183" i="6" s="1"/>
  <c r="D183" i="6"/>
  <c r="H183" i="6" s="1"/>
  <c r="C183" i="6"/>
  <c r="G183" i="6" s="1"/>
  <c r="J182" i="6"/>
  <c r="F182" i="6"/>
  <c r="E182" i="6"/>
  <c r="I182" i="6" s="1"/>
  <c r="D182" i="6"/>
  <c r="H182" i="6" s="1"/>
  <c r="C182" i="6"/>
  <c r="G182" i="6" s="1"/>
  <c r="J181" i="6"/>
  <c r="F181" i="6"/>
  <c r="E181" i="6"/>
  <c r="I181" i="6" s="1"/>
  <c r="D181" i="6"/>
  <c r="H181" i="6" s="1"/>
  <c r="C181" i="6"/>
  <c r="G181" i="6" s="1"/>
  <c r="F180" i="6"/>
  <c r="J180" i="6" s="1"/>
  <c r="E180" i="6"/>
  <c r="I180" i="6" s="1"/>
  <c r="D180" i="6"/>
  <c r="H180" i="6" s="1"/>
  <c r="C180" i="6"/>
  <c r="G180" i="6" s="1"/>
  <c r="J179" i="6"/>
  <c r="F179" i="6"/>
  <c r="E179" i="6"/>
  <c r="I179" i="6" s="1"/>
  <c r="D179" i="6"/>
  <c r="H179" i="6" s="1"/>
  <c r="C179" i="6"/>
  <c r="G179" i="6" s="1"/>
  <c r="F178" i="6"/>
  <c r="J178" i="6" s="1"/>
  <c r="E178" i="6"/>
  <c r="I178" i="6" s="1"/>
  <c r="D178" i="6"/>
  <c r="H178" i="6" s="1"/>
  <c r="C178" i="6"/>
  <c r="G178" i="6" s="1"/>
  <c r="F177" i="6"/>
  <c r="J177" i="6" s="1"/>
  <c r="E177" i="6"/>
  <c r="I177" i="6" s="1"/>
  <c r="D177" i="6"/>
  <c r="H177" i="6" s="1"/>
  <c r="C177" i="6"/>
  <c r="G177" i="6" s="1"/>
  <c r="J176" i="6"/>
  <c r="F176" i="6"/>
  <c r="E176" i="6"/>
  <c r="I176" i="6" s="1"/>
  <c r="D176" i="6"/>
  <c r="H176" i="6" s="1"/>
  <c r="C176" i="6"/>
  <c r="G176" i="6" s="1"/>
  <c r="I175" i="6"/>
  <c r="F175" i="6"/>
  <c r="J175" i="6" s="1"/>
  <c r="E175" i="6"/>
  <c r="D175" i="6"/>
  <c r="H175" i="6" s="1"/>
  <c r="C175" i="6"/>
  <c r="G175" i="6" s="1"/>
  <c r="I174" i="6"/>
  <c r="F174" i="6"/>
  <c r="J174" i="6" s="1"/>
  <c r="E174" i="6"/>
  <c r="D174" i="6"/>
  <c r="H174" i="6" s="1"/>
  <c r="C174" i="6"/>
  <c r="G174" i="6" s="1"/>
  <c r="J173" i="6"/>
  <c r="F173" i="6"/>
  <c r="E173" i="6"/>
  <c r="I173" i="6" s="1"/>
  <c r="D173" i="6"/>
  <c r="H173" i="6" s="1"/>
  <c r="C173" i="6"/>
  <c r="G173" i="6" s="1"/>
  <c r="H172" i="6"/>
  <c r="F172" i="6"/>
  <c r="J172" i="6" s="1"/>
  <c r="E172" i="6"/>
  <c r="I172" i="6" s="1"/>
  <c r="D172" i="6"/>
  <c r="C172" i="6"/>
  <c r="G172" i="6" s="1"/>
  <c r="J171" i="6"/>
  <c r="F171" i="6"/>
  <c r="E171" i="6"/>
  <c r="I171" i="6" s="1"/>
  <c r="D171" i="6"/>
  <c r="H171" i="6" s="1"/>
  <c r="C171" i="6"/>
  <c r="G171" i="6" s="1"/>
  <c r="G170" i="6"/>
  <c r="F170" i="6"/>
  <c r="J170" i="6" s="1"/>
  <c r="E170" i="6"/>
  <c r="I170" i="6" s="1"/>
  <c r="D170" i="6"/>
  <c r="H170" i="6" s="1"/>
  <c r="C170" i="6"/>
  <c r="F169" i="6"/>
  <c r="J169" i="6" s="1"/>
  <c r="E169" i="6"/>
  <c r="I169" i="6" s="1"/>
  <c r="D169" i="6"/>
  <c r="H169" i="6" s="1"/>
  <c r="C169" i="6"/>
  <c r="G169" i="6" s="1"/>
  <c r="H168" i="6"/>
  <c r="G168" i="6"/>
  <c r="F168" i="6"/>
  <c r="J168" i="6" s="1"/>
  <c r="E168" i="6"/>
  <c r="I168" i="6" s="1"/>
  <c r="D168" i="6"/>
  <c r="C168" i="6"/>
  <c r="I167" i="6"/>
  <c r="F167" i="6"/>
  <c r="J167" i="6" s="1"/>
  <c r="E167" i="6"/>
  <c r="D167" i="6"/>
  <c r="H167" i="6" s="1"/>
  <c r="C167" i="6"/>
  <c r="G167" i="6" s="1"/>
  <c r="F166" i="6"/>
  <c r="J166" i="6" s="1"/>
  <c r="E166" i="6"/>
  <c r="I166" i="6" s="1"/>
  <c r="D166" i="6"/>
  <c r="H166" i="6" s="1"/>
  <c r="C166" i="6"/>
  <c r="G166" i="6" s="1"/>
  <c r="G165" i="6"/>
  <c r="F165" i="6"/>
  <c r="J165" i="6" s="1"/>
  <c r="E165" i="6"/>
  <c r="I165" i="6" s="1"/>
  <c r="D165" i="6"/>
  <c r="H165" i="6" s="1"/>
  <c r="C165" i="6"/>
  <c r="G164" i="6"/>
  <c r="F164" i="6"/>
  <c r="J164" i="6" s="1"/>
  <c r="E164" i="6"/>
  <c r="I164" i="6" s="1"/>
  <c r="D164" i="6"/>
  <c r="H164" i="6" s="1"/>
  <c r="C164" i="6"/>
  <c r="I163" i="6"/>
  <c r="G163" i="6"/>
  <c r="F163" i="6"/>
  <c r="J163" i="6" s="1"/>
  <c r="E163" i="6"/>
  <c r="D163" i="6"/>
  <c r="H163" i="6" s="1"/>
  <c r="C163" i="6"/>
  <c r="I162" i="6"/>
  <c r="F162" i="6"/>
  <c r="J162" i="6" s="1"/>
  <c r="E162" i="6"/>
  <c r="D162" i="6"/>
  <c r="H162" i="6" s="1"/>
  <c r="C162" i="6"/>
  <c r="G162" i="6" s="1"/>
  <c r="J161" i="6"/>
  <c r="F161" i="6"/>
  <c r="E161" i="6"/>
  <c r="I161" i="6" s="1"/>
  <c r="D161" i="6"/>
  <c r="H161" i="6" s="1"/>
  <c r="C161" i="6"/>
  <c r="G161" i="6" s="1"/>
  <c r="H160" i="6"/>
  <c r="F160" i="6"/>
  <c r="J160" i="6" s="1"/>
  <c r="E160" i="6"/>
  <c r="I160" i="6" s="1"/>
  <c r="D160" i="6"/>
  <c r="C160" i="6"/>
  <c r="G160" i="6" s="1"/>
  <c r="J159" i="6"/>
  <c r="H159" i="6"/>
  <c r="G159" i="6"/>
  <c r="K159" i="6" s="1"/>
  <c r="F159" i="6"/>
  <c r="E159" i="6"/>
  <c r="I159" i="6" s="1"/>
  <c r="D159" i="6"/>
  <c r="C159" i="6"/>
  <c r="J158" i="6"/>
  <c r="I158" i="6"/>
  <c r="F158" i="6"/>
  <c r="E158" i="6"/>
  <c r="D158" i="6"/>
  <c r="H158" i="6" s="1"/>
  <c r="C158" i="6"/>
  <c r="G158" i="6" s="1"/>
  <c r="F157" i="6"/>
  <c r="J157" i="6" s="1"/>
  <c r="E157" i="6"/>
  <c r="I157" i="6" s="1"/>
  <c r="D157" i="6"/>
  <c r="H157" i="6" s="1"/>
  <c r="C157" i="6"/>
  <c r="G157" i="6" s="1"/>
  <c r="I156" i="6"/>
  <c r="G156" i="6"/>
  <c r="F156" i="6"/>
  <c r="J156" i="6" s="1"/>
  <c r="E156" i="6"/>
  <c r="D156" i="6"/>
  <c r="H156" i="6" s="1"/>
  <c r="C156" i="6"/>
  <c r="F155" i="6"/>
  <c r="J155" i="6" s="1"/>
  <c r="E155" i="6"/>
  <c r="I155" i="6" s="1"/>
  <c r="D155" i="6"/>
  <c r="H155" i="6" s="1"/>
  <c r="C155" i="6"/>
  <c r="G155" i="6" s="1"/>
  <c r="F154" i="6"/>
  <c r="J154" i="6" s="1"/>
  <c r="E154" i="6"/>
  <c r="I154" i="6" s="1"/>
  <c r="D154" i="6"/>
  <c r="H154" i="6" s="1"/>
  <c r="C154" i="6"/>
  <c r="G154" i="6" s="1"/>
  <c r="G153" i="6"/>
  <c r="F153" i="6"/>
  <c r="J153" i="6" s="1"/>
  <c r="E153" i="6"/>
  <c r="I153" i="6" s="1"/>
  <c r="D153" i="6"/>
  <c r="H153" i="6" s="1"/>
  <c r="C153" i="6"/>
  <c r="I152" i="6"/>
  <c r="G152" i="6"/>
  <c r="F152" i="6"/>
  <c r="J152" i="6" s="1"/>
  <c r="E152" i="6"/>
  <c r="D152" i="6"/>
  <c r="H152" i="6" s="1"/>
  <c r="C152" i="6"/>
  <c r="G151" i="6"/>
  <c r="F151" i="6"/>
  <c r="J151" i="6" s="1"/>
  <c r="E151" i="6"/>
  <c r="I151" i="6" s="1"/>
  <c r="D151" i="6"/>
  <c r="H151" i="6" s="1"/>
  <c r="C151" i="6"/>
  <c r="I150" i="6"/>
  <c r="H150" i="6"/>
  <c r="F150" i="6"/>
  <c r="J150" i="6" s="1"/>
  <c r="E150" i="6"/>
  <c r="D150" i="6"/>
  <c r="C150" i="6"/>
  <c r="G150" i="6" s="1"/>
  <c r="K150" i="6" s="1"/>
  <c r="J149" i="6"/>
  <c r="I149" i="6"/>
  <c r="F149" i="6"/>
  <c r="E149" i="6"/>
  <c r="D149" i="6"/>
  <c r="H149" i="6" s="1"/>
  <c r="C149" i="6"/>
  <c r="G149" i="6" s="1"/>
  <c r="H148" i="6"/>
  <c r="F148" i="6"/>
  <c r="J148" i="6" s="1"/>
  <c r="E148" i="6"/>
  <c r="I148" i="6" s="1"/>
  <c r="D148" i="6"/>
  <c r="C148" i="6"/>
  <c r="G148" i="6" s="1"/>
  <c r="J147" i="6"/>
  <c r="H147" i="6"/>
  <c r="G147" i="6"/>
  <c r="F147" i="6"/>
  <c r="E147" i="6"/>
  <c r="I147" i="6" s="1"/>
  <c r="D147" i="6"/>
  <c r="C147" i="6"/>
  <c r="J146" i="6"/>
  <c r="F146" i="6"/>
  <c r="E146" i="6"/>
  <c r="I146" i="6" s="1"/>
  <c r="D146" i="6"/>
  <c r="H146" i="6" s="1"/>
  <c r="C146" i="6"/>
  <c r="G146" i="6" s="1"/>
  <c r="I145" i="6"/>
  <c r="F145" i="6"/>
  <c r="J145" i="6" s="1"/>
  <c r="E145" i="6"/>
  <c r="D145" i="6"/>
  <c r="H145" i="6" s="1"/>
  <c r="C145" i="6"/>
  <c r="G145" i="6" s="1"/>
  <c r="F144" i="6"/>
  <c r="J144" i="6" s="1"/>
  <c r="E144" i="6"/>
  <c r="I144" i="6" s="1"/>
  <c r="D144" i="6"/>
  <c r="H144" i="6" s="1"/>
  <c r="C144" i="6"/>
  <c r="G144" i="6" s="1"/>
  <c r="F143" i="6"/>
  <c r="J143" i="6" s="1"/>
  <c r="E143" i="6"/>
  <c r="I143" i="6" s="1"/>
  <c r="D143" i="6"/>
  <c r="H143" i="6" s="1"/>
  <c r="C143" i="6"/>
  <c r="G143" i="6" s="1"/>
  <c r="F142" i="6"/>
  <c r="J142" i="6" s="1"/>
  <c r="E142" i="6"/>
  <c r="I142" i="6" s="1"/>
  <c r="D142" i="6"/>
  <c r="H142" i="6" s="1"/>
  <c r="C142" i="6"/>
  <c r="G142" i="6" s="1"/>
  <c r="J141" i="6"/>
  <c r="F141" i="6"/>
  <c r="E141" i="6"/>
  <c r="I141" i="6" s="1"/>
  <c r="D141" i="6"/>
  <c r="H141" i="6" s="1"/>
  <c r="C141" i="6"/>
  <c r="G141" i="6" s="1"/>
  <c r="G140" i="6"/>
  <c r="F140" i="6"/>
  <c r="J140" i="6" s="1"/>
  <c r="E140" i="6"/>
  <c r="I140" i="6" s="1"/>
  <c r="D140" i="6"/>
  <c r="H140" i="6" s="1"/>
  <c r="C140" i="6"/>
  <c r="G139" i="6"/>
  <c r="F139" i="6"/>
  <c r="J139" i="6" s="1"/>
  <c r="E139" i="6"/>
  <c r="I139" i="6" s="1"/>
  <c r="D139" i="6"/>
  <c r="H139" i="6" s="1"/>
  <c r="C139" i="6"/>
  <c r="H138" i="6"/>
  <c r="G138" i="6"/>
  <c r="F138" i="6"/>
  <c r="J138" i="6" s="1"/>
  <c r="K138" i="6" s="1"/>
  <c r="E138" i="6"/>
  <c r="I138" i="6" s="1"/>
  <c r="D138" i="6"/>
  <c r="C138" i="6"/>
  <c r="I137" i="6"/>
  <c r="F137" i="6"/>
  <c r="J137" i="6" s="1"/>
  <c r="E137" i="6"/>
  <c r="D137" i="6"/>
  <c r="H137" i="6" s="1"/>
  <c r="C137" i="6"/>
  <c r="G137" i="6" s="1"/>
  <c r="F136" i="6"/>
  <c r="J136" i="6" s="1"/>
  <c r="E136" i="6"/>
  <c r="I136" i="6" s="1"/>
  <c r="D136" i="6"/>
  <c r="H136" i="6" s="1"/>
  <c r="C136" i="6"/>
  <c r="G136" i="6" s="1"/>
  <c r="H135" i="6"/>
  <c r="G135" i="6"/>
  <c r="F135" i="6"/>
  <c r="J135" i="6" s="1"/>
  <c r="E135" i="6"/>
  <c r="I135" i="6" s="1"/>
  <c r="D135" i="6"/>
  <c r="C135" i="6"/>
  <c r="I134" i="6"/>
  <c r="G134" i="6"/>
  <c r="F134" i="6"/>
  <c r="J134" i="6" s="1"/>
  <c r="E134" i="6"/>
  <c r="D134" i="6"/>
  <c r="H134" i="6" s="1"/>
  <c r="C134" i="6"/>
  <c r="I133" i="6"/>
  <c r="G133" i="6"/>
  <c r="F133" i="6"/>
  <c r="J133" i="6" s="1"/>
  <c r="E133" i="6"/>
  <c r="D133" i="6"/>
  <c r="H133" i="6" s="1"/>
  <c r="C133" i="6"/>
  <c r="I132" i="6"/>
  <c r="H132" i="6"/>
  <c r="G132" i="6"/>
  <c r="F132" i="6"/>
  <c r="J132" i="6" s="1"/>
  <c r="E132" i="6"/>
  <c r="D132" i="6"/>
  <c r="C132" i="6"/>
  <c r="J131" i="6"/>
  <c r="F131" i="6"/>
  <c r="E131" i="6"/>
  <c r="I131" i="6" s="1"/>
  <c r="D131" i="6"/>
  <c r="H131" i="6" s="1"/>
  <c r="C131" i="6"/>
  <c r="G131" i="6" s="1"/>
  <c r="H130" i="6"/>
  <c r="F130" i="6"/>
  <c r="J130" i="6" s="1"/>
  <c r="E130" i="6"/>
  <c r="I130" i="6" s="1"/>
  <c r="D130" i="6"/>
  <c r="C130" i="6"/>
  <c r="G130" i="6" s="1"/>
  <c r="J129" i="6"/>
  <c r="H129" i="6"/>
  <c r="F129" i="6"/>
  <c r="E129" i="6"/>
  <c r="I129" i="6" s="1"/>
  <c r="D129" i="6"/>
  <c r="C129" i="6"/>
  <c r="G129" i="6" s="1"/>
  <c r="K129" i="6" s="1"/>
  <c r="J128" i="6"/>
  <c r="F128" i="6"/>
  <c r="E128" i="6"/>
  <c r="I128" i="6" s="1"/>
  <c r="D128" i="6"/>
  <c r="H128" i="6" s="1"/>
  <c r="C128" i="6"/>
  <c r="G128" i="6" s="1"/>
  <c r="F127" i="6"/>
  <c r="J127" i="6" s="1"/>
  <c r="E127" i="6"/>
  <c r="I127" i="6" s="1"/>
  <c r="D127" i="6"/>
  <c r="H127" i="6" s="1"/>
  <c r="C127" i="6"/>
  <c r="G127" i="6" s="1"/>
  <c r="H126" i="6"/>
  <c r="G126" i="6"/>
  <c r="F126" i="6"/>
  <c r="J126" i="6" s="1"/>
  <c r="E126" i="6"/>
  <c r="I126" i="6" s="1"/>
  <c r="D126" i="6"/>
  <c r="C126" i="6"/>
  <c r="F125" i="6"/>
  <c r="J125" i="6" s="1"/>
  <c r="E125" i="6"/>
  <c r="I125" i="6" s="1"/>
  <c r="D125" i="6"/>
  <c r="H125" i="6" s="1"/>
  <c r="C125" i="6"/>
  <c r="G125" i="6" s="1"/>
  <c r="H124" i="6"/>
  <c r="F124" i="6"/>
  <c r="J124" i="6" s="1"/>
  <c r="E124" i="6"/>
  <c r="I124" i="6" s="1"/>
  <c r="D124" i="6"/>
  <c r="C124" i="6"/>
  <c r="G124" i="6" s="1"/>
  <c r="H123" i="6"/>
  <c r="G123" i="6"/>
  <c r="F123" i="6"/>
  <c r="J123" i="6" s="1"/>
  <c r="E123" i="6"/>
  <c r="I123" i="6" s="1"/>
  <c r="D123" i="6"/>
  <c r="C123" i="6"/>
  <c r="J122" i="6"/>
  <c r="I122" i="6"/>
  <c r="G122" i="6"/>
  <c r="F122" i="6"/>
  <c r="E122" i="6"/>
  <c r="D122" i="6"/>
  <c r="H122" i="6" s="1"/>
  <c r="C122" i="6"/>
  <c r="I121" i="6"/>
  <c r="G121" i="6"/>
  <c r="F121" i="6"/>
  <c r="J121" i="6" s="1"/>
  <c r="E121" i="6"/>
  <c r="D121" i="6"/>
  <c r="H121" i="6" s="1"/>
  <c r="C121" i="6"/>
  <c r="I120" i="6"/>
  <c r="H120" i="6"/>
  <c r="F120" i="6"/>
  <c r="J120" i="6" s="1"/>
  <c r="E120" i="6"/>
  <c r="D120" i="6"/>
  <c r="C120" i="6"/>
  <c r="G120" i="6" s="1"/>
  <c r="K120" i="6" s="1"/>
  <c r="J119" i="6"/>
  <c r="F119" i="6"/>
  <c r="E119" i="6"/>
  <c r="I119" i="6" s="1"/>
  <c r="D119" i="6"/>
  <c r="H119" i="6" s="1"/>
  <c r="C119" i="6"/>
  <c r="G119" i="6" s="1"/>
  <c r="F118" i="6"/>
  <c r="J118" i="6" s="1"/>
  <c r="E118" i="6"/>
  <c r="I118" i="6" s="1"/>
  <c r="D118" i="6"/>
  <c r="H118" i="6" s="1"/>
  <c r="C118" i="6"/>
  <c r="G118" i="6" s="1"/>
  <c r="J117" i="6"/>
  <c r="H117" i="6"/>
  <c r="F117" i="6"/>
  <c r="E117" i="6"/>
  <c r="I117" i="6" s="1"/>
  <c r="D117" i="6"/>
  <c r="C117" i="6"/>
  <c r="G117" i="6" s="1"/>
  <c r="F116" i="6"/>
  <c r="J116" i="6" s="1"/>
  <c r="E116" i="6"/>
  <c r="I116" i="6" s="1"/>
  <c r="D116" i="6"/>
  <c r="H116" i="6" s="1"/>
  <c r="C116" i="6"/>
  <c r="G116" i="6" s="1"/>
  <c r="F115" i="6"/>
  <c r="J115" i="6" s="1"/>
  <c r="E115" i="6"/>
  <c r="I115" i="6" s="1"/>
  <c r="D115" i="6"/>
  <c r="H115" i="6" s="1"/>
  <c r="C115" i="6"/>
  <c r="G115" i="6" s="1"/>
  <c r="H114" i="6"/>
  <c r="G114" i="6"/>
  <c r="F114" i="6"/>
  <c r="J114" i="6" s="1"/>
  <c r="E114" i="6"/>
  <c r="I114" i="6" s="1"/>
  <c r="D114" i="6"/>
  <c r="C114" i="6"/>
  <c r="F113" i="6"/>
  <c r="J113" i="6" s="1"/>
  <c r="E113" i="6"/>
  <c r="I113" i="6" s="1"/>
  <c r="D113" i="6"/>
  <c r="H113" i="6" s="1"/>
  <c r="C113" i="6"/>
  <c r="G113" i="6" s="1"/>
  <c r="F112" i="6"/>
  <c r="J112" i="6" s="1"/>
  <c r="E112" i="6"/>
  <c r="I112" i="6" s="1"/>
  <c r="D112" i="6"/>
  <c r="H112" i="6" s="1"/>
  <c r="C112" i="6"/>
  <c r="G112" i="6" s="1"/>
  <c r="H111" i="6"/>
  <c r="G111" i="6"/>
  <c r="F111" i="6"/>
  <c r="J111" i="6" s="1"/>
  <c r="E111" i="6"/>
  <c r="I111" i="6" s="1"/>
  <c r="D111" i="6"/>
  <c r="C111" i="6"/>
  <c r="I110" i="6"/>
  <c r="G110" i="6"/>
  <c r="F110" i="6"/>
  <c r="J110" i="6" s="1"/>
  <c r="E110" i="6"/>
  <c r="D110" i="6"/>
  <c r="H110" i="6" s="1"/>
  <c r="C110" i="6"/>
  <c r="I109" i="6"/>
  <c r="G109" i="6"/>
  <c r="F109" i="6"/>
  <c r="J109" i="6" s="1"/>
  <c r="E109" i="6"/>
  <c r="D109" i="6"/>
  <c r="H109" i="6" s="1"/>
  <c r="C109" i="6"/>
  <c r="I108" i="6"/>
  <c r="H108" i="6"/>
  <c r="F108" i="6"/>
  <c r="J108" i="6" s="1"/>
  <c r="E108" i="6"/>
  <c r="D108" i="6"/>
  <c r="C108" i="6"/>
  <c r="G108" i="6" s="1"/>
  <c r="J107" i="6"/>
  <c r="F107" i="6"/>
  <c r="E107" i="6"/>
  <c r="I107" i="6" s="1"/>
  <c r="D107" i="6"/>
  <c r="H107" i="6" s="1"/>
  <c r="C107" i="6"/>
  <c r="G107" i="6" s="1"/>
  <c r="H106" i="6"/>
  <c r="F106" i="6"/>
  <c r="J106" i="6" s="1"/>
  <c r="E106" i="6"/>
  <c r="I106" i="6" s="1"/>
  <c r="D106" i="6"/>
  <c r="C106" i="6"/>
  <c r="G106" i="6" s="1"/>
  <c r="J105" i="6"/>
  <c r="H105" i="6"/>
  <c r="F105" i="6"/>
  <c r="E105" i="6"/>
  <c r="I105" i="6" s="1"/>
  <c r="D105" i="6"/>
  <c r="C105" i="6"/>
  <c r="G105" i="6" s="1"/>
  <c r="J104" i="6"/>
  <c r="F104" i="6"/>
  <c r="E104" i="6"/>
  <c r="I104" i="6" s="1"/>
  <c r="D104" i="6"/>
  <c r="H104" i="6" s="1"/>
  <c r="C104" i="6"/>
  <c r="G104" i="6" s="1"/>
  <c r="F103" i="6"/>
  <c r="J103" i="6" s="1"/>
  <c r="E103" i="6"/>
  <c r="I103" i="6" s="1"/>
  <c r="D103" i="6"/>
  <c r="H103" i="6" s="1"/>
  <c r="C103" i="6"/>
  <c r="G103" i="6" s="1"/>
  <c r="G102" i="6"/>
  <c r="F102" i="6"/>
  <c r="J102" i="6" s="1"/>
  <c r="E102" i="6"/>
  <c r="I102" i="6" s="1"/>
  <c r="D102" i="6"/>
  <c r="H102" i="6" s="1"/>
  <c r="C102" i="6"/>
  <c r="F101" i="6"/>
  <c r="J101" i="6" s="1"/>
  <c r="E101" i="6"/>
  <c r="I101" i="6" s="1"/>
  <c r="D101" i="6"/>
  <c r="H101" i="6" s="1"/>
  <c r="C101" i="6"/>
  <c r="G101" i="6" s="1"/>
  <c r="F100" i="6"/>
  <c r="J100" i="6" s="1"/>
  <c r="E100" i="6"/>
  <c r="I100" i="6" s="1"/>
  <c r="D100" i="6"/>
  <c r="H100" i="6" s="1"/>
  <c r="C100" i="6"/>
  <c r="G100" i="6" s="1"/>
  <c r="G99" i="6"/>
  <c r="F99" i="6"/>
  <c r="J99" i="6" s="1"/>
  <c r="E99" i="6"/>
  <c r="I99" i="6" s="1"/>
  <c r="D99" i="6"/>
  <c r="H99" i="6" s="1"/>
  <c r="C99" i="6"/>
  <c r="I98" i="6"/>
  <c r="G98" i="6"/>
  <c r="F98" i="6"/>
  <c r="J98" i="6" s="1"/>
  <c r="E98" i="6"/>
  <c r="D98" i="6"/>
  <c r="H98" i="6" s="1"/>
  <c r="C98" i="6"/>
  <c r="G97" i="6"/>
  <c r="F97" i="6"/>
  <c r="J97" i="6" s="1"/>
  <c r="E97" i="6"/>
  <c r="I97" i="6" s="1"/>
  <c r="D97" i="6"/>
  <c r="H97" i="6" s="1"/>
  <c r="C97" i="6"/>
  <c r="I96" i="6"/>
  <c r="H96" i="6"/>
  <c r="G96" i="6"/>
  <c r="F96" i="6"/>
  <c r="J96" i="6" s="1"/>
  <c r="E96" i="6"/>
  <c r="D96" i="6"/>
  <c r="C96" i="6"/>
  <c r="I95" i="6"/>
  <c r="F95" i="6"/>
  <c r="J95" i="6" s="1"/>
  <c r="E95" i="6"/>
  <c r="D95" i="6"/>
  <c r="H95" i="6" s="1"/>
  <c r="C95" i="6"/>
  <c r="G95" i="6" s="1"/>
  <c r="H94" i="6"/>
  <c r="F94" i="6"/>
  <c r="J94" i="6" s="1"/>
  <c r="E94" i="6"/>
  <c r="I94" i="6" s="1"/>
  <c r="D94" i="6"/>
  <c r="C94" i="6"/>
  <c r="G94" i="6" s="1"/>
  <c r="H93" i="6"/>
  <c r="G93" i="6"/>
  <c r="F93" i="6"/>
  <c r="J93" i="6" s="1"/>
  <c r="E93" i="6"/>
  <c r="I93" i="6" s="1"/>
  <c r="D93" i="6"/>
  <c r="C93" i="6"/>
  <c r="J92" i="6"/>
  <c r="I92" i="6"/>
  <c r="G92" i="6"/>
  <c r="F92" i="6"/>
  <c r="E92" i="6"/>
  <c r="D92" i="6"/>
  <c r="H92" i="6" s="1"/>
  <c r="C92" i="6"/>
  <c r="I91" i="6"/>
  <c r="G91" i="6"/>
  <c r="F91" i="6"/>
  <c r="J91" i="6" s="1"/>
  <c r="E91" i="6"/>
  <c r="D91" i="6"/>
  <c r="H91" i="6" s="1"/>
  <c r="C91" i="6"/>
  <c r="I90" i="6"/>
  <c r="F90" i="6"/>
  <c r="J90" i="6" s="1"/>
  <c r="E90" i="6"/>
  <c r="D90" i="6"/>
  <c r="H90" i="6" s="1"/>
  <c r="C90" i="6"/>
  <c r="G90" i="6" s="1"/>
  <c r="F89" i="6"/>
  <c r="J89" i="6" s="1"/>
  <c r="E89" i="6"/>
  <c r="I89" i="6" s="1"/>
  <c r="D89" i="6"/>
  <c r="H89" i="6" s="1"/>
  <c r="C89" i="6"/>
  <c r="G89" i="6" s="1"/>
  <c r="F88" i="6"/>
  <c r="J88" i="6" s="1"/>
  <c r="E88" i="6"/>
  <c r="I88" i="6" s="1"/>
  <c r="D88" i="6"/>
  <c r="H88" i="6" s="1"/>
  <c r="C88" i="6"/>
  <c r="G88" i="6" s="1"/>
  <c r="J87" i="6"/>
  <c r="F87" i="6"/>
  <c r="E87" i="6"/>
  <c r="I87" i="6" s="1"/>
  <c r="D87" i="6"/>
  <c r="H87" i="6" s="1"/>
  <c r="C87" i="6"/>
  <c r="G87" i="6" s="1"/>
  <c r="G86" i="6"/>
  <c r="F86" i="6"/>
  <c r="J86" i="6" s="1"/>
  <c r="E86" i="6"/>
  <c r="I86" i="6" s="1"/>
  <c r="D86" i="6"/>
  <c r="H86" i="6" s="1"/>
  <c r="C86" i="6"/>
  <c r="G85" i="6"/>
  <c r="F85" i="6"/>
  <c r="J85" i="6" s="1"/>
  <c r="E85" i="6"/>
  <c r="I85" i="6" s="1"/>
  <c r="D85" i="6"/>
  <c r="H85" i="6" s="1"/>
  <c r="C85" i="6"/>
  <c r="H84" i="6"/>
  <c r="G84" i="6"/>
  <c r="F84" i="6"/>
  <c r="J84" i="6" s="1"/>
  <c r="E84" i="6"/>
  <c r="I84" i="6" s="1"/>
  <c r="D84" i="6"/>
  <c r="C84" i="6"/>
  <c r="F83" i="6"/>
  <c r="J83" i="6" s="1"/>
  <c r="E83" i="6"/>
  <c r="I83" i="6" s="1"/>
  <c r="D83" i="6"/>
  <c r="H83" i="6" s="1"/>
  <c r="C83" i="6"/>
  <c r="G83" i="6" s="1"/>
  <c r="F82" i="6"/>
  <c r="J82" i="6" s="1"/>
  <c r="E82" i="6"/>
  <c r="I82" i="6" s="1"/>
  <c r="O82" i="6" s="1"/>
  <c r="D82" i="6"/>
  <c r="H82" i="6" s="1"/>
  <c r="C82" i="6"/>
  <c r="G82" i="6" s="1"/>
  <c r="H81" i="6"/>
  <c r="G81" i="6"/>
  <c r="F81" i="6"/>
  <c r="J81" i="6" s="1"/>
  <c r="E81" i="6"/>
  <c r="I81" i="6" s="1"/>
  <c r="D81" i="6"/>
  <c r="C81" i="6"/>
  <c r="I80" i="6"/>
  <c r="G80" i="6"/>
  <c r="F80" i="6"/>
  <c r="J80" i="6" s="1"/>
  <c r="E80" i="6"/>
  <c r="D80" i="6"/>
  <c r="H80" i="6" s="1"/>
  <c r="C80" i="6"/>
  <c r="I79" i="6"/>
  <c r="G79" i="6"/>
  <c r="F79" i="6"/>
  <c r="J79" i="6" s="1"/>
  <c r="E79" i="6"/>
  <c r="D79" i="6"/>
  <c r="H79" i="6" s="1"/>
  <c r="C79" i="6"/>
  <c r="I78" i="6"/>
  <c r="H78" i="6"/>
  <c r="F78" i="6"/>
  <c r="J78" i="6" s="1"/>
  <c r="E78" i="6"/>
  <c r="D78" i="6"/>
  <c r="C78" i="6"/>
  <c r="G78" i="6" s="1"/>
  <c r="J77" i="6"/>
  <c r="F77" i="6"/>
  <c r="E77" i="6"/>
  <c r="I77" i="6" s="1"/>
  <c r="D77" i="6"/>
  <c r="H77" i="6" s="1"/>
  <c r="C77" i="6"/>
  <c r="G77" i="6" s="1"/>
  <c r="H76" i="6"/>
  <c r="F76" i="6"/>
  <c r="J76" i="6" s="1"/>
  <c r="E76" i="6"/>
  <c r="I76" i="6" s="1"/>
  <c r="D76" i="6"/>
  <c r="C76" i="6"/>
  <c r="G76" i="6" s="1"/>
  <c r="J75" i="6"/>
  <c r="H75" i="6"/>
  <c r="F75" i="6"/>
  <c r="E75" i="6"/>
  <c r="I75" i="6" s="1"/>
  <c r="D75" i="6"/>
  <c r="C75" i="6"/>
  <c r="G75" i="6" s="1"/>
  <c r="K75" i="6" s="1"/>
  <c r="J74" i="6"/>
  <c r="F74" i="6"/>
  <c r="E74" i="6"/>
  <c r="I74" i="6" s="1"/>
  <c r="D74" i="6"/>
  <c r="H74" i="6" s="1"/>
  <c r="C74" i="6"/>
  <c r="G74" i="6" s="1"/>
  <c r="F73" i="6"/>
  <c r="J73" i="6" s="1"/>
  <c r="E73" i="6"/>
  <c r="I73" i="6" s="1"/>
  <c r="D73" i="6"/>
  <c r="H73" i="6" s="1"/>
  <c r="C73" i="6"/>
  <c r="G73" i="6" s="1"/>
  <c r="G72" i="6"/>
  <c r="F72" i="6"/>
  <c r="J72" i="6" s="1"/>
  <c r="E72" i="6"/>
  <c r="I72" i="6" s="1"/>
  <c r="D72" i="6"/>
  <c r="H72" i="6" s="1"/>
  <c r="C72" i="6"/>
  <c r="F71" i="6"/>
  <c r="J71" i="6" s="1"/>
  <c r="E71" i="6"/>
  <c r="I71" i="6" s="1"/>
  <c r="D71" i="6"/>
  <c r="H71" i="6" s="1"/>
  <c r="C71" i="6"/>
  <c r="G71" i="6" s="1"/>
  <c r="H70" i="6"/>
  <c r="F70" i="6"/>
  <c r="J70" i="6" s="1"/>
  <c r="E70" i="6"/>
  <c r="I70" i="6" s="1"/>
  <c r="D70" i="6"/>
  <c r="C70" i="6"/>
  <c r="G70" i="6" s="1"/>
  <c r="H69" i="6"/>
  <c r="G69" i="6"/>
  <c r="F69" i="6"/>
  <c r="J69" i="6" s="1"/>
  <c r="E69" i="6"/>
  <c r="I69" i="6" s="1"/>
  <c r="D69" i="6"/>
  <c r="C69" i="6"/>
  <c r="J68" i="6"/>
  <c r="I68" i="6"/>
  <c r="G68" i="6"/>
  <c r="F68" i="6"/>
  <c r="E68" i="6"/>
  <c r="D68" i="6"/>
  <c r="H68" i="6" s="1"/>
  <c r="C68" i="6"/>
  <c r="I67" i="6"/>
  <c r="G67" i="6"/>
  <c r="F67" i="6"/>
  <c r="J67" i="6" s="1"/>
  <c r="E67" i="6"/>
  <c r="D67" i="6"/>
  <c r="H67" i="6" s="1"/>
  <c r="C67" i="6"/>
  <c r="I66" i="6"/>
  <c r="H66" i="6"/>
  <c r="G66" i="6"/>
  <c r="F66" i="6"/>
  <c r="J66" i="6" s="1"/>
  <c r="E66" i="6"/>
  <c r="D66" i="6"/>
  <c r="C66" i="6"/>
  <c r="J65" i="6"/>
  <c r="F65" i="6"/>
  <c r="E65" i="6"/>
  <c r="I65" i="6" s="1"/>
  <c r="D65" i="6"/>
  <c r="H65" i="6" s="1"/>
  <c r="C65" i="6"/>
  <c r="G65" i="6" s="1"/>
  <c r="F64" i="6"/>
  <c r="J64" i="6" s="1"/>
  <c r="E64" i="6"/>
  <c r="I64" i="6" s="1"/>
  <c r="D64" i="6"/>
  <c r="H64" i="6" s="1"/>
  <c r="C64" i="6"/>
  <c r="G64" i="6" s="1"/>
  <c r="J63" i="6"/>
  <c r="H63" i="6"/>
  <c r="F63" i="6"/>
  <c r="E63" i="6"/>
  <c r="I63" i="6" s="1"/>
  <c r="D63" i="6"/>
  <c r="C63" i="6"/>
  <c r="G63" i="6" s="1"/>
  <c r="F62" i="6"/>
  <c r="J62" i="6" s="1"/>
  <c r="E62" i="6"/>
  <c r="I62" i="6" s="1"/>
  <c r="D62" i="6"/>
  <c r="H62" i="6" s="1"/>
  <c r="C62" i="6"/>
  <c r="G62" i="6" s="1"/>
  <c r="F61" i="6"/>
  <c r="J61" i="6" s="1"/>
  <c r="E61" i="6"/>
  <c r="I61" i="6" s="1"/>
  <c r="D61" i="6"/>
  <c r="H61" i="6" s="1"/>
  <c r="C61" i="6"/>
  <c r="G61" i="6" s="1"/>
  <c r="H60" i="6"/>
  <c r="G60" i="6"/>
  <c r="F60" i="6"/>
  <c r="J60" i="6" s="1"/>
  <c r="E60" i="6"/>
  <c r="I60" i="6" s="1"/>
  <c r="D60" i="6"/>
  <c r="C60" i="6"/>
  <c r="F59" i="6"/>
  <c r="J59" i="6" s="1"/>
  <c r="P65" i="6" s="1"/>
  <c r="E59" i="6"/>
  <c r="I59" i="6" s="1"/>
  <c r="D59" i="6"/>
  <c r="H59" i="6" s="1"/>
  <c r="C59" i="6"/>
  <c r="G59" i="6" s="1"/>
  <c r="F58" i="6"/>
  <c r="J58" i="6" s="1"/>
  <c r="E58" i="6"/>
  <c r="I58" i="6" s="1"/>
  <c r="D58" i="6"/>
  <c r="H58" i="6" s="1"/>
  <c r="C58" i="6"/>
  <c r="G58" i="6" s="1"/>
  <c r="H57" i="6"/>
  <c r="G57" i="6"/>
  <c r="F57" i="6"/>
  <c r="J57" i="6" s="1"/>
  <c r="E57" i="6"/>
  <c r="I57" i="6" s="1"/>
  <c r="D57" i="6"/>
  <c r="C57" i="6"/>
  <c r="I56" i="6"/>
  <c r="G56" i="6"/>
  <c r="F56" i="6"/>
  <c r="J56" i="6" s="1"/>
  <c r="E56" i="6"/>
  <c r="D56" i="6"/>
  <c r="H56" i="6" s="1"/>
  <c r="C56" i="6"/>
  <c r="I55" i="6"/>
  <c r="G55" i="6"/>
  <c r="F55" i="6"/>
  <c r="J55" i="6" s="1"/>
  <c r="E55" i="6"/>
  <c r="D55" i="6"/>
  <c r="H55" i="6" s="1"/>
  <c r="C55" i="6"/>
  <c r="I54" i="6"/>
  <c r="H54" i="6"/>
  <c r="G54" i="6"/>
  <c r="F54" i="6"/>
  <c r="J54" i="6" s="1"/>
  <c r="E54" i="6"/>
  <c r="D54" i="6"/>
  <c r="C54" i="6"/>
  <c r="J53" i="6"/>
  <c r="I53" i="6"/>
  <c r="F53" i="6"/>
  <c r="E53" i="6"/>
  <c r="D53" i="6"/>
  <c r="H53" i="6" s="1"/>
  <c r="C53" i="6"/>
  <c r="G53" i="6" s="1"/>
  <c r="H52" i="6"/>
  <c r="F52" i="6"/>
  <c r="J52" i="6" s="1"/>
  <c r="E52" i="6"/>
  <c r="I52" i="6" s="1"/>
  <c r="D52" i="6"/>
  <c r="C52" i="6"/>
  <c r="G52" i="6" s="1"/>
  <c r="J51" i="6"/>
  <c r="H51" i="6"/>
  <c r="G51" i="6"/>
  <c r="F51" i="6"/>
  <c r="E51" i="6"/>
  <c r="I51" i="6" s="1"/>
  <c r="D51" i="6"/>
  <c r="C51" i="6"/>
  <c r="J50" i="6"/>
  <c r="I50" i="6"/>
  <c r="F50" i="6"/>
  <c r="E50" i="6"/>
  <c r="D50" i="6"/>
  <c r="H50" i="6" s="1"/>
  <c r="C50" i="6"/>
  <c r="G50" i="6" s="1"/>
  <c r="G49" i="6"/>
  <c r="F49" i="6"/>
  <c r="J49" i="6" s="1"/>
  <c r="E49" i="6"/>
  <c r="I49" i="6" s="1"/>
  <c r="D49" i="6"/>
  <c r="H49" i="6" s="1"/>
  <c r="C49" i="6"/>
  <c r="I48" i="6"/>
  <c r="H48" i="6"/>
  <c r="F48" i="6"/>
  <c r="J48" i="6" s="1"/>
  <c r="E48" i="6"/>
  <c r="D48" i="6"/>
  <c r="C48" i="6"/>
  <c r="G48" i="6" s="1"/>
  <c r="F47" i="6"/>
  <c r="J47" i="6" s="1"/>
  <c r="E47" i="6"/>
  <c r="I47" i="6" s="1"/>
  <c r="D47" i="6"/>
  <c r="H47" i="6" s="1"/>
  <c r="C47" i="6"/>
  <c r="G47" i="6" s="1"/>
  <c r="F46" i="6"/>
  <c r="J46" i="6" s="1"/>
  <c r="E46" i="6"/>
  <c r="I46" i="6" s="1"/>
  <c r="D46" i="6"/>
  <c r="H46" i="6" s="1"/>
  <c r="C46" i="6"/>
  <c r="G46" i="6" s="1"/>
  <c r="F45" i="6"/>
  <c r="J45" i="6" s="1"/>
  <c r="E45" i="6"/>
  <c r="I45" i="6" s="1"/>
  <c r="D45" i="6"/>
  <c r="H45" i="6" s="1"/>
  <c r="C45" i="6"/>
  <c r="G45" i="6" s="1"/>
  <c r="G44" i="6"/>
  <c r="F44" i="6"/>
  <c r="J44" i="6" s="1"/>
  <c r="E44" i="6"/>
  <c r="I44" i="6" s="1"/>
  <c r="D44" i="6"/>
  <c r="H44" i="6" s="1"/>
  <c r="C44" i="6"/>
  <c r="G43" i="6"/>
  <c r="F43" i="6"/>
  <c r="J43" i="6" s="1"/>
  <c r="E43" i="6"/>
  <c r="I43" i="6" s="1"/>
  <c r="D43" i="6"/>
  <c r="H43" i="6" s="1"/>
  <c r="C43" i="6"/>
  <c r="I42" i="6"/>
  <c r="H42" i="6"/>
  <c r="G42" i="6"/>
  <c r="K42" i="6" s="1"/>
  <c r="F42" i="6"/>
  <c r="J42" i="6" s="1"/>
  <c r="E42" i="6"/>
  <c r="D42" i="6"/>
  <c r="C42" i="6"/>
  <c r="I41" i="6"/>
  <c r="F41" i="6"/>
  <c r="J41" i="6" s="1"/>
  <c r="E41" i="6"/>
  <c r="D41" i="6"/>
  <c r="H41" i="6" s="1"/>
  <c r="C41" i="6"/>
  <c r="G41" i="6" s="1"/>
  <c r="H40" i="6"/>
  <c r="F40" i="6"/>
  <c r="J40" i="6" s="1"/>
  <c r="E40" i="6"/>
  <c r="I40" i="6" s="1"/>
  <c r="D40" i="6"/>
  <c r="C40" i="6"/>
  <c r="G40" i="6" s="1"/>
  <c r="K40" i="6" s="1"/>
  <c r="J39" i="6"/>
  <c r="H39" i="6"/>
  <c r="G39" i="6"/>
  <c r="F39" i="6"/>
  <c r="E39" i="6"/>
  <c r="I39" i="6" s="1"/>
  <c r="D39" i="6"/>
  <c r="C39" i="6"/>
  <c r="J38" i="6"/>
  <c r="F38" i="6"/>
  <c r="E38" i="6"/>
  <c r="I38" i="6" s="1"/>
  <c r="D38" i="6"/>
  <c r="H38" i="6" s="1"/>
  <c r="C38" i="6"/>
  <c r="G38" i="6" s="1"/>
  <c r="G37" i="6"/>
  <c r="F37" i="6"/>
  <c r="J37" i="6" s="1"/>
  <c r="E37" i="6"/>
  <c r="I37" i="6" s="1"/>
  <c r="D37" i="6"/>
  <c r="H37" i="6" s="1"/>
  <c r="C37" i="6"/>
  <c r="I36" i="6"/>
  <c r="F36" i="6"/>
  <c r="J36" i="6" s="1"/>
  <c r="E36" i="6"/>
  <c r="D36" i="6"/>
  <c r="H36" i="6" s="1"/>
  <c r="C36" i="6"/>
  <c r="G36" i="6" s="1"/>
  <c r="F35" i="6"/>
  <c r="J35" i="6" s="1"/>
  <c r="E35" i="6"/>
  <c r="I35" i="6" s="1"/>
  <c r="D35" i="6"/>
  <c r="H35" i="6" s="1"/>
  <c r="C35" i="6"/>
  <c r="G35" i="6" s="1"/>
  <c r="F34" i="6"/>
  <c r="J34" i="6" s="1"/>
  <c r="E34" i="6"/>
  <c r="I34" i="6" s="1"/>
  <c r="D34" i="6"/>
  <c r="H34" i="6" s="1"/>
  <c r="C34" i="6"/>
  <c r="G34" i="6" s="1"/>
  <c r="J33" i="6"/>
  <c r="F33" i="6"/>
  <c r="E33" i="6"/>
  <c r="I33" i="6" s="1"/>
  <c r="D33" i="6"/>
  <c r="H33" i="6" s="1"/>
  <c r="C33" i="6"/>
  <c r="G33" i="6" s="1"/>
  <c r="G32" i="6"/>
  <c r="F32" i="6"/>
  <c r="J32" i="6" s="1"/>
  <c r="E32" i="6"/>
  <c r="I32" i="6" s="1"/>
  <c r="D32" i="6"/>
  <c r="H32" i="6" s="1"/>
  <c r="C32" i="6"/>
  <c r="F31" i="6"/>
  <c r="J31" i="6" s="1"/>
  <c r="E31" i="6"/>
  <c r="I31" i="6" s="1"/>
  <c r="D31" i="6"/>
  <c r="H31" i="6" s="1"/>
  <c r="C31" i="6"/>
  <c r="G31" i="6" s="1"/>
  <c r="G30" i="6"/>
  <c r="F30" i="6"/>
  <c r="J30" i="6" s="1"/>
  <c r="E30" i="6"/>
  <c r="I30" i="6" s="1"/>
  <c r="D30" i="6"/>
  <c r="H30" i="6" s="1"/>
  <c r="C30" i="6"/>
  <c r="F29" i="6"/>
  <c r="J29" i="6" s="1"/>
  <c r="E29" i="6"/>
  <c r="I29" i="6" s="1"/>
  <c r="D29" i="6"/>
  <c r="H29" i="6" s="1"/>
  <c r="C29" i="6"/>
  <c r="G29" i="6" s="1"/>
  <c r="F28" i="6"/>
  <c r="J28" i="6" s="1"/>
  <c r="E28" i="6"/>
  <c r="I28" i="6" s="1"/>
  <c r="D28" i="6"/>
  <c r="H28" i="6" s="1"/>
  <c r="C28" i="6"/>
  <c r="G28" i="6" s="1"/>
  <c r="G27" i="6"/>
  <c r="F27" i="6"/>
  <c r="J27" i="6" s="1"/>
  <c r="E27" i="6"/>
  <c r="I27" i="6" s="1"/>
  <c r="D27" i="6"/>
  <c r="H27" i="6" s="1"/>
  <c r="C27" i="6"/>
  <c r="F26" i="6"/>
  <c r="J26" i="6" s="1"/>
  <c r="E26" i="6"/>
  <c r="I26" i="6" s="1"/>
  <c r="D26" i="6"/>
  <c r="H26" i="6" s="1"/>
  <c r="C26" i="6"/>
  <c r="G26" i="6" s="1"/>
  <c r="F25" i="6"/>
  <c r="J25" i="6" s="1"/>
  <c r="E25" i="6"/>
  <c r="I25" i="6" s="1"/>
  <c r="D25" i="6"/>
  <c r="H25" i="6" s="1"/>
  <c r="C25" i="6"/>
  <c r="G25" i="6" s="1"/>
  <c r="H24" i="6"/>
  <c r="G24" i="6"/>
  <c r="K24" i="6" s="1"/>
  <c r="F24" i="6"/>
  <c r="J24" i="6" s="1"/>
  <c r="E24" i="6"/>
  <c r="I24" i="6" s="1"/>
  <c r="D24" i="6"/>
  <c r="C24" i="6"/>
  <c r="F23" i="6"/>
  <c r="J23" i="6" s="1"/>
  <c r="E23" i="6"/>
  <c r="I23" i="6" s="1"/>
  <c r="D23" i="6"/>
  <c r="H23" i="6" s="1"/>
  <c r="C23" i="6"/>
  <c r="G23" i="6" s="1"/>
  <c r="F22" i="6"/>
  <c r="J22" i="6" s="1"/>
  <c r="E22" i="6"/>
  <c r="I22" i="6" s="1"/>
  <c r="D22" i="6"/>
  <c r="H22" i="6" s="1"/>
  <c r="C22" i="6"/>
  <c r="G22" i="6" s="1"/>
  <c r="H21" i="6"/>
  <c r="G21" i="6"/>
  <c r="F21" i="6"/>
  <c r="J21" i="6" s="1"/>
  <c r="E21" i="6"/>
  <c r="I21" i="6" s="1"/>
  <c r="D21" i="6"/>
  <c r="C21" i="6"/>
  <c r="F20" i="6"/>
  <c r="J20" i="6" s="1"/>
  <c r="E20" i="6"/>
  <c r="I20" i="6" s="1"/>
  <c r="D20" i="6"/>
  <c r="H20" i="6" s="1"/>
  <c r="C20" i="6"/>
  <c r="G20" i="6" s="1"/>
  <c r="I19" i="6"/>
  <c r="G19" i="6"/>
  <c r="F19" i="6"/>
  <c r="J19" i="6" s="1"/>
  <c r="E19" i="6"/>
  <c r="D19" i="6"/>
  <c r="H19" i="6" s="1"/>
  <c r="C19" i="6"/>
  <c r="I18" i="6"/>
  <c r="H18" i="6"/>
  <c r="G18" i="6"/>
  <c r="K18" i="6" s="1"/>
  <c r="F18" i="6"/>
  <c r="J18" i="6" s="1"/>
  <c r="E18" i="6"/>
  <c r="D18" i="6"/>
  <c r="C18" i="6"/>
  <c r="I17" i="6"/>
  <c r="F17" i="6"/>
  <c r="J17" i="6" s="1"/>
  <c r="E17" i="6"/>
  <c r="D17" i="6"/>
  <c r="H17" i="6" s="1"/>
  <c r="C17" i="6"/>
  <c r="G17" i="6" s="1"/>
  <c r="H16" i="6"/>
  <c r="F16" i="6"/>
  <c r="J16" i="6" s="1"/>
  <c r="E16" i="6"/>
  <c r="I16" i="6" s="1"/>
  <c r="D16" i="6"/>
  <c r="C16" i="6"/>
  <c r="G16" i="6" s="1"/>
  <c r="J15" i="6"/>
  <c r="H15" i="6"/>
  <c r="G15" i="6"/>
  <c r="F15" i="6"/>
  <c r="E15" i="6"/>
  <c r="I15" i="6" s="1"/>
  <c r="D15" i="6"/>
  <c r="C15" i="6"/>
  <c r="J14" i="6"/>
  <c r="I14" i="6"/>
  <c r="G14" i="6"/>
  <c r="F14" i="6"/>
  <c r="E14" i="6"/>
  <c r="D14" i="6"/>
  <c r="H14" i="6" s="1"/>
  <c r="C14" i="6"/>
  <c r="I13" i="6"/>
  <c r="G13" i="6"/>
  <c r="F13" i="6"/>
  <c r="J13" i="6" s="1"/>
  <c r="E13" i="6"/>
  <c r="D13" i="6"/>
  <c r="H13" i="6" s="1"/>
  <c r="C13" i="6"/>
  <c r="I12" i="6"/>
  <c r="H12" i="6"/>
  <c r="F12" i="6"/>
  <c r="J12" i="6" s="1"/>
  <c r="E12" i="6"/>
  <c r="D12" i="6"/>
  <c r="C12" i="6"/>
  <c r="G12" i="6" s="1"/>
  <c r="J11" i="6"/>
  <c r="F11" i="6"/>
  <c r="E11" i="6"/>
  <c r="I11" i="6" s="1"/>
  <c r="D11" i="6"/>
  <c r="H11" i="6" s="1"/>
  <c r="C11" i="6"/>
  <c r="G11" i="6" s="1"/>
  <c r="H10" i="6"/>
  <c r="F10" i="6"/>
  <c r="J10" i="6" s="1"/>
  <c r="E10" i="6"/>
  <c r="I10" i="6" s="1"/>
  <c r="D10" i="6"/>
  <c r="C10" i="6"/>
  <c r="G10" i="6" s="1"/>
  <c r="J9" i="6"/>
  <c r="H9" i="6"/>
  <c r="F9" i="6"/>
  <c r="E9" i="6"/>
  <c r="I9" i="6" s="1"/>
  <c r="D9" i="6"/>
  <c r="C9" i="6"/>
  <c r="G9" i="6" s="1"/>
  <c r="K9" i="6" s="1"/>
  <c r="J8" i="6"/>
  <c r="F8" i="6"/>
  <c r="E8" i="6"/>
  <c r="I8" i="6" s="1"/>
  <c r="D8" i="6"/>
  <c r="H8" i="6" s="1"/>
  <c r="C8" i="6"/>
  <c r="G8" i="6" s="1"/>
  <c r="F7" i="6"/>
  <c r="J7" i="6" s="1"/>
  <c r="E7" i="6"/>
  <c r="I7" i="6" s="1"/>
  <c r="D7" i="6"/>
  <c r="H7" i="6" s="1"/>
  <c r="C7" i="6"/>
  <c r="G7" i="6" s="1"/>
  <c r="I6" i="6"/>
  <c r="F6" i="6"/>
  <c r="J6" i="6" s="1"/>
  <c r="E6" i="6"/>
  <c r="D6" i="6"/>
  <c r="H6" i="6" s="1"/>
  <c r="C6" i="6"/>
  <c r="G6" i="6" s="1"/>
  <c r="F5" i="6"/>
  <c r="J5" i="6" s="1"/>
  <c r="E5" i="6"/>
  <c r="I5" i="6" s="1"/>
  <c r="D5" i="6"/>
  <c r="H5" i="6" s="1"/>
  <c r="C5" i="6"/>
  <c r="G5" i="6" s="1"/>
  <c r="E449" i="5"/>
  <c r="D449" i="5"/>
  <c r="N449" i="5" s="1"/>
  <c r="C449" i="5"/>
  <c r="N448" i="5"/>
  <c r="E448" i="5"/>
  <c r="D448" i="5"/>
  <c r="C448" i="5"/>
  <c r="E447" i="5"/>
  <c r="D447" i="5"/>
  <c r="N447" i="5" s="1"/>
  <c r="C447" i="5"/>
  <c r="E446" i="5"/>
  <c r="D446" i="5"/>
  <c r="C446" i="5"/>
  <c r="E445" i="5"/>
  <c r="D445" i="5"/>
  <c r="N445" i="5" s="1"/>
  <c r="C445" i="5"/>
  <c r="E444" i="5"/>
  <c r="D444" i="5"/>
  <c r="N444" i="5" s="1"/>
  <c r="C444" i="5"/>
  <c r="E443" i="5"/>
  <c r="D443" i="5"/>
  <c r="N443" i="5" s="1"/>
  <c r="C443" i="5"/>
  <c r="E442" i="5"/>
  <c r="D442" i="5"/>
  <c r="N442" i="5" s="1"/>
  <c r="C442" i="5"/>
  <c r="E441" i="5"/>
  <c r="D441" i="5"/>
  <c r="N441" i="5" s="1"/>
  <c r="C441" i="5"/>
  <c r="E440" i="5"/>
  <c r="D440" i="5"/>
  <c r="C440" i="5"/>
  <c r="N439" i="5"/>
  <c r="E439" i="5"/>
  <c r="D439" i="5"/>
  <c r="C439" i="5"/>
  <c r="N438" i="5"/>
  <c r="E438" i="5"/>
  <c r="D438" i="5"/>
  <c r="C438" i="5"/>
  <c r="E437" i="5"/>
  <c r="D437" i="5"/>
  <c r="N437" i="5" s="1"/>
  <c r="C437" i="5"/>
  <c r="N436" i="5"/>
  <c r="E436" i="5"/>
  <c r="D436" i="5"/>
  <c r="C436" i="5"/>
  <c r="N435" i="5"/>
  <c r="E435" i="5"/>
  <c r="D435" i="5"/>
  <c r="C435" i="5"/>
  <c r="E434" i="5"/>
  <c r="D434" i="5"/>
  <c r="C434" i="5"/>
  <c r="N433" i="5"/>
  <c r="E433" i="5"/>
  <c r="D433" i="5"/>
  <c r="C433" i="5"/>
  <c r="E432" i="5"/>
  <c r="D432" i="5"/>
  <c r="N432" i="5" s="1"/>
  <c r="C432" i="5"/>
  <c r="E431" i="5"/>
  <c r="D431" i="5"/>
  <c r="N431" i="5" s="1"/>
  <c r="C431" i="5"/>
  <c r="N430" i="5"/>
  <c r="E430" i="5"/>
  <c r="D430" i="5"/>
  <c r="C430" i="5"/>
  <c r="E429" i="5"/>
  <c r="D429" i="5"/>
  <c r="N429" i="5" s="1"/>
  <c r="C429" i="5"/>
  <c r="E428" i="5"/>
  <c r="D428" i="5"/>
  <c r="C428" i="5"/>
  <c r="E427" i="5"/>
  <c r="D427" i="5"/>
  <c r="N427" i="5" s="1"/>
  <c r="C427" i="5"/>
  <c r="N426" i="5"/>
  <c r="E426" i="5"/>
  <c r="D426" i="5"/>
  <c r="C426" i="5"/>
  <c r="E425" i="5"/>
  <c r="D425" i="5"/>
  <c r="N425" i="5" s="1"/>
  <c r="C425" i="5"/>
  <c r="E424" i="5"/>
  <c r="D424" i="5"/>
  <c r="N424" i="5" s="1"/>
  <c r="C424" i="5"/>
  <c r="N423" i="5"/>
  <c r="E423" i="5"/>
  <c r="D423" i="5"/>
  <c r="C423" i="5"/>
  <c r="E422" i="5"/>
  <c r="D422" i="5"/>
  <c r="C422" i="5"/>
  <c r="E421" i="5"/>
  <c r="D421" i="5"/>
  <c r="N421" i="5" s="1"/>
  <c r="C421" i="5"/>
  <c r="N420" i="5"/>
  <c r="E420" i="5"/>
  <c r="D420" i="5"/>
  <c r="C420" i="5"/>
  <c r="E419" i="5"/>
  <c r="D419" i="5"/>
  <c r="N419" i="5" s="1"/>
  <c r="C419" i="5"/>
  <c r="E418" i="5"/>
  <c r="D418" i="5"/>
  <c r="N418" i="5" s="1"/>
  <c r="C418" i="5"/>
  <c r="N417" i="5"/>
  <c r="E417" i="5"/>
  <c r="D417" i="5"/>
  <c r="C417" i="5"/>
  <c r="E416" i="5"/>
  <c r="D416" i="5"/>
  <c r="C416" i="5"/>
  <c r="N415" i="5"/>
  <c r="E415" i="5"/>
  <c r="D415" i="5"/>
  <c r="C415" i="5"/>
  <c r="E414" i="5"/>
  <c r="D414" i="5"/>
  <c r="N414" i="5" s="1"/>
  <c r="C414" i="5"/>
  <c r="E413" i="5"/>
  <c r="D413" i="5"/>
  <c r="N413" i="5" s="1"/>
  <c r="C413" i="5"/>
  <c r="N412" i="5"/>
  <c r="E412" i="5"/>
  <c r="D412" i="5"/>
  <c r="C412" i="5"/>
  <c r="E411" i="5"/>
  <c r="D411" i="5"/>
  <c r="N411" i="5" s="1"/>
  <c r="C411" i="5"/>
  <c r="E410" i="5"/>
  <c r="D410" i="5"/>
  <c r="C410" i="5"/>
  <c r="E409" i="5"/>
  <c r="D409" i="5"/>
  <c r="N409" i="5" s="1"/>
  <c r="C409" i="5"/>
  <c r="E408" i="5"/>
  <c r="D408" i="5"/>
  <c r="N408" i="5" s="1"/>
  <c r="C408" i="5"/>
  <c r="E407" i="5"/>
  <c r="D407" i="5"/>
  <c r="N407" i="5" s="1"/>
  <c r="C407" i="5"/>
  <c r="E406" i="5"/>
  <c r="D406" i="5"/>
  <c r="N406" i="5" s="1"/>
  <c r="C406" i="5"/>
  <c r="E405" i="5"/>
  <c r="D405" i="5"/>
  <c r="N405" i="5" s="1"/>
  <c r="C405" i="5"/>
  <c r="E404" i="5"/>
  <c r="D404" i="5"/>
  <c r="C404" i="5"/>
  <c r="E403" i="5"/>
  <c r="D403" i="5"/>
  <c r="N403" i="5" s="1"/>
  <c r="C403" i="5"/>
  <c r="N402" i="5"/>
  <c r="E402" i="5"/>
  <c r="D402" i="5"/>
  <c r="C402" i="5"/>
  <c r="E401" i="5"/>
  <c r="D401" i="5"/>
  <c r="N401" i="5" s="1"/>
  <c r="C401" i="5"/>
  <c r="N400" i="5"/>
  <c r="E400" i="5"/>
  <c r="D400" i="5"/>
  <c r="C400" i="5"/>
  <c r="N399" i="5"/>
  <c r="E399" i="5"/>
  <c r="D399" i="5"/>
  <c r="C399" i="5"/>
  <c r="E398" i="5"/>
  <c r="D398" i="5"/>
  <c r="C398" i="5"/>
  <c r="N397" i="5"/>
  <c r="E397" i="5"/>
  <c r="D397" i="5"/>
  <c r="C397" i="5"/>
  <c r="E396" i="5"/>
  <c r="D396" i="5"/>
  <c r="N396" i="5" s="1"/>
  <c r="C396" i="5"/>
  <c r="E395" i="5"/>
  <c r="D395" i="5"/>
  <c r="N395" i="5" s="1"/>
  <c r="C395" i="5"/>
  <c r="N394" i="5"/>
  <c r="E394" i="5"/>
  <c r="D394" i="5"/>
  <c r="C394" i="5"/>
  <c r="E393" i="5"/>
  <c r="D393" i="5"/>
  <c r="N393" i="5" s="1"/>
  <c r="C393" i="5"/>
  <c r="E392" i="5"/>
  <c r="D392" i="5"/>
  <c r="C392" i="5"/>
  <c r="E391" i="5"/>
  <c r="D391" i="5"/>
  <c r="N391" i="5" s="1"/>
  <c r="C391" i="5"/>
  <c r="E390" i="5"/>
  <c r="D390" i="5"/>
  <c r="N390" i="5" s="1"/>
  <c r="C390" i="5"/>
  <c r="E389" i="5"/>
  <c r="D389" i="5"/>
  <c r="C389" i="5"/>
  <c r="E388" i="5"/>
  <c r="D388" i="5"/>
  <c r="N388" i="5" s="1"/>
  <c r="C388" i="5"/>
  <c r="E387" i="5"/>
  <c r="D387" i="5"/>
  <c r="N387" i="5" s="1"/>
  <c r="C387" i="5"/>
  <c r="E386" i="5"/>
  <c r="D386" i="5"/>
  <c r="C386" i="5"/>
  <c r="E385" i="5"/>
  <c r="D385" i="5"/>
  <c r="N385" i="5" s="1"/>
  <c r="C385" i="5"/>
  <c r="N384" i="5"/>
  <c r="E384" i="5"/>
  <c r="D384" i="5"/>
  <c r="C384" i="5"/>
  <c r="E383" i="5"/>
  <c r="D383" i="5"/>
  <c r="C383" i="5"/>
  <c r="E382" i="5"/>
  <c r="D382" i="5"/>
  <c r="N382" i="5" s="1"/>
  <c r="C382" i="5"/>
  <c r="N381" i="5"/>
  <c r="E381" i="5"/>
  <c r="D381" i="5"/>
  <c r="C381" i="5"/>
  <c r="E380" i="5"/>
  <c r="D380" i="5"/>
  <c r="C380" i="5"/>
  <c r="E379" i="5"/>
  <c r="D379" i="5"/>
  <c r="N379" i="5" s="1"/>
  <c r="C379" i="5"/>
  <c r="N378" i="5"/>
  <c r="E378" i="5"/>
  <c r="D378" i="5"/>
  <c r="C378" i="5"/>
  <c r="E377" i="5"/>
  <c r="D377" i="5"/>
  <c r="C377" i="5"/>
  <c r="E376" i="5"/>
  <c r="D376" i="5"/>
  <c r="N376" i="5" s="1"/>
  <c r="C376" i="5"/>
  <c r="N375" i="5"/>
  <c r="E375" i="5"/>
  <c r="D375" i="5"/>
  <c r="C375" i="5"/>
  <c r="E374" i="5"/>
  <c r="D374" i="5"/>
  <c r="C374" i="5"/>
  <c r="N373" i="5"/>
  <c r="E373" i="5"/>
  <c r="D373" i="5"/>
  <c r="C373" i="5"/>
  <c r="E372" i="5"/>
  <c r="D372" i="5"/>
  <c r="N372" i="5" s="1"/>
  <c r="C372" i="5"/>
  <c r="E371" i="5"/>
  <c r="D371" i="5"/>
  <c r="C371" i="5"/>
  <c r="N370" i="5"/>
  <c r="E370" i="5"/>
  <c r="D370" i="5"/>
  <c r="C370" i="5"/>
  <c r="E369" i="5"/>
  <c r="D369" i="5"/>
  <c r="C369" i="5"/>
  <c r="E368" i="5"/>
  <c r="D368" i="5"/>
  <c r="C368" i="5"/>
  <c r="N367" i="5"/>
  <c r="E367" i="5"/>
  <c r="D367" i="5"/>
  <c r="C367" i="5"/>
  <c r="E366" i="5"/>
  <c r="D366" i="5"/>
  <c r="N366" i="5" s="1"/>
  <c r="C366" i="5"/>
  <c r="E365" i="5"/>
  <c r="D365" i="5"/>
  <c r="C365" i="5"/>
  <c r="E364" i="5"/>
  <c r="D364" i="5"/>
  <c r="N364" i="5" s="1"/>
  <c r="C364" i="5"/>
  <c r="E363" i="5"/>
  <c r="D363" i="5"/>
  <c r="N363" i="5" s="1"/>
  <c r="C363" i="5"/>
  <c r="E362" i="5"/>
  <c r="D362" i="5"/>
  <c r="C362" i="5"/>
  <c r="E361" i="5"/>
  <c r="D361" i="5"/>
  <c r="N361" i="5" s="1"/>
  <c r="C361" i="5"/>
  <c r="E360" i="5"/>
  <c r="D360" i="5"/>
  <c r="N360" i="5" s="1"/>
  <c r="C360" i="5"/>
  <c r="E359" i="5"/>
  <c r="D359" i="5"/>
  <c r="C359" i="5"/>
  <c r="E358" i="5"/>
  <c r="D358" i="5"/>
  <c r="N358" i="5" s="1"/>
  <c r="C358" i="5"/>
  <c r="E357" i="5"/>
  <c r="D357" i="5"/>
  <c r="N357" i="5" s="1"/>
  <c r="C357" i="5"/>
  <c r="E356" i="5"/>
  <c r="D356" i="5"/>
  <c r="C356" i="5"/>
  <c r="N355" i="5"/>
  <c r="E355" i="5"/>
  <c r="D355" i="5"/>
  <c r="C355" i="5"/>
  <c r="E354" i="5"/>
  <c r="D354" i="5"/>
  <c r="N354" i="5" s="1"/>
  <c r="C354" i="5"/>
  <c r="E353" i="5"/>
  <c r="D353" i="5"/>
  <c r="C353" i="5"/>
  <c r="E352" i="5"/>
  <c r="D352" i="5"/>
  <c r="C352" i="5"/>
  <c r="E351" i="5"/>
  <c r="D351" i="5"/>
  <c r="N351" i="5" s="1"/>
  <c r="C351" i="5"/>
  <c r="E350" i="5"/>
  <c r="D350" i="5"/>
  <c r="C350" i="5"/>
  <c r="N349" i="5"/>
  <c r="E349" i="5"/>
  <c r="D349" i="5"/>
  <c r="C349" i="5"/>
  <c r="N348" i="5"/>
  <c r="E348" i="5"/>
  <c r="D348" i="5"/>
  <c r="C348" i="5"/>
  <c r="E347" i="5"/>
  <c r="D347" i="5"/>
  <c r="C347" i="5"/>
  <c r="N346" i="5"/>
  <c r="E346" i="5"/>
  <c r="D346" i="5"/>
  <c r="C346" i="5"/>
  <c r="E345" i="5"/>
  <c r="D345" i="5"/>
  <c r="N345" i="5" s="1"/>
  <c r="C345" i="5"/>
  <c r="E344" i="5"/>
  <c r="D344" i="5"/>
  <c r="C344" i="5"/>
  <c r="E343" i="5"/>
  <c r="D343" i="5"/>
  <c r="C343" i="5"/>
  <c r="N342" i="5"/>
  <c r="E342" i="5"/>
  <c r="D342" i="5"/>
  <c r="C342" i="5"/>
  <c r="E341" i="5"/>
  <c r="D341" i="5"/>
  <c r="C341" i="5"/>
  <c r="N340" i="5"/>
  <c r="H340" i="5"/>
  <c r="I340" i="5" s="1"/>
  <c r="E340" i="5"/>
  <c r="D340" i="5"/>
  <c r="C340" i="5"/>
  <c r="N339" i="5"/>
  <c r="E339" i="5"/>
  <c r="D339" i="5"/>
  <c r="C339" i="5"/>
  <c r="E338" i="5"/>
  <c r="D338" i="5"/>
  <c r="H334" i="5" s="1"/>
  <c r="I334" i="5" s="1"/>
  <c r="C338" i="5"/>
  <c r="E337" i="5"/>
  <c r="D337" i="5"/>
  <c r="H349" i="5" s="1"/>
  <c r="I349" i="5" s="1"/>
  <c r="C337" i="5"/>
  <c r="E336" i="5"/>
  <c r="D336" i="5"/>
  <c r="N336" i="5" s="1"/>
  <c r="C336" i="5"/>
  <c r="E335" i="5"/>
  <c r="D335" i="5"/>
  <c r="C335" i="5"/>
  <c r="N334" i="5"/>
  <c r="E334" i="5"/>
  <c r="D334" i="5"/>
  <c r="C334" i="5"/>
  <c r="H333" i="5"/>
  <c r="I333" i="5" s="1"/>
  <c r="E333" i="5"/>
  <c r="D333" i="5"/>
  <c r="N333" i="5" s="1"/>
  <c r="C333" i="5"/>
  <c r="E332" i="5"/>
  <c r="D332" i="5"/>
  <c r="C332" i="5"/>
  <c r="E331" i="5"/>
  <c r="D331" i="5"/>
  <c r="C331" i="5"/>
  <c r="N330" i="5"/>
  <c r="E330" i="5"/>
  <c r="D330" i="5"/>
  <c r="H330" i="5" s="1"/>
  <c r="I330" i="5" s="1"/>
  <c r="C330" i="5"/>
  <c r="E329" i="5"/>
  <c r="D329" i="5"/>
  <c r="C329" i="5"/>
  <c r="E328" i="5"/>
  <c r="D328" i="5"/>
  <c r="N328" i="5" s="1"/>
  <c r="C328" i="5"/>
  <c r="E327" i="5"/>
  <c r="D327" i="5"/>
  <c r="G300" i="5" s="1"/>
  <c r="C327" i="5"/>
  <c r="E326" i="5"/>
  <c r="D326" i="5"/>
  <c r="C326" i="5"/>
  <c r="E325" i="5"/>
  <c r="D325" i="5"/>
  <c r="N325" i="5" s="1"/>
  <c r="C325" i="5"/>
  <c r="N324" i="5"/>
  <c r="E324" i="5"/>
  <c r="D324" i="5"/>
  <c r="C324" i="5"/>
  <c r="E323" i="5"/>
  <c r="D323" i="5"/>
  <c r="C323" i="5"/>
  <c r="N322" i="5"/>
  <c r="E322" i="5"/>
  <c r="D322" i="5"/>
  <c r="C322" i="5"/>
  <c r="E321" i="5"/>
  <c r="D321" i="5"/>
  <c r="N321" i="5" s="1"/>
  <c r="C321" i="5"/>
  <c r="E320" i="5"/>
  <c r="D320" i="5"/>
  <c r="C320" i="5"/>
  <c r="G319" i="5"/>
  <c r="E319" i="5"/>
  <c r="D319" i="5"/>
  <c r="N319" i="5" s="1"/>
  <c r="C319" i="5"/>
  <c r="N318" i="5"/>
  <c r="E318" i="5"/>
  <c r="D318" i="5"/>
  <c r="C318" i="5"/>
  <c r="G317" i="5"/>
  <c r="E317" i="5"/>
  <c r="D317" i="5"/>
  <c r="C317" i="5"/>
  <c r="E316" i="5"/>
  <c r="D316" i="5"/>
  <c r="N316" i="5" s="1"/>
  <c r="C316" i="5"/>
  <c r="N315" i="5"/>
  <c r="E315" i="5"/>
  <c r="D315" i="5"/>
  <c r="C315" i="5"/>
  <c r="G314" i="5"/>
  <c r="E314" i="5"/>
  <c r="D314" i="5"/>
  <c r="C314" i="5"/>
  <c r="E313" i="5"/>
  <c r="D313" i="5"/>
  <c r="N313" i="5" s="1"/>
  <c r="C313" i="5"/>
  <c r="N312" i="5"/>
  <c r="E312" i="5"/>
  <c r="D312" i="5"/>
  <c r="C312" i="5"/>
  <c r="E311" i="5"/>
  <c r="D311" i="5"/>
  <c r="C311" i="5"/>
  <c r="N310" i="5"/>
  <c r="E310" i="5"/>
  <c r="D310" i="5"/>
  <c r="C310" i="5"/>
  <c r="N309" i="5"/>
  <c r="E309" i="5"/>
  <c r="D309" i="5"/>
  <c r="C309" i="5"/>
  <c r="E308" i="5"/>
  <c r="D308" i="5"/>
  <c r="C308" i="5"/>
  <c r="N307" i="5"/>
  <c r="E307" i="5"/>
  <c r="D307" i="5"/>
  <c r="C307" i="5"/>
  <c r="E306" i="5"/>
  <c r="D306" i="5"/>
  <c r="C306" i="5"/>
  <c r="E305" i="5"/>
  <c r="D305" i="5"/>
  <c r="C305" i="5"/>
  <c r="E304" i="5"/>
  <c r="D304" i="5"/>
  <c r="N304" i="5" s="1"/>
  <c r="C304" i="5"/>
  <c r="E303" i="5"/>
  <c r="D303" i="5"/>
  <c r="N303" i="5" s="1"/>
  <c r="C303" i="5"/>
  <c r="E302" i="5"/>
  <c r="D302" i="5"/>
  <c r="C302" i="5"/>
  <c r="N301" i="5"/>
  <c r="E301" i="5"/>
  <c r="D301" i="5"/>
  <c r="C301" i="5"/>
  <c r="E300" i="5"/>
  <c r="D300" i="5"/>
  <c r="N300" i="5" s="1"/>
  <c r="C300" i="5"/>
  <c r="E299" i="5"/>
  <c r="D299" i="5"/>
  <c r="C299" i="5"/>
  <c r="N298" i="5"/>
  <c r="E298" i="5"/>
  <c r="D298" i="5"/>
  <c r="C298" i="5"/>
  <c r="N297" i="5"/>
  <c r="E297" i="5"/>
  <c r="D297" i="5"/>
  <c r="C297" i="5"/>
  <c r="E296" i="5"/>
  <c r="D296" i="5"/>
  <c r="C296" i="5"/>
  <c r="N295" i="5"/>
  <c r="E295" i="5"/>
  <c r="D295" i="5"/>
  <c r="C295" i="5"/>
  <c r="N294" i="5"/>
  <c r="E294" i="5"/>
  <c r="D294" i="5"/>
  <c r="C294" i="5"/>
  <c r="E293" i="5"/>
  <c r="D293" i="5"/>
  <c r="C293" i="5"/>
  <c r="N292" i="5"/>
  <c r="E292" i="5"/>
  <c r="D292" i="5"/>
  <c r="C292" i="5"/>
  <c r="E291" i="5"/>
  <c r="D291" i="5"/>
  <c r="N291" i="5" s="1"/>
  <c r="C291" i="5"/>
  <c r="E290" i="5"/>
  <c r="D290" i="5"/>
  <c r="C290" i="5"/>
  <c r="N289" i="5"/>
  <c r="E289" i="5"/>
  <c r="D289" i="5"/>
  <c r="H289" i="5" s="1"/>
  <c r="I289" i="5" s="1"/>
  <c r="C289" i="5"/>
  <c r="N288" i="5"/>
  <c r="E288" i="5"/>
  <c r="D288" i="5"/>
  <c r="C288" i="5"/>
  <c r="E287" i="5"/>
  <c r="D287" i="5"/>
  <c r="C287" i="5"/>
  <c r="N286" i="5"/>
  <c r="E286" i="5"/>
  <c r="D286" i="5"/>
  <c r="C286" i="5"/>
  <c r="E285" i="5"/>
  <c r="D285" i="5"/>
  <c r="N285" i="5" s="1"/>
  <c r="C285" i="5"/>
  <c r="E284" i="5"/>
  <c r="D284" i="5"/>
  <c r="C284" i="5"/>
  <c r="E283" i="5"/>
  <c r="D283" i="5"/>
  <c r="N283" i="5" s="1"/>
  <c r="C283" i="5"/>
  <c r="E282" i="5"/>
  <c r="D282" i="5"/>
  <c r="N282" i="5" s="1"/>
  <c r="C282" i="5"/>
  <c r="E281" i="5"/>
  <c r="D281" i="5"/>
  <c r="C281" i="5"/>
  <c r="E280" i="5"/>
  <c r="D280" i="5"/>
  <c r="N280" i="5" s="1"/>
  <c r="C280" i="5"/>
  <c r="E279" i="5"/>
  <c r="D279" i="5"/>
  <c r="N279" i="5" s="1"/>
  <c r="C279" i="5"/>
  <c r="E278" i="5"/>
  <c r="D278" i="5"/>
  <c r="C278" i="5"/>
  <c r="E277" i="5"/>
  <c r="D277" i="5"/>
  <c r="N277" i="5" s="1"/>
  <c r="C277" i="5"/>
  <c r="N276" i="5"/>
  <c r="E276" i="5"/>
  <c r="D276" i="5"/>
  <c r="C276" i="5"/>
  <c r="E275" i="5"/>
  <c r="D275" i="5"/>
  <c r="C275" i="5"/>
  <c r="N274" i="5"/>
  <c r="E274" i="5"/>
  <c r="D274" i="5"/>
  <c r="C274" i="5"/>
  <c r="E273" i="5"/>
  <c r="D273" i="5"/>
  <c r="N273" i="5" s="1"/>
  <c r="C273" i="5"/>
  <c r="E272" i="5"/>
  <c r="D272" i="5"/>
  <c r="C272" i="5"/>
  <c r="N271" i="5"/>
  <c r="E271" i="5"/>
  <c r="D271" i="5"/>
  <c r="C271" i="5"/>
  <c r="E270" i="5"/>
  <c r="D270" i="5"/>
  <c r="N270" i="5" s="1"/>
  <c r="C270" i="5"/>
  <c r="E269" i="5"/>
  <c r="D269" i="5"/>
  <c r="C269" i="5"/>
  <c r="N268" i="5"/>
  <c r="E268" i="5"/>
  <c r="D268" i="5"/>
  <c r="C268" i="5"/>
  <c r="E267" i="5"/>
  <c r="D267" i="5"/>
  <c r="N267" i="5" s="1"/>
  <c r="C267" i="5"/>
  <c r="E266" i="5"/>
  <c r="D266" i="5"/>
  <c r="C266" i="5"/>
  <c r="E265" i="5"/>
  <c r="D265" i="5"/>
  <c r="N265" i="5" s="1"/>
  <c r="C265" i="5"/>
  <c r="E264" i="5"/>
  <c r="D264" i="5"/>
  <c r="N264" i="5" s="1"/>
  <c r="C264" i="5"/>
  <c r="E263" i="5"/>
  <c r="D263" i="5"/>
  <c r="C263" i="5"/>
  <c r="E262" i="5"/>
  <c r="D262" i="5"/>
  <c r="N262" i="5" s="1"/>
  <c r="C262" i="5"/>
  <c r="E261" i="5"/>
  <c r="D261" i="5"/>
  <c r="N261" i="5" s="1"/>
  <c r="C261" i="5"/>
  <c r="E260" i="5"/>
  <c r="D260" i="5"/>
  <c r="C260" i="5"/>
  <c r="E259" i="5"/>
  <c r="D259" i="5"/>
  <c r="N259" i="5" s="1"/>
  <c r="C259" i="5"/>
  <c r="E258" i="5"/>
  <c r="D258" i="5"/>
  <c r="N258" i="5" s="1"/>
  <c r="C258" i="5"/>
  <c r="E257" i="5"/>
  <c r="D257" i="5"/>
  <c r="C257" i="5"/>
  <c r="E256" i="5"/>
  <c r="D256" i="5"/>
  <c r="N256" i="5" s="1"/>
  <c r="C256" i="5"/>
  <c r="N255" i="5"/>
  <c r="E255" i="5"/>
  <c r="D255" i="5"/>
  <c r="C255" i="5"/>
  <c r="E254" i="5"/>
  <c r="D254" i="5"/>
  <c r="C254" i="5"/>
  <c r="E253" i="5"/>
  <c r="D253" i="5"/>
  <c r="N253" i="5" s="1"/>
  <c r="C253" i="5"/>
  <c r="N252" i="5"/>
  <c r="E252" i="5"/>
  <c r="D252" i="5"/>
  <c r="C252" i="5"/>
  <c r="E251" i="5"/>
  <c r="D251" i="5"/>
  <c r="C251" i="5"/>
  <c r="N250" i="5"/>
  <c r="E250" i="5"/>
  <c r="D250" i="5"/>
  <c r="C250" i="5"/>
  <c r="N249" i="5"/>
  <c r="E249" i="5"/>
  <c r="D249" i="5"/>
  <c r="C249" i="5"/>
  <c r="E248" i="5"/>
  <c r="D248" i="5"/>
  <c r="C248" i="5"/>
  <c r="N247" i="5"/>
  <c r="E247" i="5"/>
  <c r="D247" i="5"/>
  <c r="C247" i="5"/>
  <c r="E246" i="5"/>
  <c r="D246" i="5"/>
  <c r="N246" i="5" s="1"/>
  <c r="C246" i="5"/>
  <c r="E245" i="5"/>
  <c r="D245" i="5"/>
  <c r="C245" i="5"/>
  <c r="N244" i="5"/>
  <c r="E244" i="5"/>
  <c r="D244" i="5"/>
  <c r="C244" i="5"/>
  <c r="E243" i="5"/>
  <c r="D243" i="5"/>
  <c r="N243" i="5" s="1"/>
  <c r="C243" i="5"/>
  <c r="E242" i="5"/>
  <c r="D242" i="5"/>
  <c r="C242" i="5"/>
  <c r="N241" i="5"/>
  <c r="F241" i="5"/>
  <c r="E241" i="5"/>
  <c r="D241" i="5"/>
  <c r="C241" i="5"/>
  <c r="E240" i="5"/>
  <c r="D240" i="5"/>
  <c r="N240" i="5" s="1"/>
  <c r="C240" i="5"/>
  <c r="E239" i="5"/>
  <c r="D239" i="5"/>
  <c r="C239" i="5"/>
  <c r="E238" i="5"/>
  <c r="D238" i="5"/>
  <c r="N238" i="5" s="1"/>
  <c r="C238" i="5"/>
  <c r="E237" i="5"/>
  <c r="D237" i="5"/>
  <c r="N237" i="5" s="1"/>
  <c r="C237" i="5"/>
  <c r="E236" i="5"/>
  <c r="D236" i="5"/>
  <c r="C236" i="5"/>
  <c r="E235" i="5"/>
  <c r="D235" i="5"/>
  <c r="N235" i="5" s="1"/>
  <c r="C235" i="5"/>
  <c r="E234" i="5"/>
  <c r="D234" i="5"/>
  <c r="N234" i="5" s="1"/>
  <c r="C234" i="5"/>
  <c r="E233" i="5"/>
  <c r="D233" i="5"/>
  <c r="N233" i="5" s="1"/>
  <c r="C233" i="5"/>
  <c r="E232" i="5"/>
  <c r="D232" i="5"/>
  <c r="N232" i="5" s="1"/>
  <c r="C232" i="5"/>
  <c r="N231" i="5"/>
  <c r="E231" i="5"/>
  <c r="D231" i="5"/>
  <c r="C231" i="5"/>
  <c r="E230" i="5"/>
  <c r="D230" i="5"/>
  <c r="N230" i="5" s="1"/>
  <c r="C230" i="5"/>
  <c r="E229" i="5"/>
  <c r="D229" i="5"/>
  <c r="C229" i="5"/>
  <c r="N228" i="5"/>
  <c r="E228" i="5"/>
  <c r="D228" i="5"/>
  <c r="C228" i="5"/>
  <c r="E227" i="5"/>
  <c r="D227" i="5"/>
  <c r="C227" i="5"/>
  <c r="E226" i="5"/>
  <c r="D226" i="5"/>
  <c r="C226" i="5"/>
  <c r="N225" i="5"/>
  <c r="E225" i="5"/>
  <c r="D225" i="5"/>
  <c r="C225" i="5"/>
  <c r="E224" i="5"/>
  <c r="D224" i="5"/>
  <c r="C224" i="5"/>
  <c r="E223" i="5"/>
  <c r="D223" i="5"/>
  <c r="C223" i="5"/>
  <c r="N222" i="5"/>
  <c r="E222" i="5"/>
  <c r="D222" i="5"/>
  <c r="C222" i="5"/>
  <c r="E221" i="5"/>
  <c r="D221" i="5"/>
  <c r="C221" i="5"/>
  <c r="N220" i="5"/>
  <c r="E220" i="5"/>
  <c r="D220" i="5"/>
  <c r="C220" i="5"/>
  <c r="E219" i="5"/>
  <c r="D219" i="5"/>
  <c r="N219" i="5" s="1"/>
  <c r="C219" i="5"/>
  <c r="E218" i="5"/>
  <c r="D218" i="5"/>
  <c r="N218" i="5" s="1"/>
  <c r="C218" i="5"/>
  <c r="E217" i="5"/>
  <c r="D217" i="5"/>
  <c r="C217" i="5"/>
  <c r="E216" i="5"/>
  <c r="D216" i="5"/>
  <c r="N216" i="5" s="1"/>
  <c r="C216" i="5"/>
  <c r="E215" i="5"/>
  <c r="D215" i="5"/>
  <c r="N215" i="5" s="1"/>
  <c r="C215" i="5"/>
  <c r="E214" i="5"/>
  <c r="D214" i="5"/>
  <c r="N214" i="5" s="1"/>
  <c r="C214" i="5"/>
  <c r="E213" i="5"/>
  <c r="D213" i="5"/>
  <c r="N213" i="5" s="1"/>
  <c r="C213" i="5"/>
  <c r="N212" i="5"/>
  <c r="E212" i="5"/>
  <c r="D212" i="5"/>
  <c r="C212" i="5"/>
  <c r="E211" i="5"/>
  <c r="D211" i="5"/>
  <c r="C211" i="5"/>
  <c r="E210" i="5"/>
  <c r="D210" i="5"/>
  <c r="N210" i="5" s="1"/>
  <c r="C210" i="5"/>
  <c r="E209" i="5"/>
  <c r="D209" i="5"/>
  <c r="N209" i="5" s="1"/>
  <c r="C209" i="5"/>
  <c r="E208" i="5"/>
  <c r="D208" i="5"/>
  <c r="N208" i="5" s="1"/>
  <c r="C208" i="5"/>
  <c r="N207" i="5"/>
  <c r="E207" i="5"/>
  <c r="D207" i="5"/>
  <c r="C207" i="5"/>
  <c r="E206" i="5"/>
  <c r="D206" i="5"/>
  <c r="N206" i="5" s="1"/>
  <c r="C206" i="5"/>
  <c r="E205" i="5"/>
  <c r="D205" i="5"/>
  <c r="C205" i="5"/>
  <c r="N204" i="5"/>
  <c r="E204" i="5"/>
  <c r="D204" i="5"/>
  <c r="C204" i="5"/>
  <c r="E203" i="5"/>
  <c r="D203" i="5"/>
  <c r="N203" i="5" s="1"/>
  <c r="C203" i="5"/>
  <c r="N202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N198" i="5" s="1"/>
  <c r="C198" i="5"/>
  <c r="E197" i="5"/>
  <c r="D197" i="5"/>
  <c r="N197" i="5" s="1"/>
  <c r="C197" i="5"/>
  <c r="E196" i="5"/>
  <c r="D196" i="5"/>
  <c r="N196" i="5" s="1"/>
  <c r="C196" i="5"/>
  <c r="E195" i="5"/>
  <c r="D195" i="5"/>
  <c r="C195" i="5"/>
  <c r="E194" i="5"/>
  <c r="D194" i="5"/>
  <c r="N194" i="5" s="1"/>
  <c r="C194" i="5"/>
  <c r="E193" i="5"/>
  <c r="D193" i="5"/>
  <c r="C193" i="5"/>
  <c r="E192" i="5"/>
  <c r="D192" i="5"/>
  <c r="N192" i="5" s="1"/>
  <c r="C192" i="5"/>
  <c r="E191" i="5"/>
  <c r="D191" i="5"/>
  <c r="N191" i="5" s="1"/>
  <c r="C191" i="5"/>
  <c r="N190" i="5"/>
  <c r="E190" i="5"/>
  <c r="D190" i="5"/>
  <c r="C190" i="5"/>
  <c r="N189" i="5"/>
  <c r="E189" i="5"/>
  <c r="D189" i="5"/>
  <c r="C189" i="5"/>
  <c r="E188" i="5"/>
  <c r="D188" i="5"/>
  <c r="N188" i="5" s="1"/>
  <c r="C188" i="5"/>
  <c r="E187" i="5"/>
  <c r="D187" i="5"/>
  <c r="C187" i="5"/>
  <c r="E186" i="5"/>
  <c r="D186" i="5"/>
  <c r="N186" i="5" s="1"/>
  <c r="C186" i="5"/>
  <c r="E185" i="5"/>
  <c r="D185" i="5"/>
  <c r="N185" i="5" s="1"/>
  <c r="C185" i="5"/>
  <c r="N184" i="5"/>
  <c r="E184" i="5"/>
  <c r="D184" i="5"/>
  <c r="C184" i="5"/>
  <c r="E183" i="5"/>
  <c r="D183" i="5"/>
  <c r="N183" i="5" s="1"/>
  <c r="C183" i="5"/>
  <c r="E182" i="5"/>
  <c r="D182" i="5"/>
  <c r="N182" i="5" s="1"/>
  <c r="C182" i="5"/>
  <c r="E181" i="5"/>
  <c r="D181" i="5"/>
  <c r="C181" i="5"/>
  <c r="E180" i="5"/>
  <c r="D180" i="5"/>
  <c r="C180" i="5"/>
  <c r="E179" i="5"/>
  <c r="D179" i="5"/>
  <c r="N179" i="5" s="1"/>
  <c r="C179" i="5"/>
  <c r="E178" i="5"/>
  <c r="D178" i="5"/>
  <c r="N178" i="5" s="1"/>
  <c r="C178" i="5"/>
  <c r="E177" i="5"/>
  <c r="D177" i="5"/>
  <c r="N177" i="5" s="1"/>
  <c r="C177" i="5"/>
  <c r="N176" i="5"/>
  <c r="E176" i="5"/>
  <c r="D176" i="5"/>
  <c r="C176" i="5"/>
  <c r="E175" i="5"/>
  <c r="D175" i="5"/>
  <c r="C175" i="5"/>
  <c r="E174" i="5"/>
  <c r="D174" i="5"/>
  <c r="N174" i="5" s="1"/>
  <c r="C174" i="5"/>
  <c r="E173" i="5"/>
  <c r="D173" i="5"/>
  <c r="N173" i="5" s="1"/>
  <c r="C173" i="5"/>
  <c r="E172" i="5"/>
  <c r="D172" i="5"/>
  <c r="N172" i="5" s="1"/>
  <c r="C172" i="5"/>
  <c r="E171" i="5"/>
  <c r="D171" i="5"/>
  <c r="N171" i="5" s="1"/>
  <c r="C171" i="5"/>
  <c r="N170" i="5"/>
  <c r="E170" i="5"/>
  <c r="D170" i="5"/>
  <c r="C170" i="5"/>
  <c r="E169" i="5"/>
  <c r="D169" i="5"/>
  <c r="C169" i="5"/>
  <c r="N168" i="5"/>
  <c r="E168" i="5"/>
  <c r="D168" i="5"/>
  <c r="C168" i="5"/>
  <c r="E167" i="5"/>
  <c r="D167" i="5"/>
  <c r="F217" i="5" s="1"/>
  <c r="M217" i="5" s="1"/>
  <c r="C167" i="5"/>
  <c r="E166" i="5"/>
  <c r="D166" i="5"/>
  <c r="N166" i="5" s="1"/>
  <c r="C166" i="5"/>
  <c r="N165" i="5"/>
  <c r="E165" i="5"/>
  <c r="D165" i="5"/>
  <c r="C165" i="5"/>
  <c r="E164" i="5"/>
  <c r="D164" i="5"/>
  <c r="N164" i="5" s="1"/>
  <c r="C164" i="5"/>
  <c r="E163" i="5"/>
  <c r="D163" i="5"/>
  <c r="C163" i="5"/>
  <c r="N162" i="5"/>
  <c r="E162" i="5"/>
  <c r="D162" i="5"/>
  <c r="C162" i="5"/>
  <c r="E161" i="5"/>
  <c r="D161" i="5"/>
  <c r="N161" i="5" s="1"/>
  <c r="C161" i="5"/>
  <c r="E160" i="5"/>
  <c r="D160" i="5"/>
  <c r="N160" i="5" s="1"/>
  <c r="C160" i="5"/>
  <c r="N159" i="5"/>
  <c r="E159" i="5"/>
  <c r="D159" i="5"/>
  <c r="C159" i="5"/>
  <c r="E158" i="5"/>
  <c r="D158" i="5"/>
  <c r="N158" i="5" s="1"/>
  <c r="C158" i="5"/>
  <c r="E157" i="5"/>
  <c r="D157" i="5"/>
  <c r="C157" i="5"/>
  <c r="N156" i="5"/>
  <c r="E156" i="5"/>
  <c r="D156" i="5"/>
  <c r="C156" i="5"/>
  <c r="E155" i="5"/>
  <c r="D155" i="5"/>
  <c r="N155" i="5" s="1"/>
  <c r="C155" i="5"/>
  <c r="E154" i="5"/>
  <c r="D154" i="5"/>
  <c r="N154" i="5" s="1"/>
  <c r="C154" i="5"/>
  <c r="N153" i="5"/>
  <c r="E153" i="5"/>
  <c r="D153" i="5"/>
  <c r="C153" i="5"/>
  <c r="E152" i="5"/>
  <c r="D152" i="5"/>
  <c r="N152" i="5" s="1"/>
  <c r="C152" i="5"/>
  <c r="E151" i="5"/>
  <c r="D151" i="5"/>
  <c r="C151" i="5"/>
  <c r="N150" i="5"/>
  <c r="E150" i="5"/>
  <c r="D150" i="5"/>
  <c r="C150" i="5"/>
  <c r="E149" i="5"/>
  <c r="D149" i="5"/>
  <c r="N149" i="5" s="1"/>
  <c r="C149" i="5"/>
  <c r="E148" i="5"/>
  <c r="D148" i="5"/>
  <c r="N148" i="5" s="1"/>
  <c r="C148" i="5"/>
  <c r="N147" i="5"/>
  <c r="E147" i="5"/>
  <c r="D147" i="5"/>
  <c r="C147" i="5"/>
  <c r="E146" i="5"/>
  <c r="D146" i="5"/>
  <c r="N146" i="5" s="1"/>
  <c r="C146" i="5"/>
  <c r="E145" i="5"/>
  <c r="D145" i="5"/>
  <c r="C145" i="5"/>
  <c r="N144" i="5"/>
  <c r="E144" i="5"/>
  <c r="D144" i="5"/>
  <c r="C144" i="5"/>
  <c r="E143" i="5"/>
  <c r="D143" i="5"/>
  <c r="N143" i="5" s="1"/>
  <c r="C143" i="5"/>
  <c r="N142" i="5"/>
  <c r="E142" i="5"/>
  <c r="D142" i="5"/>
  <c r="C142" i="5"/>
  <c r="N141" i="5"/>
  <c r="E141" i="5"/>
  <c r="D141" i="5"/>
  <c r="C141" i="5"/>
  <c r="E140" i="5"/>
  <c r="D140" i="5"/>
  <c r="N140" i="5" s="1"/>
  <c r="C140" i="5"/>
  <c r="E139" i="5"/>
  <c r="D139" i="5"/>
  <c r="C139" i="5"/>
  <c r="N138" i="5"/>
  <c r="E138" i="5"/>
  <c r="D138" i="5"/>
  <c r="C138" i="5"/>
  <c r="E137" i="5"/>
  <c r="D137" i="5"/>
  <c r="N137" i="5" s="1"/>
  <c r="C137" i="5"/>
  <c r="N136" i="5"/>
  <c r="E136" i="5"/>
  <c r="D136" i="5"/>
  <c r="C136" i="5"/>
  <c r="N135" i="5"/>
  <c r="E135" i="5"/>
  <c r="D135" i="5"/>
  <c r="C135" i="5"/>
  <c r="E134" i="5"/>
  <c r="D134" i="5"/>
  <c r="N134" i="5" s="1"/>
  <c r="C134" i="5"/>
  <c r="E133" i="5"/>
  <c r="D133" i="5"/>
  <c r="C133" i="5"/>
  <c r="N132" i="5"/>
  <c r="E132" i="5"/>
  <c r="D132" i="5"/>
  <c r="C132" i="5"/>
  <c r="E131" i="5"/>
  <c r="D131" i="5"/>
  <c r="N131" i="5" s="1"/>
  <c r="C131" i="5"/>
  <c r="N130" i="5"/>
  <c r="E130" i="5"/>
  <c r="D130" i="5"/>
  <c r="C130" i="5"/>
  <c r="N129" i="5"/>
  <c r="E129" i="5"/>
  <c r="D129" i="5"/>
  <c r="C129" i="5"/>
  <c r="E128" i="5"/>
  <c r="D128" i="5"/>
  <c r="N128" i="5" s="1"/>
  <c r="C128" i="5"/>
  <c r="E127" i="5"/>
  <c r="D127" i="5"/>
  <c r="C127" i="5"/>
  <c r="N126" i="5"/>
  <c r="E126" i="5"/>
  <c r="D126" i="5"/>
  <c r="C126" i="5"/>
  <c r="E125" i="5"/>
  <c r="D125" i="5"/>
  <c r="N125" i="5" s="1"/>
  <c r="C125" i="5"/>
  <c r="E124" i="5"/>
  <c r="D124" i="5"/>
  <c r="N124" i="5" s="1"/>
  <c r="C124" i="5"/>
  <c r="N123" i="5"/>
  <c r="E123" i="5"/>
  <c r="D123" i="5"/>
  <c r="C123" i="5"/>
  <c r="E122" i="5"/>
  <c r="D122" i="5"/>
  <c r="N122" i="5" s="1"/>
  <c r="C122" i="5"/>
  <c r="E121" i="5"/>
  <c r="D121" i="5"/>
  <c r="C121" i="5"/>
  <c r="N120" i="5"/>
  <c r="E120" i="5"/>
  <c r="D120" i="5"/>
  <c r="C120" i="5"/>
  <c r="E119" i="5"/>
  <c r="D119" i="5"/>
  <c r="N119" i="5" s="1"/>
  <c r="C119" i="5"/>
  <c r="E118" i="5"/>
  <c r="D118" i="5"/>
  <c r="N118" i="5" s="1"/>
  <c r="C118" i="5"/>
  <c r="E117" i="5"/>
  <c r="D117" i="5"/>
  <c r="N117" i="5" s="1"/>
  <c r="C117" i="5"/>
  <c r="E116" i="5"/>
  <c r="D116" i="5"/>
  <c r="N116" i="5" s="1"/>
  <c r="C116" i="5"/>
  <c r="E115" i="5"/>
  <c r="D115" i="5"/>
  <c r="C115" i="5"/>
  <c r="H114" i="5"/>
  <c r="I114" i="5" s="1"/>
  <c r="E114" i="5"/>
  <c r="D114" i="5"/>
  <c r="N114" i="5" s="1"/>
  <c r="C114" i="5"/>
  <c r="E113" i="5"/>
  <c r="D113" i="5"/>
  <c r="C113" i="5"/>
  <c r="N112" i="5"/>
  <c r="E112" i="5"/>
  <c r="D112" i="5"/>
  <c r="C112" i="5"/>
  <c r="E111" i="5"/>
  <c r="D111" i="5"/>
  <c r="N111" i="5" s="1"/>
  <c r="C111" i="5"/>
  <c r="E110" i="5"/>
  <c r="D110" i="5"/>
  <c r="N110" i="5" s="1"/>
  <c r="C110" i="5"/>
  <c r="E109" i="5"/>
  <c r="D109" i="5"/>
  <c r="C109" i="5"/>
  <c r="E108" i="5"/>
  <c r="D108" i="5"/>
  <c r="C108" i="5"/>
  <c r="E107" i="5"/>
  <c r="D107" i="5"/>
  <c r="N107" i="5" s="1"/>
  <c r="C107" i="5"/>
  <c r="E106" i="5"/>
  <c r="D106" i="5"/>
  <c r="N106" i="5" s="1"/>
  <c r="C106" i="5"/>
  <c r="E105" i="5"/>
  <c r="D105" i="5"/>
  <c r="N105" i="5" s="1"/>
  <c r="C105" i="5"/>
  <c r="E104" i="5"/>
  <c r="D104" i="5"/>
  <c r="N104" i="5" s="1"/>
  <c r="C104" i="5"/>
  <c r="E103" i="5"/>
  <c r="D103" i="5"/>
  <c r="C103" i="5"/>
  <c r="N102" i="5"/>
  <c r="E102" i="5"/>
  <c r="D102" i="5"/>
  <c r="C102" i="5"/>
  <c r="E101" i="5"/>
  <c r="D101" i="5"/>
  <c r="N101" i="5" s="1"/>
  <c r="C101" i="5"/>
  <c r="E100" i="5"/>
  <c r="D100" i="5"/>
  <c r="N100" i="5" s="1"/>
  <c r="C100" i="5"/>
  <c r="E99" i="5"/>
  <c r="D99" i="5"/>
  <c r="N99" i="5" s="1"/>
  <c r="C99" i="5"/>
  <c r="E98" i="5"/>
  <c r="D98" i="5"/>
  <c r="N98" i="5" s="1"/>
  <c r="C98" i="5"/>
  <c r="E97" i="5"/>
  <c r="D97" i="5"/>
  <c r="C97" i="5"/>
  <c r="N96" i="5"/>
  <c r="E96" i="5"/>
  <c r="D96" i="5"/>
  <c r="C96" i="5"/>
  <c r="E95" i="5"/>
  <c r="D95" i="5"/>
  <c r="N95" i="5" s="1"/>
  <c r="C95" i="5"/>
  <c r="N94" i="5"/>
  <c r="E94" i="5"/>
  <c r="D94" i="5"/>
  <c r="C94" i="5"/>
  <c r="E93" i="5"/>
  <c r="D93" i="5"/>
  <c r="N93" i="5" s="1"/>
  <c r="C93" i="5"/>
  <c r="E92" i="5"/>
  <c r="D92" i="5"/>
  <c r="N92" i="5" s="1"/>
  <c r="C92" i="5"/>
  <c r="E91" i="5"/>
  <c r="D91" i="5"/>
  <c r="C91" i="5"/>
  <c r="E90" i="5"/>
  <c r="D90" i="5"/>
  <c r="C90" i="5"/>
  <c r="E89" i="5"/>
  <c r="D89" i="5"/>
  <c r="N89" i="5" s="1"/>
  <c r="C89" i="5"/>
  <c r="E88" i="5"/>
  <c r="D88" i="5"/>
  <c r="N88" i="5" s="1"/>
  <c r="C88" i="5"/>
  <c r="E87" i="5"/>
  <c r="D87" i="5"/>
  <c r="N87" i="5" s="1"/>
  <c r="C87" i="5"/>
  <c r="E86" i="5"/>
  <c r="D86" i="5"/>
  <c r="N86" i="5" s="1"/>
  <c r="C86" i="5"/>
  <c r="E85" i="5"/>
  <c r="D85" i="5"/>
  <c r="C85" i="5"/>
  <c r="N84" i="5"/>
  <c r="E84" i="5"/>
  <c r="D84" i="5"/>
  <c r="C84" i="5"/>
  <c r="E83" i="5"/>
  <c r="D83" i="5"/>
  <c r="N83" i="5" s="1"/>
  <c r="C83" i="5"/>
  <c r="E82" i="5"/>
  <c r="D82" i="5"/>
  <c r="N82" i="5" s="1"/>
  <c r="C82" i="5"/>
  <c r="E81" i="5"/>
  <c r="D81" i="5"/>
  <c r="N81" i="5" s="1"/>
  <c r="C81" i="5"/>
  <c r="E80" i="5"/>
  <c r="D80" i="5"/>
  <c r="N80" i="5" s="1"/>
  <c r="C80" i="5"/>
  <c r="E79" i="5"/>
  <c r="D79" i="5"/>
  <c r="C79" i="5"/>
  <c r="E78" i="5"/>
  <c r="D78" i="5"/>
  <c r="N78" i="5" s="1"/>
  <c r="C78" i="5"/>
  <c r="E77" i="5"/>
  <c r="D77" i="5"/>
  <c r="N77" i="5" s="1"/>
  <c r="C77" i="5"/>
  <c r="N76" i="5"/>
  <c r="E76" i="5"/>
  <c r="D76" i="5"/>
  <c r="C76" i="5"/>
  <c r="E75" i="5"/>
  <c r="D75" i="5"/>
  <c r="N75" i="5" s="1"/>
  <c r="C75" i="5"/>
  <c r="E74" i="5"/>
  <c r="D74" i="5"/>
  <c r="N74" i="5" s="1"/>
  <c r="C74" i="5"/>
  <c r="E73" i="5"/>
  <c r="D73" i="5"/>
  <c r="H73" i="5" s="1"/>
  <c r="I73" i="5" s="1"/>
  <c r="C73" i="5"/>
  <c r="E72" i="5"/>
  <c r="D72" i="5"/>
  <c r="N72" i="5" s="1"/>
  <c r="C72" i="5"/>
  <c r="E71" i="5"/>
  <c r="D71" i="5"/>
  <c r="N71" i="5" s="1"/>
  <c r="C71" i="5"/>
  <c r="E70" i="5"/>
  <c r="D70" i="5"/>
  <c r="N70" i="5" s="1"/>
  <c r="C70" i="5"/>
  <c r="E69" i="5"/>
  <c r="D69" i="5"/>
  <c r="N69" i="5" s="1"/>
  <c r="C69" i="5"/>
  <c r="E68" i="5"/>
  <c r="D68" i="5"/>
  <c r="N68" i="5" s="1"/>
  <c r="C68" i="5"/>
  <c r="E67" i="5"/>
  <c r="D67" i="5"/>
  <c r="H67" i="5" s="1"/>
  <c r="I67" i="5" s="1"/>
  <c r="C67" i="5"/>
  <c r="E66" i="5"/>
  <c r="D66" i="5"/>
  <c r="C66" i="5"/>
  <c r="E65" i="5"/>
  <c r="D65" i="5"/>
  <c r="N65" i="5" s="1"/>
  <c r="C65" i="5"/>
  <c r="E64" i="5"/>
  <c r="D64" i="5"/>
  <c r="N64" i="5" s="1"/>
  <c r="C64" i="5"/>
  <c r="E63" i="5"/>
  <c r="D63" i="5"/>
  <c r="N63" i="5" s="1"/>
  <c r="C63" i="5"/>
  <c r="E62" i="5"/>
  <c r="D62" i="5"/>
  <c r="N62" i="5" s="1"/>
  <c r="C62" i="5"/>
  <c r="E61" i="5"/>
  <c r="D61" i="5"/>
  <c r="C61" i="5"/>
  <c r="N60" i="5"/>
  <c r="E60" i="5"/>
  <c r="D60" i="5"/>
  <c r="C60" i="5"/>
  <c r="E59" i="5"/>
  <c r="D59" i="5"/>
  <c r="C59" i="5"/>
  <c r="N58" i="5"/>
  <c r="E58" i="5"/>
  <c r="D58" i="5"/>
  <c r="C58" i="5"/>
  <c r="E57" i="5"/>
  <c r="D57" i="5"/>
  <c r="N57" i="5" s="1"/>
  <c r="C57" i="5"/>
  <c r="E56" i="5"/>
  <c r="D56" i="5"/>
  <c r="N56" i="5" s="1"/>
  <c r="C56" i="5"/>
  <c r="E55" i="5"/>
  <c r="D55" i="5"/>
  <c r="C55" i="5"/>
  <c r="E54" i="5"/>
  <c r="D54" i="5"/>
  <c r="N54" i="5" s="1"/>
  <c r="C54" i="5"/>
  <c r="E53" i="5"/>
  <c r="D53" i="5"/>
  <c r="N53" i="5" s="1"/>
  <c r="C53" i="5"/>
  <c r="E52" i="5"/>
  <c r="D52" i="5"/>
  <c r="N52" i="5" s="1"/>
  <c r="C52" i="5"/>
  <c r="E51" i="5"/>
  <c r="D51" i="5"/>
  <c r="N51" i="5" s="1"/>
  <c r="C51" i="5"/>
  <c r="E50" i="5"/>
  <c r="D50" i="5"/>
  <c r="N50" i="5" s="1"/>
  <c r="C50" i="5"/>
  <c r="E49" i="5"/>
  <c r="D49" i="5"/>
  <c r="C49" i="5"/>
  <c r="E48" i="5"/>
  <c r="D48" i="5"/>
  <c r="C48" i="5"/>
  <c r="E47" i="5"/>
  <c r="D47" i="5"/>
  <c r="N47" i="5" s="1"/>
  <c r="C47" i="5"/>
  <c r="N46" i="5"/>
  <c r="E46" i="5"/>
  <c r="D46" i="5"/>
  <c r="C46" i="5"/>
  <c r="E45" i="5"/>
  <c r="D45" i="5"/>
  <c r="N45" i="5" s="1"/>
  <c r="C45" i="5"/>
  <c r="E44" i="5"/>
  <c r="D44" i="5"/>
  <c r="N44" i="5" s="1"/>
  <c r="C44" i="5"/>
  <c r="E43" i="5"/>
  <c r="D43" i="5"/>
  <c r="C43" i="5"/>
  <c r="N42" i="5"/>
  <c r="E42" i="5"/>
  <c r="D42" i="5"/>
  <c r="C42" i="5"/>
  <c r="E41" i="5"/>
  <c r="D41" i="5"/>
  <c r="N41" i="5" s="1"/>
  <c r="C41" i="5"/>
  <c r="E40" i="5"/>
  <c r="D40" i="5"/>
  <c r="N40" i="5" s="1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N35" i="5" s="1"/>
  <c r="C35" i="5"/>
  <c r="N34" i="5"/>
  <c r="E34" i="5"/>
  <c r="D34" i="5"/>
  <c r="C34" i="5"/>
  <c r="E33" i="5"/>
  <c r="D33" i="5"/>
  <c r="C33" i="5"/>
  <c r="N32" i="5"/>
  <c r="E32" i="5"/>
  <c r="D32" i="5"/>
  <c r="C32" i="5"/>
  <c r="E31" i="5"/>
  <c r="D31" i="5"/>
  <c r="C31" i="5"/>
  <c r="E30" i="5"/>
  <c r="D30" i="5"/>
  <c r="C30" i="5"/>
  <c r="N29" i="5"/>
  <c r="E29" i="5"/>
  <c r="D29" i="5"/>
  <c r="C29" i="5"/>
  <c r="E28" i="5"/>
  <c r="D28" i="5"/>
  <c r="N28" i="5" s="1"/>
  <c r="C28" i="5"/>
  <c r="E27" i="5"/>
  <c r="D27" i="5"/>
  <c r="C27" i="5"/>
  <c r="E26" i="5"/>
  <c r="D26" i="5"/>
  <c r="N26" i="5" s="1"/>
  <c r="C26" i="5"/>
  <c r="E25" i="5"/>
  <c r="D25" i="5"/>
  <c r="C25" i="5"/>
  <c r="E24" i="5"/>
  <c r="D24" i="5"/>
  <c r="C24" i="5"/>
  <c r="N23" i="5"/>
  <c r="E23" i="5"/>
  <c r="D23" i="5"/>
  <c r="C23" i="5"/>
  <c r="N22" i="5"/>
  <c r="E22" i="5"/>
  <c r="D22" i="5"/>
  <c r="C22" i="5"/>
  <c r="E21" i="5"/>
  <c r="D21" i="5"/>
  <c r="C21" i="5"/>
  <c r="N20" i="5"/>
  <c r="E20" i="5"/>
  <c r="D20" i="5"/>
  <c r="C20" i="5"/>
  <c r="E19" i="5"/>
  <c r="D19" i="5"/>
  <c r="C19" i="5"/>
  <c r="E18" i="5"/>
  <c r="D18" i="5"/>
  <c r="N18" i="5" s="1"/>
  <c r="C18" i="5"/>
  <c r="E17" i="5"/>
  <c r="D17" i="5"/>
  <c r="N17" i="5" s="1"/>
  <c r="C17" i="5"/>
  <c r="E16" i="5"/>
  <c r="D16" i="5"/>
  <c r="N16" i="5" s="1"/>
  <c r="C16" i="5"/>
  <c r="E15" i="5"/>
  <c r="D15" i="5"/>
  <c r="C15" i="5"/>
  <c r="N14" i="5"/>
  <c r="E14" i="5"/>
  <c r="D14" i="5"/>
  <c r="C14" i="5"/>
  <c r="E13" i="5"/>
  <c r="D13" i="5"/>
  <c r="C13" i="5"/>
  <c r="E12" i="5"/>
  <c r="D12" i="5"/>
  <c r="N12" i="5" s="1"/>
  <c r="C12" i="5"/>
  <c r="E11" i="5"/>
  <c r="D11" i="5"/>
  <c r="N11" i="5" s="1"/>
  <c r="C11" i="5"/>
  <c r="N10" i="5"/>
  <c r="E10" i="5"/>
  <c r="D10" i="5"/>
  <c r="C10" i="5"/>
  <c r="E9" i="5"/>
  <c r="D9" i="5"/>
  <c r="C9" i="5"/>
  <c r="E8" i="5"/>
  <c r="D8" i="5"/>
  <c r="N8" i="5" s="1"/>
  <c r="C8" i="5"/>
  <c r="E7" i="5"/>
  <c r="D7" i="5"/>
  <c r="G36" i="5" s="1"/>
  <c r="O36" i="5" s="1"/>
  <c r="C7" i="5"/>
  <c r="E6" i="5"/>
  <c r="D6" i="5"/>
  <c r="C6" i="5"/>
  <c r="N5" i="5"/>
  <c r="E5" i="5"/>
  <c r="D5" i="5"/>
  <c r="C5" i="5"/>
  <c r="J449" i="4"/>
  <c r="I449" i="4"/>
  <c r="H449" i="4"/>
  <c r="F449" i="4"/>
  <c r="E449" i="4"/>
  <c r="G449" i="4" s="1"/>
  <c r="C211" i="8" s="1"/>
  <c r="E211" i="8" s="1"/>
  <c r="D449" i="4"/>
  <c r="C449" i="4"/>
  <c r="J448" i="4"/>
  <c r="I448" i="4"/>
  <c r="H448" i="4"/>
  <c r="F448" i="4"/>
  <c r="E448" i="4"/>
  <c r="D448" i="4"/>
  <c r="C448" i="4"/>
  <c r="J447" i="4"/>
  <c r="I447" i="4"/>
  <c r="H447" i="4"/>
  <c r="F447" i="4"/>
  <c r="E447" i="4"/>
  <c r="D447" i="4"/>
  <c r="C447" i="4"/>
  <c r="J446" i="4"/>
  <c r="I446" i="4"/>
  <c r="H446" i="4"/>
  <c r="F446" i="4"/>
  <c r="E446" i="4"/>
  <c r="G446" i="4" s="1"/>
  <c r="C208" i="8" s="1"/>
  <c r="E208" i="8" s="1"/>
  <c r="D446" i="4"/>
  <c r="C446" i="4"/>
  <c r="J445" i="4"/>
  <c r="I445" i="4"/>
  <c r="H445" i="4"/>
  <c r="F445" i="4"/>
  <c r="E445" i="4"/>
  <c r="G445" i="4" s="1"/>
  <c r="C207" i="8" s="1"/>
  <c r="E207" i="8" s="1"/>
  <c r="D445" i="4"/>
  <c r="C445" i="4"/>
  <c r="J444" i="4"/>
  <c r="I444" i="4"/>
  <c r="H444" i="4"/>
  <c r="F444" i="4"/>
  <c r="E444" i="4"/>
  <c r="D444" i="4"/>
  <c r="C444" i="4"/>
  <c r="J443" i="4"/>
  <c r="I443" i="4"/>
  <c r="H443" i="4"/>
  <c r="F443" i="4"/>
  <c r="E443" i="4"/>
  <c r="D443" i="4"/>
  <c r="C443" i="4"/>
  <c r="J442" i="4"/>
  <c r="I442" i="4"/>
  <c r="H442" i="4"/>
  <c r="F442" i="4"/>
  <c r="E442" i="4"/>
  <c r="D442" i="4"/>
  <c r="C442" i="4"/>
  <c r="J441" i="4"/>
  <c r="I441" i="4"/>
  <c r="H441" i="4"/>
  <c r="F441" i="4"/>
  <c r="E441" i="4"/>
  <c r="G441" i="4" s="1"/>
  <c r="C204" i="8" s="1"/>
  <c r="E204" i="8" s="1"/>
  <c r="D441" i="4"/>
  <c r="C441" i="4"/>
  <c r="J440" i="4"/>
  <c r="I440" i="4"/>
  <c r="H440" i="4"/>
  <c r="F440" i="4"/>
  <c r="E440" i="4"/>
  <c r="D440" i="4"/>
  <c r="C440" i="4"/>
  <c r="J439" i="4"/>
  <c r="I439" i="4"/>
  <c r="H439" i="4"/>
  <c r="F439" i="4"/>
  <c r="E439" i="4"/>
  <c r="D439" i="4"/>
  <c r="C439" i="4"/>
  <c r="J438" i="4"/>
  <c r="I438" i="4"/>
  <c r="H438" i="4"/>
  <c r="F438" i="4"/>
  <c r="E438" i="4"/>
  <c r="G438" i="4" s="1"/>
  <c r="C201" i="8" s="1"/>
  <c r="E201" i="8" s="1"/>
  <c r="D438" i="4"/>
  <c r="C438" i="4"/>
  <c r="J437" i="4"/>
  <c r="I437" i="4"/>
  <c r="H437" i="4"/>
  <c r="F437" i="4"/>
  <c r="E437" i="4"/>
  <c r="G437" i="4" s="1"/>
  <c r="C200" i="8" s="1"/>
  <c r="E200" i="8" s="1"/>
  <c r="D437" i="4"/>
  <c r="C437" i="4"/>
  <c r="J436" i="4"/>
  <c r="I436" i="4"/>
  <c r="H436" i="4"/>
  <c r="F436" i="4"/>
  <c r="E436" i="4"/>
  <c r="D436" i="4"/>
  <c r="C436" i="4"/>
  <c r="J435" i="4"/>
  <c r="I435" i="4"/>
  <c r="H435" i="4"/>
  <c r="F435" i="4"/>
  <c r="E435" i="4"/>
  <c r="D435" i="4"/>
  <c r="C435" i="4"/>
  <c r="J434" i="4"/>
  <c r="I434" i="4"/>
  <c r="H434" i="4"/>
  <c r="F434" i="4"/>
  <c r="E434" i="4"/>
  <c r="G434" i="4" s="1"/>
  <c r="C197" i="8" s="1"/>
  <c r="E197" i="8" s="1"/>
  <c r="D434" i="4"/>
  <c r="C434" i="4"/>
  <c r="J433" i="4"/>
  <c r="I433" i="4"/>
  <c r="H433" i="4"/>
  <c r="F433" i="4"/>
  <c r="E433" i="4"/>
  <c r="G433" i="4" s="1"/>
  <c r="C196" i="8" s="1"/>
  <c r="E196" i="8" s="1"/>
  <c r="D433" i="4"/>
  <c r="C433" i="4"/>
  <c r="J432" i="4"/>
  <c r="I432" i="4"/>
  <c r="H432" i="4"/>
  <c r="F432" i="4"/>
  <c r="E432" i="4"/>
  <c r="D432" i="4"/>
  <c r="C432" i="4"/>
  <c r="J431" i="4"/>
  <c r="I431" i="4"/>
  <c r="H431" i="4"/>
  <c r="F431" i="4"/>
  <c r="E431" i="4"/>
  <c r="G431" i="4" s="1"/>
  <c r="C195" i="8" s="1"/>
  <c r="E195" i="8" s="1"/>
  <c r="D431" i="4"/>
  <c r="C431" i="4"/>
  <c r="J430" i="4"/>
  <c r="I430" i="4"/>
  <c r="H430" i="4"/>
  <c r="F430" i="4"/>
  <c r="E430" i="4"/>
  <c r="G430" i="4" s="1"/>
  <c r="C194" i="8" s="1"/>
  <c r="E194" i="8" s="1"/>
  <c r="D430" i="4"/>
  <c r="C430" i="4"/>
  <c r="J429" i="4"/>
  <c r="I429" i="4"/>
  <c r="H429" i="4"/>
  <c r="F429" i="4"/>
  <c r="E429" i="4"/>
  <c r="G429" i="4" s="1"/>
  <c r="C193" i="8" s="1"/>
  <c r="E193" i="8" s="1"/>
  <c r="D429" i="4"/>
  <c r="C429" i="4"/>
  <c r="J428" i="4"/>
  <c r="I428" i="4"/>
  <c r="H428" i="4"/>
  <c r="F428" i="4"/>
  <c r="E428" i="4"/>
  <c r="G428" i="4" s="1"/>
  <c r="C192" i="8" s="1"/>
  <c r="E192" i="8" s="1"/>
  <c r="D428" i="4"/>
  <c r="C428" i="4"/>
  <c r="J427" i="4"/>
  <c r="I427" i="4"/>
  <c r="H427" i="4"/>
  <c r="F427" i="4"/>
  <c r="E427" i="4"/>
  <c r="D427" i="4"/>
  <c r="C427" i="4"/>
  <c r="J426" i="4"/>
  <c r="I426" i="4"/>
  <c r="H426" i="4"/>
  <c r="F426" i="4"/>
  <c r="E426" i="4"/>
  <c r="G426" i="4" s="1"/>
  <c r="C190" i="8" s="1"/>
  <c r="E190" i="8" s="1"/>
  <c r="D426" i="4"/>
  <c r="C426" i="4"/>
  <c r="J425" i="4"/>
  <c r="I425" i="4"/>
  <c r="H425" i="4"/>
  <c r="F425" i="4"/>
  <c r="E425" i="4"/>
  <c r="G425" i="4" s="1"/>
  <c r="C189" i="8" s="1"/>
  <c r="E189" i="8" s="1"/>
  <c r="D425" i="4"/>
  <c r="C425" i="4"/>
  <c r="J424" i="4"/>
  <c r="I424" i="4"/>
  <c r="H424" i="4"/>
  <c r="F424" i="4"/>
  <c r="E424" i="4"/>
  <c r="D424" i="4"/>
  <c r="C424" i="4"/>
  <c r="J423" i="4"/>
  <c r="I423" i="4"/>
  <c r="H423" i="4"/>
  <c r="F423" i="4"/>
  <c r="E423" i="4"/>
  <c r="D423" i="4"/>
  <c r="C423" i="4"/>
  <c r="J422" i="4"/>
  <c r="I422" i="4"/>
  <c r="H422" i="4"/>
  <c r="F422" i="4"/>
  <c r="E422" i="4"/>
  <c r="D422" i="4"/>
  <c r="C422" i="4"/>
  <c r="J421" i="4"/>
  <c r="I421" i="4"/>
  <c r="H421" i="4"/>
  <c r="F421" i="4"/>
  <c r="E421" i="4"/>
  <c r="G421" i="4" s="1"/>
  <c r="C185" i="8" s="1"/>
  <c r="E185" i="8" s="1"/>
  <c r="F185" i="8" s="1"/>
  <c r="N184" i="8" s="1"/>
  <c r="D421" i="4"/>
  <c r="C421" i="4"/>
  <c r="J420" i="4"/>
  <c r="I420" i="4"/>
  <c r="H420" i="4"/>
  <c r="F420" i="4"/>
  <c r="E420" i="4"/>
  <c r="G420" i="4" s="1"/>
  <c r="C184" i="8" s="1"/>
  <c r="E184" i="8" s="1"/>
  <c r="D420" i="4"/>
  <c r="C420" i="4"/>
  <c r="J419" i="4"/>
  <c r="I419" i="4"/>
  <c r="H419" i="4"/>
  <c r="F419" i="4"/>
  <c r="E419" i="4"/>
  <c r="D419" i="4"/>
  <c r="C419" i="4"/>
  <c r="J418" i="4"/>
  <c r="I418" i="4"/>
  <c r="H418" i="4"/>
  <c r="F418" i="4"/>
  <c r="E418" i="4"/>
  <c r="G418" i="4" s="1"/>
  <c r="C182" i="8" s="1"/>
  <c r="E182" i="8" s="1"/>
  <c r="D418" i="4"/>
  <c r="C418" i="4"/>
  <c r="J417" i="4"/>
  <c r="I417" i="4"/>
  <c r="H417" i="4"/>
  <c r="F417" i="4"/>
  <c r="E417" i="4"/>
  <c r="G417" i="4" s="1"/>
  <c r="C181" i="8" s="1"/>
  <c r="E181" i="8" s="1"/>
  <c r="D417" i="4"/>
  <c r="C417" i="4"/>
  <c r="J416" i="4"/>
  <c r="I416" i="4"/>
  <c r="H416" i="4"/>
  <c r="F416" i="4"/>
  <c r="E416" i="4"/>
  <c r="D416" i="4"/>
  <c r="C416" i="4"/>
  <c r="J415" i="4"/>
  <c r="I415" i="4"/>
  <c r="H415" i="4"/>
  <c r="F415" i="4"/>
  <c r="E415" i="4"/>
  <c r="G415" i="4" s="1"/>
  <c r="C179" i="8" s="1"/>
  <c r="E179" i="8" s="1"/>
  <c r="D415" i="4"/>
  <c r="C415" i="4"/>
  <c r="J414" i="4"/>
  <c r="I414" i="4"/>
  <c r="H414" i="4"/>
  <c r="F414" i="4"/>
  <c r="E414" i="4"/>
  <c r="G414" i="4" s="1"/>
  <c r="C178" i="8" s="1"/>
  <c r="E178" i="8" s="1"/>
  <c r="D414" i="4"/>
  <c r="C414" i="4"/>
  <c r="J413" i="4"/>
  <c r="I413" i="4"/>
  <c r="H413" i="4"/>
  <c r="F413" i="4"/>
  <c r="E413" i="4"/>
  <c r="G413" i="4" s="1"/>
  <c r="D413" i="4"/>
  <c r="C413" i="4"/>
  <c r="J412" i="4"/>
  <c r="I412" i="4"/>
  <c r="H412" i="4"/>
  <c r="F412" i="4"/>
  <c r="E412" i="4"/>
  <c r="D412" i="4"/>
  <c r="C412" i="4"/>
  <c r="J411" i="4"/>
  <c r="I411" i="4"/>
  <c r="H411" i="4"/>
  <c r="F411" i="4"/>
  <c r="E411" i="4"/>
  <c r="D411" i="4"/>
  <c r="C411" i="4"/>
  <c r="J410" i="4"/>
  <c r="I410" i="4"/>
  <c r="H410" i="4"/>
  <c r="F410" i="4"/>
  <c r="E410" i="4"/>
  <c r="G410" i="4" s="1"/>
  <c r="C175" i="8" s="1"/>
  <c r="E175" i="8" s="1"/>
  <c r="D410" i="4"/>
  <c r="C410" i="4"/>
  <c r="J409" i="4"/>
  <c r="I409" i="4"/>
  <c r="H409" i="4"/>
  <c r="F409" i="4"/>
  <c r="E409" i="4"/>
  <c r="G409" i="4" s="1"/>
  <c r="C174" i="8" s="1"/>
  <c r="E174" i="8" s="1"/>
  <c r="D409" i="4"/>
  <c r="C409" i="4"/>
  <c r="J408" i="4"/>
  <c r="I408" i="4"/>
  <c r="H408" i="4"/>
  <c r="F408" i="4"/>
  <c r="E408" i="4"/>
  <c r="G408" i="4" s="1"/>
  <c r="C173" i="8" s="1"/>
  <c r="E173" i="8" s="1"/>
  <c r="D408" i="4"/>
  <c r="C408" i="4"/>
  <c r="J407" i="4"/>
  <c r="I407" i="4"/>
  <c r="H407" i="4"/>
  <c r="F407" i="4"/>
  <c r="E407" i="4"/>
  <c r="D407" i="4"/>
  <c r="C407" i="4"/>
  <c r="J406" i="4"/>
  <c r="I406" i="4"/>
  <c r="H406" i="4"/>
  <c r="F406" i="4"/>
  <c r="E406" i="4"/>
  <c r="G406" i="4" s="1"/>
  <c r="C171" i="8" s="1"/>
  <c r="E171" i="8" s="1"/>
  <c r="D406" i="4"/>
  <c r="C406" i="4"/>
  <c r="J405" i="4"/>
  <c r="I405" i="4"/>
  <c r="H405" i="4"/>
  <c r="F405" i="4"/>
  <c r="E405" i="4"/>
  <c r="G405" i="4" s="1"/>
  <c r="C170" i="8" s="1"/>
  <c r="E170" i="8" s="1"/>
  <c r="D405" i="4"/>
  <c r="C405" i="4"/>
  <c r="J404" i="4"/>
  <c r="I404" i="4"/>
  <c r="H404" i="4"/>
  <c r="F404" i="4"/>
  <c r="E404" i="4"/>
  <c r="G404" i="4" s="1"/>
  <c r="C169" i="8" s="1"/>
  <c r="E169" i="8" s="1"/>
  <c r="D404" i="4"/>
  <c r="C404" i="4"/>
  <c r="J403" i="4"/>
  <c r="I403" i="4"/>
  <c r="H403" i="4"/>
  <c r="F403" i="4"/>
  <c r="E403" i="4"/>
  <c r="G403" i="4" s="1"/>
  <c r="C168" i="8" s="1"/>
  <c r="E168" i="8" s="1"/>
  <c r="D403" i="4"/>
  <c r="C403" i="4"/>
  <c r="J402" i="4"/>
  <c r="I402" i="4"/>
  <c r="H402" i="4"/>
  <c r="F402" i="4"/>
  <c r="G402" i="4" s="1"/>
  <c r="C167" i="8" s="1"/>
  <c r="E167" i="8" s="1"/>
  <c r="E402" i="4"/>
  <c r="D402" i="4"/>
  <c r="C402" i="4"/>
  <c r="J401" i="4"/>
  <c r="I401" i="4"/>
  <c r="H401" i="4"/>
  <c r="F401" i="4"/>
  <c r="E401" i="4"/>
  <c r="D401" i="4"/>
  <c r="C401" i="4"/>
  <c r="J400" i="4"/>
  <c r="I400" i="4"/>
  <c r="H400" i="4"/>
  <c r="F400" i="4"/>
  <c r="G400" i="4" s="1"/>
  <c r="C165" i="8" s="1"/>
  <c r="E165" i="8" s="1"/>
  <c r="E400" i="4"/>
  <c r="D400" i="4"/>
  <c r="C400" i="4"/>
  <c r="J399" i="4"/>
  <c r="I399" i="4"/>
  <c r="H399" i="4"/>
  <c r="F399" i="4"/>
  <c r="E399" i="4"/>
  <c r="D399" i="4"/>
  <c r="C399" i="4"/>
  <c r="J398" i="4"/>
  <c r="I398" i="4"/>
  <c r="H398" i="4"/>
  <c r="F398" i="4"/>
  <c r="G398" i="4" s="1"/>
  <c r="E398" i="4"/>
  <c r="D398" i="4"/>
  <c r="C398" i="4"/>
  <c r="J397" i="4"/>
  <c r="I397" i="4"/>
  <c r="H397" i="4"/>
  <c r="F397" i="4"/>
  <c r="E397" i="4"/>
  <c r="G397" i="4" s="1"/>
  <c r="C163" i="8" s="1"/>
  <c r="E163" i="8" s="1"/>
  <c r="D397" i="4"/>
  <c r="C397" i="4"/>
  <c r="J396" i="4"/>
  <c r="I396" i="4"/>
  <c r="H396" i="4"/>
  <c r="F396" i="4"/>
  <c r="E396" i="4"/>
  <c r="G396" i="4" s="1"/>
  <c r="C162" i="8" s="1"/>
  <c r="E162" i="8" s="1"/>
  <c r="D396" i="4"/>
  <c r="C396" i="4"/>
  <c r="J395" i="4"/>
  <c r="I395" i="4"/>
  <c r="H395" i="4"/>
  <c r="F395" i="4"/>
  <c r="E395" i="4"/>
  <c r="G395" i="4" s="1"/>
  <c r="C161" i="8" s="1"/>
  <c r="E161" i="8" s="1"/>
  <c r="D395" i="4"/>
  <c r="C395" i="4"/>
  <c r="J394" i="4"/>
  <c r="I394" i="4"/>
  <c r="H394" i="4"/>
  <c r="F394" i="4"/>
  <c r="G394" i="4" s="1"/>
  <c r="C160" i="8" s="1"/>
  <c r="E160" i="8" s="1"/>
  <c r="E394" i="4"/>
  <c r="D394" i="4"/>
  <c r="C394" i="4"/>
  <c r="J393" i="4"/>
  <c r="I393" i="4"/>
  <c r="H393" i="4"/>
  <c r="F393" i="4"/>
  <c r="E393" i="4"/>
  <c r="D393" i="4"/>
  <c r="C393" i="4"/>
  <c r="J392" i="4"/>
  <c r="I392" i="4"/>
  <c r="H392" i="4"/>
  <c r="F392" i="4"/>
  <c r="G392" i="4" s="1"/>
  <c r="C158" i="8" s="1"/>
  <c r="E158" i="8" s="1"/>
  <c r="E392" i="4"/>
  <c r="D392" i="4"/>
  <c r="C392" i="4"/>
  <c r="J391" i="4"/>
  <c r="I391" i="4"/>
  <c r="H391" i="4"/>
  <c r="F391" i="4"/>
  <c r="E391" i="4"/>
  <c r="D391" i="4"/>
  <c r="C391" i="4"/>
  <c r="J390" i="4"/>
  <c r="I390" i="4"/>
  <c r="H390" i="4"/>
  <c r="F390" i="4"/>
  <c r="G390" i="4" s="1"/>
  <c r="E390" i="4"/>
  <c r="D390" i="4"/>
  <c r="C390" i="4"/>
  <c r="J389" i="4"/>
  <c r="I389" i="4"/>
  <c r="H389" i="4"/>
  <c r="F389" i="4"/>
  <c r="E389" i="4"/>
  <c r="G389" i="4" s="1"/>
  <c r="D389" i="4"/>
  <c r="C389" i="4"/>
  <c r="J388" i="4"/>
  <c r="I388" i="4"/>
  <c r="H388" i="4"/>
  <c r="F388" i="4"/>
  <c r="E388" i="4"/>
  <c r="G388" i="4" s="1"/>
  <c r="D388" i="4"/>
  <c r="C388" i="4"/>
  <c r="J387" i="4"/>
  <c r="I387" i="4"/>
  <c r="H387" i="4"/>
  <c r="F387" i="4"/>
  <c r="E387" i="4"/>
  <c r="G387" i="4" s="1"/>
  <c r="D387" i="4"/>
  <c r="C387" i="4"/>
  <c r="J386" i="4"/>
  <c r="I386" i="4"/>
  <c r="H386" i="4"/>
  <c r="F386" i="4"/>
  <c r="G386" i="4" s="1"/>
  <c r="E386" i="4"/>
  <c r="D386" i="4"/>
  <c r="C386" i="4"/>
  <c r="J385" i="4"/>
  <c r="I385" i="4"/>
  <c r="H385" i="4"/>
  <c r="F385" i="4"/>
  <c r="E385" i="4"/>
  <c r="D385" i="4"/>
  <c r="C385" i="4"/>
  <c r="J384" i="4"/>
  <c r="I384" i="4"/>
  <c r="H384" i="4"/>
  <c r="F384" i="4"/>
  <c r="G384" i="4" s="1"/>
  <c r="E384" i="4"/>
  <c r="D384" i="4"/>
  <c r="C384" i="4"/>
  <c r="J383" i="4"/>
  <c r="I383" i="4"/>
  <c r="H383" i="4"/>
  <c r="F383" i="4"/>
  <c r="E383" i="4"/>
  <c r="D383" i="4"/>
  <c r="C383" i="4"/>
  <c r="J382" i="4"/>
  <c r="I382" i="4"/>
  <c r="H382" i="4"/>
  <c r="F382" i="4"/>
  <c r="G382" i="4" s="1"/>
  <c r="E382" i="4"/>
  <c r="D382" i="4"/>
  <c r="C382" i="4"/>
  <c r="J381" i="4"/>
  <c r="I381" i="4"/>
  <c r="H381" i="4"/>
  <c r="F381" i="4"/>
  <c r="E381" i="4"/>
  <c r="G381" i="4" s="1"/>
  <c r="D381" i="4"/>
  <c r="C381" i="4"/>
  <c r="J380" i="4"/>
  <c r="I380" i="4"/>
  <c r="H380" i="4"/>
  <c r="F380" i="4"/>
  <c r="E380" i="4"/>
  <c r="G380" i="4" s="1"/>
  <c r="D380" i="4"/>
  <c r="C380" i="4"/>
  <c r="J379" i="4"/>
  <c r="I379" i="4"/>
  <c r="H379" i="4"/>
  <c r="F379" i="4"/>
  <c r="E379" i="4"/>
  <c r="G379" i="4" s="1"/>
  <c r="D379" i="4"/>
  <c r="C379" i="4"/>
  <c r="J378" i="4"/>
  <c r="I378" i="4"/>
  <c r="H378" i="4"/>
  <c r="F378" i="4"/>
  <c r="G378" i="4" s="1"/>
  <c r="E378" i="4"/>
  <c r="D378" i="4"/>
  <c r="C378" i="4"/>
  <c r="J377" i="4"/>
  <c r="I377" i="4"/>
  <c r="H377" i="4"/>
  <c r="F377" i="4"/>
  <c r="E377" i="4"/>
  <c r="D377" i="4"/>
  <c r="C377" i="4"/>
  <c r="J376" i="4"/>
  <c r="I376" i="4"/>
  <c r="H376" i="4"/>
  <c r="F376" i="4"/>
  <c r="G376" i="4" s="1"/>
  <c r="E376" i="4"/>
  <c r="D376" i="4"/>
  <c r="C376" i="4"/>
  <c r="J375" i="4"/>
  <c r="I375" i="4"/>
  <c r="H375" i="4"/>
  <c r="F375" i="4"/>
  <c r="E375" i="4"/>
  <c r="D375" i="4"/>
  <c r="C375" i="4"/>
  <c r="J374" i="4"/>
  <c r="I374" i="4"/>
  <c r="H374" i="4"/>
  <c r="F374" i="4"/>
  <c r="G374" i="4" s="1"/>
  <c r="E374" i="4"/>
  <c r="D374" i="4"/>
  <c r="C374" i="4"/>
  <c r="J373" i="4"/>
  <c r="I373" i="4"/>
  <c r="H373" i="4"/>
  <c r="F373" i="4"/>
  <c r="E373" i="4"/>
  <c r="G373" i="4" s="1"/>
  <c r="D373" i="4"/>
  <c r="C373" i="4"/>
  <c r="J372" i="4"/>
  <c r="I372" i="4"/>
  <c r="H372" i="4"/>
  <c r="F372" i="4"/>
  <c r="E372" i="4"/>
  <c r="G372" i="4" s="1"/>
  <c r="D372" i="4"/>
  <c r="C372" i="4"/>
  <c r="J371" i="4"/>
  <c r="I371" i="4"/>
  <c r="H371" i="4"/>
  <c r="F371" i="4"/>
  <c r="E371" i="4"/>
  <c r="G371" i="4" s="1"/>
  <c r="D371" i="4"/>
  <c r="C371" i="4"/>
  <c r="J370" i="4"/>
  <c r="I370" i="4"/>
  <c r="H370" i="4"/>
  <c r="F370" i="4"/>
  <c r="G370" i="4" s="1"/>
  <c r="E370" i="4"/>
  <c r="D370" i="4"/>
  <c r="C370" i="4"/>
  <c r="J369" i="4"/>
  <c r="I369" i="4"/>
  <c r="H369" i="4"/>
  <c r="F369" i="4"/>
  <c r="E369" i="4"/>
  <c r="D369" i="4"/>
  <c r="C369" i="4"/>
  <c r="J368" i="4"/>
  <c r="I368" i="4"/>
  <c r="H368" i="4"/>
  <c r="F368" i="4"/>
  <c r="G368" i="4" s="1"/>
  <c r="E368" i="4"/>
  <c r="D368" i="4"/>
  <c r="C368" i="4"/>
  <c r="J367" i="4"/>
  <c r="I367" i="4"/>
  <c r="H367" i="4"/>
  <c r="F367" i="4"/>
  <c r="E367" i="4"/>
  <c r="D367" i="4"/>
  <c r="C367" i="4"/>
  <c r="J366" i="4"/>
  <c r="I366" i="4"/>
  <c r="H366" i="4"/>
  <c r="F366" i="4"/>
  <c r="G366" i="4" s="1"/>
  <c r="E366" i="4"/>
  <c r="D366" i="4"/>
  <c r="C366" i="4"/>
  <c r="J365" i="4"/>
  <c r="I365" i="4"/>
  <c r="H365" i="4"/>
  <c r="F365" i="4"/>
  <c r="E365" i="4"/>
  <c r="G365" i="4" s="1"/>
  <c r="D365" i="4"/>
  <c r="C365" i="4"/>
  <c r="J364" i="4"/>
  <c r="I364" i="4"/>
  <c r="H364" i="4"/>
  <c r="F364" i="4"/>
  <c r="E364" i="4"/>
  <c r="G364" i="4" s="1"/>
  <c r="D364" i="4"/>
  <c r="C364" i="4"/>
  <c r="J363" i="4"/>
  <c r="I363" i="4"/>
  <c r="H363" i="4"/>
  <c r="F363" i="4"/>
  <c r="E363" i="4"/>
  <c r="G363" i="4" s="1"/>
  <c r="D363" i="4"/>
  <c r="C363" i="4"/>
  <c r="J362" i="4"/>
  <c r="I362" i="4"/>
  <c r="H362" i="4"/>
  <c r="F362" i="4"/>
  <c r="G362" i="4" s="1"/>
  <c r="E362" i="4"/>
  <c r="D362" i="4"/>
  <c r="C362" i="4"/>
  <c r="J361" i="4"/>
  <c r="I361" i="4"/>
  <c r="H361" i="4"/>
  <c r="F361" i="4"/>
  <c r="E361" i="4"/>
  <c r="D361" i="4"/>
  <c r="C361" i="4"/>
  <c r="J360" i="4"/>
  <c r="I360" i="4"/>
  <c r="H360" i="4"/>
  <c r="F360" i="4"/>
  <c r="G360" i="4" s="1"/>
  <c r="E360" i="4"/>
  <c r="D360" i="4"/>
  <c r="C360" i="4"/>
  <c r="J359" i="4"/>
  <c r="I359" i="4"/>
  <c r="H359" i="4"/>
  <c r="F359" i="4"/>
  <c r="E359" i="4"/>
  <c r="D359" i="4"/>
  <c r="C359" i="4"/>
  <c r="J358" i="4"/>
  <c r="I358" i="4"/>
  <c r="H358" i="4"/>
  <c r="F358" i="4"/>
  <c r="G358" i="4" s="1"/>
  <c r="E358" i="4"/>
  <c r="D358" i="4"/>
  <c r="C358" i="4"/>
  <c r="J357" i="4"/>
  <c r="I357" i="4"/>
  <c r="H357" i="4"/>
  <c r="F357" i="4"/>
  <c r="E357" i="4"/>
  <c r="G357" i="4" s="1"/>
  <c r="D357" i="4"/>
  <c r="C357" i="4"/>
  <c r="J356" i="4"/>
  <c r="I356" i="4"/>
  <c r="H356" i="4"/>
  <c r="F356" i="4"/>
  <c r="E356" i="4"/>
  <c r="G356" i="4" s="1"/>
  <c r="D356" i="4"/>
  <c r="C356" i="4"/>
  <c r="J355" i="4"/>
  <c r="I355" i="4"/>
  <c r="H355" i="4"/>
  <c r="F355" i="4"/>
  <c r="E355" i="4"/>
  <c r="G355" i="4" s="1"/>
  <c r="D355" i="4"/>
  <c r="C355" i="4"/>
  <c r="J354" i="4"/>
  <c r="I354" i="4"/>
  <c r="H354" i="4"/>
  <c r="F354" i="4"/>
  <c r="G354" i="4" s="1"/>
  <c r="E354" i="4"/>
  <c r="D354" i="4"/>
  <c r="C354" i="4"/>
  <c r="J353" i="4"/>
  <c r="I353" i="4"/>
  <c r="H353" i="4"/>
  <c r="F353" i="4"/>
  <c r="E353" i="4"/>
  <c r="D353" i="4"/>
  <c r="C353" i="4"/>
  <c r="J352" i="4"/>
  <c r="I352" i="4"/>
  <c r="H352" i="4"/>
  <c r="F352" i="4"/>
  <c r="G352" i="4" s="1"/>
  <c r="E352" i="4"/>
  <c r="D352" i="4"/>
  <c r="C352" i="4"/>
  <c r="J351" i="4"/>
  <c r="I351" i="4"/>
  <c r="H351" i="4"/>
  <c r="F351" i="4"/>
  <c r="E351" i="4"/>
  <c r="D351" i="4"/>
  <c r="C351" i="4"/>
  <c r="J350" i="4"/>
  <c r="I350" i="4"/>
  <c r="H350" i="4"/>
  <c r="F350" i="4"/>
  <c r="G350" i="4" s="1"/>
  <c r="E350" i="4"/>
  <c r="D350" i="4"/>
  <c r="C350" i="4"/>
  <c r="J349" i="4"/>
  <c r="I349" i="4"/>
  <c r="H349" i="4"/>
  <c r="F349" i="4"/>
  <c r="E349" i="4"/>
  <c r="G349" i="4" s="1"/>
  <c r="D349" i="4"/>
  <c r="C349" i="4"/>
  <c r="J348" i="4"/>
  <c r="I348" i="4"/>
  <c r="H348" i="4"/>
  <c r="F348" i="4"/>
  <c r="E348" i="4"/>
  <c r="G348" i="4" s="1"/>
  <c r="D348" i="4"/>
  <c r="C348" i="4"/>
  <c r="J347" i="4"/>
  <c r="I347" i="4"/>
  <c r="H347" i="4"/>
  <c r="F347" i="4"/>
  <c r="E347" i="4"/>
  <c r="G347" i="4" s="1"/>
  <c r="D347" i="4"/>
  <c r="C347" i="4"/>
  <c r="J346" i="4"/>
  <c r="I346" i="4"/>
  <c r="H346" i="4"/>
  <c r="F346" i="4"/>
  <c r="G346" i="4" s="1"/>
  <c r="E346" i="4"/>
  <c r="D346" i="4"/>
  <c r="C346" i="4"/>
  <c r="J345" i="4"/>
  <c r="I345" i="4"/>
  <c r="H345" i="4"/>
  <c r="F345" i="4"/>
  <c r="E345" i="4"/>
  <c r="D345" i="4"/>
  <c r="C345" i="4"/>
  <c r="J344" i="4"/>
  <c r="I344" i="4"/>
  <c r="H344" i="4"/>
  <c r="F344" i="4"/>
  <c r="G344" i="4" s="1"/>
  <c r="E344" i="4"/>
  <c r="D344" i="4"/>
  <c r="C344" i="4"/>
  <c r="J343" i="4"/>
  <c r="I343" i="4"/>
  <c r="H343" i="4"/>
  <c r="F343" i="4"/>
  <c r="E343" i="4"/>
  <c r="D343" i="4"/>
  <c r="C343" i="4"/>
  <c r="J342" i="4"/>
  <c r="I342" i="4"/>
  <c r="H342" i="4"/>
  <c r="F342" i="4"/>
  <c r="G342" i="4" s="1"/>
  <c r="E342" i="4"/>
  <c r="D342" i="4"/>
  <c r="C342" i="4"/>
  <c r="J341" i="4"/>
  <c r="I341" i="4"/>
  <c r="H341" i="4"/>
  <c r="F341" i="4"/>
  <c r="E341" i="4"/>
  <c r="G341" i="4" s="1"/>
  <c r="D341" i="4"/>
  <c r="C341" i="4"/>
  <c r="J340" i="4"/>
  <c r="I340" i="4"/>
  <c r="H340" i="4"/>
  <c r="F340" i="4"/>
  <c r="E340" i="4"/>
  <c r="G340" i="4" s="1"/>
  <c r="D340" i="4"/>
  <c r="C340" i="4"/>
  <c r="J339" i="4"/>
  <c r="I339" i="4"/>
  <c r="H339" i="4"/>
  <c r="F339" i="4"/>
  <c r="E339" i="4"/>
  <c r="G339" i="4" s="1"/>
  <c r="D339" i="4"/>
  <c r="C339" i="4"/>
  <c r="J338" i="4"/>
  <c r="I338" i="4"/>
  <c r="H338" i="4"/>
  <c r="F338" i="4"/>
  <c r="G338" i="4" s="1"/>
  <c r="E338" i="4"/>
  <c r="D338" i="4"/>
  <c r="C338" i="4"/>
  <c r="J337" i="4"/>
  <c r="I337" i="4"/>
  <c r="H337" i="4"/>
  <c r="F337" i="4"/>
  <c r="E337" i="4"/>
  <c r="D337" i="4"/>
  <c r="C337" i="4"/>
  <c r="J336" i="4"/>
  <c r="I336" i="4"/>
  <c r="H336" i="4"/>
  <c r="F336" i="4"/>
  <c r="G336" i="4" s="1"/>
  <c r="E336" i="4"/>
  <c r="D336" i="4"/>
  <c r="C336" i="4"/>
  <c r="J335" i="4"/>
  <c r="I335" i="4"/>
  <c r="H335" i="4"/>
  <c r="F335" i="4"/>
  <c r="E335" i="4"/>
  <c r="D335" i="4"/>
  <c r="C335" i="4"/>
  <c r="J334" i="4"/>
  <c r="I334" i="4"/>
  <c r="H334" i="4"/>
  <c r="F334" i="4"/>
  <c r="G334" i="4" s="1"/>
  <c r="E334" i="4"/>
  <c r="D334" i="4"/>
  <c r="C334" i="4"/>
  <c r="J333" i="4"/>
  <c r="I333" i="4"/>
  <c r="H333" i="4"/>
  <c r="F333" i="4"/>
  <c r="E333" i="4"/>
  <c r="D333" i="4"/>
  <c r="C333" i="4"/>
  <c r="J332" i="4"/>
  <c r="I332" i="4"/>
  <c r="H332" i="4"/>
  <c r="F332" i="4"/>
  <c r="E332" i="4"/>
  <c r="G332" i="4" s="1"/>
  <c r="D332" i="4"/>
  <c r="C332" i="4"/>
  <c r="J331" i="4"/>
  <c r="I331" i="4"/>
  <c r="H331" i="4"/>
  <c r="F331" i="4"/>
  <c r="E331" i="4"/>
  <c r="G331" i="4" s="1"/>
  <c r="D331" i="4"/>
  <c r="C331" i="4"/>
  <c r="J330" i="4"/>
  <c r="I330" i="4"/>
  <c r="H330" i="4"/>
  <c r="F330" i="4"/>
  <c r="G330" i="4" s="1"/>
  <c r="E330" i="4"/>
  <c r="D330" i="4"/>
  <c r="C330" i="4"/>
  <c r="J329" i="4"/>
  <c r="I329" i="4"/>
  <c r="H329" i="4"/>
  <c r="F329" i="4"/>
  <c r="E329" i="4"/>
  <c r="D329" i="4"/>
  <c r="C329" i="4"/>
  <c r="J328" i="4"/>
  <c r="I328" i="4"/>
  <c r="H328" i="4"/>
  <c r="F328" i="4"/>
  <c r="G328" i="4" s="1"/>
  <c r="E328" i="4"/>
  <c r="D328" i="4"/>
  <c r="C328" i="4"/>
  <c r="J327" i="4"/>
  <c r="I327" i="4"/>
  <c r="H327" i="4"/>
  <c r="F327" i="4"/>
  <c r="E327" i="4"/>
  <c r="D327" i="4"/>
  <c r="C327" i="4"/>
  <c r="J326" i="4"/>
  <c r="I326" i="4"/>
  <c r="H326" i="4"/>
  <c r="F326" i="4"/>
  <c r="G326" i="4" s="1"/>
  <c r="E326" i="4"/>
  <c r="D326" i="4"/>
  <c r="C326" i="4"/>
  <c r="J325" i="4"/>
  <c r="I325" i="4"/>
  <c r="H325" i="4"/>
  <c r="F325" i="4"/>
  <c r="E325" i="4"/>
  <c r="G325" i="4" s="1"/>
  <c r="D325" i="4"/>
  <c r="C325" i="4"/>
  <c r="J324" i="4"/>
  <c r="I324" i="4"/>
  <c r="H324" i="4"/>
  <c r="G324" i="4"/>
  <c r="F324" i="4"/>
  <c r="E324" i="4"/>
  <c r="D324" i="4"/>
  <c r="C324" i="4"/>
  <c r="J323" i="4"/>
  <c r="I323" i="4"/>
  <c r="H323" i="4"/>
  <c r="F323" i="4"/>
  <c r="E323" i="4"/>
  <c r="D323" i="4"/>
  <c r="C323" i="4"/>
  <c r="J322" i="4"/>
  <c r="I322" i="4"/>
  <c r="H322" i="4"/>
  <c r="F322" i="4"/>
  <c r="G322" i="4" s="1"/>
  <c r="E322" i="4"/>
  <c r="D322" i="4"/>
  <c r="C322" i="4"/>
  <c r="J321" i="4"/>
  <c r="I321" i="4"/>
  <c r="H321" i="4"/>
  <c r="F321" i="4"/>
  <c r="E321" i="4"/>
  <c r="D321" i="4"/>
  <c r="C321" i="4"/>
  <c r="J320" i="4"/>
  <c r="I320" i="4"/>
  <c r="H320" i="4"/>
  <c r="F320" i="4"/>
  <c r="E320" i="4"/>
  <c r="G320" i="4" s="1"/>
  <c r="D320" i="4"/>
  <c r="C320" i="4"/>
  <c r="J319" i="4"/>
  <c r="I319" i="4"/>
  <c r="H319" i="4"/>
  <c r="F319" i="4"/>
  <c r="E319" i="4"/>
  <c r="G319" i="4" s="1"/>
  <c r="D319" i="4"/>
  <c r="C319" i="4"/>
  <c r="J318" i="4"/>
  <c r="I318" i="4"/>
  <c r="H318" i="4"/>
  <c r="F318" i="4"/>
  <c r="G318" i="4" s="1"/>
  <c r="E318" i="4"/>
  <c r="D318" i="4"/>
  <c r="C318" i="4"/>
  <c r="J317" i="4"/>
  <c r="I317" i="4"/>
  <c r="H317" i="4"/>
  <c r="F317" i="4"/>
  <c r="E317" i="4"/>
  <c r="D317" i="4"/>
  <c r="C317" i="4"/>
  <c r="J316" i="4"/>
  <c r="I316" i="4"/>
  <c r="H316" i="4"/>
  <c r="F316" i="4"/>
  <c r="E316" i="4"/>
  <c r="G316" i="4" s="1"/>
  <c r="D316" i="4"/>
  <c r="C316" i="4"/>
  <c r="J315" i="4"/>
  <c r="I315" i="4"/>
  <c r="H315" i="4"/>
  <c r="F315" i="4"/>
  <c r="E315" i="4"/>
  <c r="D315" i="4"/>
  <c r="C315" i="4"/>
  <c r="J314" i="4"/>
  <c r="I314" i="4"/>
  <c r="H314" i="4"/>
  <c r="F314" i="4"/>
  <c r="E314" i="4"/>
  <c r="D314" i="4"/>
  <c r="C314" i="4"/>
  <c r="J313" i="4"/>
  <c r="I313" i="4"/>
  <c r="H313" i="4"/>
  <c r="F313" i="4"/>
  <c r="E313" i="4"/>
  <c r="G313" i="4" s="1"/>
  <c r="D313" i="4"/>
  <c r="C313" i="4"/>
  <c r="J312" i="4"/>
  <c r="I312" i="4"/>
  <c r="H312" i="4"/>
  <c r="F312" i="4"/>
  <c r="E312" i="4"/>
  <c r="G312" i="4" s="1"/>
  <c r="D312" i="4"/>
  <c r="C312" i="4"/>
  <c r="J311" i="4"/>
  <c r="I311" i="4"/>
  <c r="H311" i="4"/>
  <c r="F311" i="4"/>
  <c r="E311" i="4"/>
  <c r="D311" i="4"/>
  <c r="C311" i="4"/>
  <c r="J310" i="4"/>
  <c r="I310" i="4"/>
  <c r="H310" i="4"/>
  <c r="F310" i="4"/>
  <c r="E310" i="4"/>
  <c r="D310" i="4"/>
  <c r="C310" i="4"/>
  <c r="J309" i="4"/>
  <c r="I309" i="4"/>
  <c r="H309" i="4"/>
  <c r="F309" i="4"/>
  <c r="E309" i="4"/>
  <c r="D309" i="4"/>
  <c r="C309" i="4"/>
  <c r="J308" i="4"/>
  <c r="I308" i="4"/>
  <c r="H308" i="4"/>
  <c r="F308" i="4"/>
  <c r="E308" i="4"/>
  <c r="G308" i="4" s="1"/>
  <c r="D308" i="4"/>
  <c r="C308" i="4"/>
  <c r="J307" i="4"/>
  <c r="I307" i="4"/>
  <c r="H307" i="4"/>
  <c r="F307" i="4"/>
  <c r="E307" i="4"/>
  <c r="G307" i="4" s="1"/>
  <c r="D307" i="4"/>
  <c r="C307" i="4"/>
  <c r="J306" i="4"/>
  <c r="I306" i="4"/>
  <c r="H306" i="4"/>
  <c r="F306" i="4"/>
  <c r="E306" i="4"/>
  <c r="D306" i="4"/>
  <c r="C306" i="4"/>
  <c r="J305" i="4"/>
  <c r="I305" i="4"/>
  <c r="H305" i="4"/>
  <c r="F305" i="4"/>
  <c r="E305" i="4"/>
  <c r="G305" i="4" s="1"/>
  <c r="D305" i="4"/>
  <c r="C305" i="4"/>
  <c r="J304" i="4"/>
  <c r="I304" i="4"/>
  <c r="H304" i="4"/>
  <c r="F304" i="4"/>
  <c r="E304" i="4"/>
  <c r="G304" i="4" s="1"/>
  <c r="D304" i="4"/>
  <c r="C304" i="4"/>
  <c r="J303" i="4"/>
  <c r="I303" i="4"/>
  <c r="H303" i="4"/>
  <c r="F303" i="4"/>
  <c r="E303" i="4"/>
  <c r="D303" i="4"/>
  <c r="C303" i="4"/>
  <c r="J302" i="4"/>
  <c r="I302" i="4"/>
  <c r="H302" i="4"/>
  <c r="F302" i="4"/>
  <c r="E302" i="4"/>
  <c r="D302" i="4"/>
  <c r="C302" i="4"/>
  <c r="J301" i="4"/>
  <c r="I301" i="4"/>
  <c r="H301" i="4"/>
  <c r="F301" i="4"/>
  <c r="E301" i="4"/>
  <c r="D301" i="4"/>
  <c r="C301" i="4"/>
  <c r="J300" i="4"/>
  <c r="I300" i="4"/>
  <c r="H300" i="4"/>
  <c r="F300" i="4"/>
  <c r="E300" i="4"/>
  <c r="G300" i="4" s="1"/>
  <c r="D300" i="4"/>
  <c r="C300" i="4"/>
  <c r="J299" i="4"/>
  <c r="I299" i="4"/>
  <c r="H299" i="4"/>
  <c r="F299" i="4"/>
  <c r="E299" i="4"/>
  <c r="G299" i="4" s="1"/>
  <c r="D299" i="4"/>
  <c r="C299" i="4"/>
  <c r="J298" i="4"/>
  <c r="I298" i="4"/>
  <c r="H298" i="4"/>
  <c r="F298" i="4"/>
  <c r="E298" i="4"/>
  <c r="D298" i="4"/>
  <c r="C298" i="4"/>
  <c r="J297" i="4"/>
  <c r="I297" i="4"/>
  <c r="H297" i="4"/>
  <c r="F297" i="4"/>
  <c r="E297" i="4"/>
  <c r="G297" i="4" s="1"/>
  <c r="D297" i="4"/>
  <c r="C297" i="4"/>
  <c r="J296" i="4"/>
  <c r="I296" i="4"/>
  <c r="H296" i="4"/>
  <c r="F296" i="4"/>
  <c r="E296" i="4"/>
  <c r="G296" i="4" s="1"/>
  <c r="D296" i="4"/>
  <c r="C296" i="4"/>
  <c r="J295" i="4"/>
  <c r="I295" i="4"/>
  <c r="H295" i="4"/>
  <c r="F295" i="4"/>
  <c r="E295" i="4"/>
  <c r="D295" i="4"/>
  <c r="C295" i="4"/>
  <c r="J294" i="4"/>
  <c r="I294" i="4"/>
  <c r="H294" i="4"/>
  <c r="F294" i="4"/>
  <c r="E294" i="4"/>
  <c r="D294" i="4"/>
  <c r="C294" i="4"/>
  <c r="J293" i="4"/>
  <c r="I293" i="4"/>
  <c r="H293" i="4"/>
  <c r="F293" i="4"/>
  <c r="E293" i="4"/>
  <c r="G293" i="4" s="1"/>
  <c r="D293" i="4"/>
  <c r="C293" i="4"/>
  <c r="J292" i="4"/>
  <c r="I292" i="4"/>
  <c r="H292" i="4"/>
  <c r="F292" i="4"/>
  <c r="E292" i="4"/>
  <c r="G292" i="4" s="1"/>
  <c r="D292" i="4"/>
  <c r="C292" i="4"/>
  <c r="J291" i="4"/>
  <c r="I291" i="4"/>
  <c r="H291" i="4"/>
  <c r="F291" i="4"/>
  <c r="E291" i="4"/>
  <c r="G291" i="4" s="1"/>
  <c r="D291" i="4"/>
  <c r="C291" i="4"/>
  <c r="J290" i="4"/>
  <c r="I290" i="4"/>
  <c r="H290" i="4"/>
  <c r="F290" i="4"/>
  <c r="G290" i="4" s="1"/>
  <c r="E290" i="4"/>
  <c r="D290" i="4"/>
  <c r="C290" i="4"/>
  <c r="J289" i="4"/>
  <c r="I289" i="4"/>
  <c r="H289" i="4"/>
  <c r="F289" i="4"/>
  <c r="E289" i="4"/>
  <c r="G289" i="4" s="1"/>
  <c r="D289" i="4"/>
  <c r="C289" i="4"/>
  <c r="J288" i="4"/>
  <c r="I288" i="4"/>
  <c r="H288" i="4"/>
  <c r="F288" i="4"/>
  <c r="G288" i="4" s="1"/>
  <c r="E288" i="4"/>
  <c r="D288" i="4"/>
  <c r="C288" i="4"/>
  <c r="J287" i="4"/>
  <c r="I287" i="4"/>
  <c r="H287" i="4"/>
  <c r="F287" i="4"/>
  <c r="E287" i="4"/>
  <c r="D287" i="4"/>
  <c r="C287" i="4"/>
  <c r="J286" i="4"/>
  <c r="I286" i="4"/>
  <c r="H286" i="4"/>
  <c r="F286" i="4"/>
  <c r="E286" i="4"/>
  <c r="D286" i="4"/>
  <c r="C286" i="4"/>
  <c r="J285" i="4"/>
  <c r="I285" i="4"/>
  <c r="H285" i="4"/>
  <c r="F285" i="4"/>
  <c r="E285" i="4"/>
  <c r="G285" i="4" s="1"/>
  <c r="D285" i="4"/>
  <c r="C285" i="4"/>
  <c r="J284" i="4"/>
  <c r="I284" i="4"/>
  <c r="H284" i="4"/>
  <c r="G284" i="4"/>
  <c r="F284" i="4"/>
  <c r="E284" i="4"/>
  <c r="D284" i="4"/>
  <c r="C284" i="4"/>
  <c r="J283" i="4"/>
  <c r="I283" i="4"/>
  <c r="H283" i="4"/>
  <c r="F283" i="4"/>
  <c r="E283" i="4"/>
  <c r="D283" i="4"/>
  <c r="C283" i="4"/>
  <c r="J282" i="4"/>
  <c r="I282" i="4"/>
  <c r="H282" i="4"/>
  <c r="F282" i="4"/>
  <c r="E282" i="4"/>
  <c r="D282" i="4"/>
  <c r="C282" i="4"/>
  <c r="J281" i="4"/>
  <c r="I281" i="4"/>
  <c r="H281" i="4"/>
  <c r="F281" i="4"/>
  <c r="E281" i="4"/>
  <c r="G281" i="4" s="1"/>
  <c r="D281" i="4"/>
  <c r="C281" i="4"/>
  <c r="J280" i="4"/>
  <c r="I280" i="4"/>
  <c r="H280" i="4"/>
  <c r="F280" i="4"/>
  <c r="G280" i="4" s="1"/>
  <c r="E280" i="4"/>
  <c r="D280" i="4"/>
  <c r="C280" i="4"/>
  <c r="J279" i="4"/>
  <c r="I279" i="4"/>
  <c r="H279" i="4"/>
  <c r="F279" i="4"/>
  <c r="E279" i="4"/>
  <c r="D279" i="4"/>
  <c r="C279" i="4"/>
  <c r="J278" i="4"/>
  <c r="I278" i="4"/>
  <c r="H278" i="4"/>
  <c r="F278" i="4"/>
  <c r="E278" i="4"/>
  <c r="D278" i="4"/>
  <c r="C278" i="4"/>
  <c r="J277" i="4"/>
  <c r="I277" i="4"/>
  <c r="H277" i="4"/>
  <c r="F277" i="4"/>
  <c r="E277" i="4"/>
  <c r="G277" i="4" s="1"/>
  <c r="D277" i="4"/>
  <c r="C277" i="4"/>
  <c r="J276" i="4"/>
  <c r="I276" i="4"/>
  <c r="H276" i="4"/>
  <c r="G276" i="4"/>
  <c r="F276" i="4"/>
  <c r="E276" i="4"/>
  <c r="D276" i="4"/>
  <c r="C276" i="4"/>
  <c r="J275" i="4"/>
  <c r="I275" i="4"/>
  <c r="H275" i="4"/>
  <c r="F275" i="4"/>
  <c r="E275" i="4"/>
  <c r="G275" i="4" s="1"/>
  <c r="D275" i="4"/>
  <c r="C275" i="4"/>
  <c r="J274" i="4"/>
  <c r="I274" i="4"/>
  <c r="H274" i="4"/>
  <c r="F274" i="4"/>
  <c r="E274" i="4"/>
  <c r="D274" i="4"/>
  <c r="C274" i="4"/>
  <c r="J273" i="4"/>
  <c r="I273" i="4"/>
  <c r="H273" i="4"/>
  <c r="F273" i="4"/>
  <c r="E273" i="4"/>
  <c r="G273" i="4" s="1"/>
  <c r="D273" i="4"/>
  <c r="C273" i="4"/>
  <c r="J272" i="4"/>
  <c r="I272" i="4"/>
  <c r="H272" i="4"/>
  <c r="F272" i="4"/>
  <c r="G272" i="4" s="1"/>
  <c r="E272" i="4"/>
  <c r="D272" i="4"/>
  <c r="C272" i="4"/>
  <c r="J271" i="4"/>
  <c r="I271" i="4"/>
  <c r="H271" i="4"/>
  <c r="F271" i="4"/>
  <c r="E271" i="4"/>
  <c r="D271" i="4"/>
  <c r="C271" i="4"/>
  <c r="J270" i="4"/>
  <c r="I270" i="4"/>
  <c r="H270" i="4"/>
  <c r="F270" i="4"/>
  <c r="E270" i="4"/>
  <c r="D270" i="4"/>
  <c r="C270" i="4"/>
  <c r="J269" i="4"/>
  <c r="I269" i="4"/>
  <c r="H269" i="4"/>
  <c r="F269" i="4"/>
  <c r="E269" i="4"/>
  <c r="D269" i="4"/>
  <c r="C269" i="4"/>
  <c r="J268" i="4"/>
  <c r="I268" i="4"/>
  <c r="H268" i="4"/>
  <c r="F268" i="4"/>
  <c r="G268" i="4" s="1"/>
  <c r="E268" i="4"/>
  <c r="D268" i="4"/>
  <c r="C268" i="4"/>
  <c r="J267" i="4"/>
  <c r="I267" i="4"/>
  <c r="H267" i="4"/>
  <c r="F267" i="4"/>
  <c r="E267" i="4"/>
  <c r="D267" i="4"/>
  <c r="C267" i="4"/>
  <c r="J266" i="4"/>
  <c r="I266" i="4"/>
  <c r="H266" i="4"/>
  <c r="F266" i="4"/>
  <c r="G266" i="4" s="1"/>
  <c r="E266" i="4"/>
  <c r="D266" i="4"/>
  <c r="C266" i="4"/>
  <c r="J265" i="4"/>
  <c r="I265" i="4"/>
  <c r="H265" i="4"/>
  <c r="F265" i="4"/>
  <c r="E265" i="4"/>
  <c r="G265" i="4" s="1"/>
  <c r="D265" i="4"/>
  <c r="C265" i="4"/>
  <c r="J264" i="4"/>
  <c r="I264" i="4"/>
  <c r="H264" i="4"/>
  <c r="G264" i="4"/>
  <c r="F264" i="4"/>
  <c r="E264" i="4"/>
  <c r="D264" i="4"/>
  <c r="C264" i="4"/>
  <c r="J263" i="4"/>
  <c r="I263" i="4"/>
  <c r="H263" i="4"/>
  <c r="F263" i="4"/>
  <c r="E263" i="4"/>
  <c r="D263" i="4"/>
  <c r="C263" i="4"/>
  <c r="J262" i="4"/>
  <c r="I262" i="4"/>
  <c r="H262" i="4"/>
  <c r="F262" i="4"/>
  <c r="G262" i="4" s="1"/>
  <c r="E262" i="4"/>
  <c r="D262" i="4"/>
  <c r="C262" i="4"/>
  <c r="J261" i="4"/>
  <c r="I261" i="4"/>
  <c r="H261" i="4"/>
  <c r="F261" i="4"/>
  <c r="E261" i="4"/>
  <c r="D261" i="4"/>
  <c r="C261" i="4"/>
  <c r="J260" i="4"/>
  <c r="I260" i="4"/>
  <c r="H260" i="4"/>
  <c r="F260" i="4"/>
  <c r="E260" i="4"/>
  <c r="G260" i="4" s="1"/>
  <c r="D260" i="4"/>
  <c r="C260" i="4"/>
  <c r="J259" i="4"/>
  <c r="I259" i="4"/>
  <c r="H259" i="4"/>
  <c r="F259" i="4"/>
  <c r="E259" i="4"/>
  <c r="G259" i="4" s="1"/>
  <c r="D259" i="4"/>
  <c r="C259" i="4"/>
  <c r="J258" i="4"/>
  <c r="I258" i="4"/>
  <c r="H258" i="4"/>
  <c r="F258" i="4"/>
  <c r="G258" i="4" s="1"/>
  <c r="E258" i="4"/>
  <c r="D258" i="4"/>
  <c r="C258" i="4"/>
  <c r="J257" i="4"/>
  <c r="I257" i="4"/>
  <c r="H257" i="4"/>
  <c r="F257" i="4"/>
  <c r="E257" i="4"/>
  <c r="D257" i="4"/>
  <c r="C257" i="4"/>
  <c r="J256" i="4"/>
  <c r="I256" i="4"/>
  <c r="H256" i="4"/>
  <c r="F256" i="4"/>
  <c r="E256" i="4"/>
  <c r="G256" i="4" s="1"/>
  <c r="D256" i="4"/>
  <c r="C256" i="4"/>
  <c r="J255" i="4"/>
  <c r="I255" i="4"/>
  <c r="H255" i="4"/>
  <c r="F255" i="4"/>
  <c r="E255" i="4"/>
  <c r="G255" i="4" s="1"/>
  <c r="D255" i="4"/>
  <c r="C255" i="4"/>
  <c r="J254" i="4"/>
  <c r="I254" i="4"/>
  <c r="H254" i="4"/>
  <c r="F254" i="4"/>
  <c r="E254" i="4"/>
  <c r="D254" i="4"/>
  <c r="C254" i="4"/>
  <c r="J253" i="4"/>
  <c r="I253" i="4"/>
  <c r="H253" i="4"/>
  <c r="F253" i="4"/>
  <c r="E253" i="4"/>
  <c r="D253" i="4"/>
  <c r="C253" i="4"/>
  <c r="J252" i="4"/>
  <c r="I252" i="4"/>
  <c r="H252" i="4"/>
  <c r="G252" i="4"/>
  <c r="F252" i="4"/>
  <c r="E252" i="4"/>
  <c r="D252" i="4"/>
  <c r="C252" i="4"/>
  <c r="J251" i="4"/>
  <c r="I251" i="4"/>
  <c r="H251" i="4"/>
  <c r="F251" i="4"/>
  <c r="E251" i="4"/>
  <c r="G251" i="4" s="1"/>
  <c r="D251" i="4"/>
  <c r="C251" i="4"/>
  <c r="J250" i="4"/>
  <c r="I250" i="4"/>
  <c r="H250" i="4"/>
  <c r="F250" i="4"/>
  <c r="E250" i="4"/>
  <c r="D250" i="4"/>
  <c r="C250" i="4"/>
  <c r="J249" i="4"/>
  <c r="I249" i="4"/>
  <c r="H249" i="4"/>
  <c r="F249" i="4"/>
  <c r="E249" i="4"/>
  <c r="G249" i="4" s="1"/>
  <c r="D249" i="4"/>
  <c r="C249" i="4"/>
  <c r="J248" i="4"/>
  <c r="I248" i="4"/>
  <c r="H248" i="4"/>
  <c r="G248" i="4"/>
  <c r="F248" i="4"/>
  <c r="E248" i="4"/>
  <c r="D248" i="4"/>
  <c r="C248" i="4"/>
  <c r="J247" i="4"/>
  <c r="I247" i="4"/>
  <c r="H247" i="4"/>
  <c r="F247" i="4"/>
  <c r="E247" i="4"/>
  <c r="G247" i="4" s="1"/>
  <c r="D247" i="4"/>
  <c r="C247" i="4"/>
  <c r="J246" i="4"/>
  <c r="I246" i="4"/>
  <c r="H246" i="4"/>
  <c r="F246" i="4"/>
  <c r="E246" i="4"/>
  <c r="D246" i="4"/>
  <c r="C246" i="4"/>
  <c r="J245" i="4"/>
  <c r="I245" i="4"/>
  <c r="H245" i="4"/>
  <c r="F245" i="4"/>
  <c r="E245" i="4"/>
  <c r="G245" i="4" s="1"/>
  <c r="D245" i="4"/>
  <c r="C245" i="4"/>
  <c r="J244" i="4"/>
  <c r="I244" i="4"/>
  <c r="H244" i="4"/>
  <c r="F244" i="4"/>
  <c r="E244" i="4"/>
  <c r="G244" i="4" s="1"/>
  <c r="D244" i="4"/>
  <c r="C244" i="4"/>
  <c r="J243" i="4"/>
  <c r="I243" i="4"/>
  <c r="H243" i="4"/>
  <c r="F243" i="4"/>
  <c r="E243" i="4"/>
  <c r="G243" i="4" s="1"/>
  <c r="D243" i="4"/>
  <c r="C243" i="4"/>
  <c r="J242" i="4"/>
  <c r="I242" i="4"/>
  <c r="H242" i="4"/>
  <c r="F242" i="4"/>
  <c r="E242" i="4"/>
  <c r="D242" i="4"/>
  <c r="C242" i="4"/>
  <c r="J241" i="4"/>
  <c r="I241" i="4"/>
  <c r="H241" i="4"/>
  <c r="F241" i="4"/>
  <c r="E241" i="4"/>
  <c r="G241" i="4" s="1"/>
  <c r="D241" i="4"/>
  <c r="C241" i="4"/>
  <c r="J240" i="4"/>
  <c r="I240" i="4"/>
  <c r="H240" i="4"/>
  <c r="F240" i="4"/>
  <c r="E240" i="4"/>
  <c r="G240" i="4" s="1"/>
  <c r="D240" i="4"/>
  <c r="C240" i="4"/>
  <c r="J239" i="4"/>
  <c r="I239" i="4"/>
  <c r="H239" i="4"/>
  <c r="F239" i="4"/>
  <c r="E239" i="4"/>
  <c r="G239" i="4" s="1"/>
  <c r="D239" i="4"/>
  <c r="C239" i="4"/>
  <c r="J238" i="4"/>
  <c r="I238" i="4"/>
  <c r="H238" i="4"/>
  <c r="F238" i="4"/>
  <c r="G238" i="4" s="1"/>
  <c r="E238" i="4"/>
  <c r="D238" i="4"/>
  <c r="C238" i="4"/>
  <c r="J237" i="4"/>
  <c r="I237" i="4"/>
  <c r="H237" i="4"/>
  <c r="F237" i="4"/>
  <c r="E237" i="4"/>
  <c r="D237" i="4"/>
  <c r="C237" i="4"/>
  <c r="J236" i="4"/>
  <c r="I236" i="4"/>
  <c r="H236" i="4"/>
  <c r="F236" i="4"/>
  <c r="E236" i="4"/>
  <c r="G236" i="4" s="1"/>
  <c r="D236" i="4"/>
  <c r="C236" i="4"/>
  <c r="J235" i="4"/>
  <c r="I235" i="4"/>
  <c r="H235" i="4"/>
  <c r="F235" i="4"/>
  <c r="E235" i="4"/>
  <c r="G235" i="4" s="1"/>
  <c r="D235" i="4"/>
  <c r="C235" i="4"/>
  <c r="J234" i="4"/>
  <c r="I234" i="4"/>
  <c r="H234" i="4"/>
  <c r="F234" i="4"/>
  <c r="E234" i="4"/>
  <c r="D234" i="4"/>
  <c r="C234" i="4"/>
  <c r="J233" i="4"/>
  <c r="I233" i="4"/>
  <c r="H233" i="4"/>
  <c r="F233" i="4"/>
  <c r="E233" i="4"/>
  <c r="D233" i="4"/>
  <c r="C233" i="4"/>
  <c r="J232" i="4"/>
  <c r="I232" i="4"/>
  <c r="H232" i="4"/>
  <c r="F232" i="4"/>
  <c r="E232" i="4"/>
  <c r="G232" i="4" s="1"/>
  <c r="D232" i="4"/>
  <c r="C232" i="4"/>
  <c r="J231" i="4"/>
  <c r="I231" i="4"/>
  <c r="H231" i="4"/>
  <c r="F231" i="4"/>
  <c r="E231" i="4"/>
  <c r="D231" i="4"/>
  <c r="C231" i="4"/>
  <c r="J230" i="4"/>
  <c r="I230" i="4"/>
  <c r="H230" i="4"/>
  <c r="F230" i="4"/>
  <c r="E230" i="4"/>
  <c r="D230" i="4"/>
  <c r="C230" i="4"/>
  <c r="J229" i="4"/>
  <c r="I229" i="4"/>
  <c r="H229" i="4"/>
  <c r="F229" i="4"/>
  <c r="E229" i="4"/>
  <c r="G229" i="4" s="1"/>
  <c r="D229" i="4"/>
  <c r="C229" i="4"/>
  <c r="J228" i="4"/>
  <c r="I228" i="4"/>
  <c r="H228" i="4"/>
  <c r="F228" i="4"/>
  <c r="E228" i="4"/>
  <c r="G228" i="4" s="1"/>
  <c r="D228" i="4"/>
  <c r="C228" i="4"/>
  <c r="J227" i="4"/>
  <c r="I227" i="4"/>
  <c r="H227" i="4"/>
  <c r="F227" i="4"/>
  <c r="E227" i="4"/>
  <c r="G227" i="4" s="1"/>
  <c r="D227" i="4"/>
  <c r="C227" i="4"/>
  <c r="J226" i="4"/>
  <c r="I226" i="4"/>
  <c r="H226" i="4"/>
  <c r="F226" i="4"/>
  <c r="G226" i="4" s="1"/>
  <c r="E226" i="4"/>
  <c r="D226" i="4"/>
  <c r="C226" i="4"/>
  <c r="J225" i="4"/>
  <c r="I225" i="4"/>
  <c r="H225" i="4"/>
  <c r="F225" i="4"/>
  <c r="E225" i="4"/>
  <c r="G225" i="4" s="1"/>
  <c r="D225" i="4"/>
  <c r="C225" i="4"/>
  <c r="J224" i="4"/>
  <c r="I224" i="4"/>
  <c r="H224" i="4"/>
  <c r="F224" i="4"/>
  <c r="G224" i="4" s="1"/>
  <c r="E224" i="4"/>
  <c r="D224" i="4"/>
  <c r="C224" i="4"/>
  <c r="J223" i="4"/>
  <c r="I223" i="4"/>
  <c r="H223" i="4"/>
  <c r="F223" i="4"/>
  <c r="E223" i="4"/>
  <c r="G223" i="4" s="1"/>
  <c r="D223" i="4"/>
  <c r="C223" i="4"/>
  <c r="J222" i="4"/>
  <c r="I222" i="4"/>
  <c r="H222" i="4"/>
  <c r="F222" i="4"/>
  <c r="G222" i="4" s="1"/>
  <c r="E222" i="4"/>
  <c r="D222" i="4"/>
  <c r="C222" i="4"/>
  <c r="J221" i="4"/>
  <c r="I221" i="4"/>
  <c r="H221" i="4"/>
  <c r="F221" i="4"/>
  <c r="E221" i="4"/>
  <c r="D221" i="4"/>
  <c r="C221" i="4"/>
  <c r="J220" i="4"/>
  <c r="I220" i="4"/>
  <c r="H220" i="4"/>
  <c r="F220" i="4"/>
  <c r="G220" i="4" s="1"/>
  <c r="E220" i="4"/>
  <c r="D220" i="4"/>
  <c r="C220" i="4"/>
  <c r="J219" i="4"/>
  <c r="I219" i="4"/>
  <c r="H219" i="4"/>
  <c r="F219" i="4"/>
  <c r="E219" i="4"/>
  <c r="D219" i="4"/>
  <c r="C219" i="4"/>
  <c r="J218" i="4"/>
  <c r="I218" i="4"/>
  <c r="H218" i="4"/>
  <c r="F218" i="4"/>
  <c r="G218" i="4" s="1"/>
  <c r="E218" i="4"/>
  <c r="D218" i="4"/>
  <c r="C218" i="4"/>
  <c r="J217" i="4"/>
  <c r="I217" i="4"/>
  <c r="H217" i="4"/>
  <c r="F217" i="4"/>
  <c r="E217" i="4"/>
  <c r="D217" i="4"/>
  <c r="C217" i="4"/>
  <c r="J216" i="4"/>
  <c r="I216" i="4"/>
  <c r="H216" i="4"/>
  <c r="G216" i="4"/>
  <c r="F216" i="4"/>
  <c r="E216" i="4"/>
  <c r="D216" i="4"/>
  <c r="C216" i="4"/>
  <c r="J215" i="4"/>
  <c r="I215" i="4"/>
  <c r="H215" i="4"/>
  <c r="F215" i="4"/>
  <c r="E215" i="4"/>
  <c r="D215" i="4"/>
  <c r="C215" i="4"/>
  <c r="J214" i="4"/>
  <c r="I214" i="4"/>
  <c r="H214" i="4"/>
  <c r="F214" i="4"/>
  <c r="G214" i="4" s="1"/>
  <c r="E214" i="4"/>
  <c r="D214" i="4"/>
  <c r="C214" i="4"/>
  <c r="J213" i="4"/>
  <c r="I213" i="4"/>
  <c r="H213" i="4"/>
  <c r="F213" i="4"/>
  <c r="E213" i="4"/>
  <c r="D213" i="4"/>
  <c r="C213" i="4"/>
  <c r="J212" i="4"/>
  <c r="I212" i="4"/>
  <c r="H212" i="4"/>
  <c r="F212" i="4"/>
  <c r="E212" i="4"/>
  <c r="G212" i="4" s="1"/>
  <c r="D212" i="4"/>
  <c r="C212" i="4"/>
  <c r="J211" i="4"/>
  <c r="I211" i="4"/>
  <c r="H211" i="4"/>
  <c r="F211" i="4"/>
  <c r="E211" i="4"/>
  <c r="G211" i="4" s="1"/>
  <c r="D211" i="4"/>
  <c r="C211" i="4"/>
  <c r="J210" i="4"/>
  <c r="I210" i="4"/>
  <c r="H210" i="4"/>
  <c r="F210" i="4"/>
  <c r="G210" i="4" s="1"/>
  <c r="E210" i="4"/>
  <c r="D210" i="4"/>
  <c r="C210" i="4"/>
  <c r="J209" i="4"/>
  <c r="I209" i="4"/>
  <c r="H209" i="4"/>
  <c r="F209" i="4"/>
  <c r="E209" i="4"/>
  <c r="D209" i="4"/>
  <c r="C209" i="4"/>
  <c r="J208" i="4"/>
  <c r="I208" i="4"/>
  <c r="H208" i="4"/>
  <c r="F208" i="4"/>
  <c r="E208" i="4"/>
  <c r="G208" i="4" s="1"/>
  <c r="D208" i="4"/>
  <c r="C208" i="4"/>
  <c r="J207" i="4"/>
  <c r="I207" i="4"/>
  <c r="H207" i="4"/>
  <c r="F207" i="4"/>
  <c r="E207" i="4"/>
  <c r="G207" i="4" s="1"/>
  <c r="D207" i="4"/>
  <c r="C207" i="4"/>
  <c r="J206" i="4"/>
  <c r="I206" i="4"/>
  <c r="H206" i="4"/>
  <c r="F206" i="4"/>
  <c r="E206" i="4"/>
  <c r="D206" i="4"/>
  <c r="C206" i="4"/>
  <c r="J205" i="4"/>
  <c r="I205" i="4"/>
  <c r="H205" i="4"/>
  <c r="F205" i="4"/>
  <c r="E205" i="4"/>
  <c r="D205" i="4"/>
  <c r="C205" i="4"/>
  <c r="J204" i="4"/>
  <c r="I204" i="4"/>
  <c r="H204" i="4"/>
  <c r="G204" i="4"/>
  <c r="F204" i="4"/>
  <c r="E204" i="4"/>
  <c r="D204" i="4"/>
  <c r="C204" i="4"/>
  <c r="J203" i="4"/>
  <c r="I203" i="4"/>
  <c r="H203" i="4"/>
  <c r="F203" i="4"/>
  <c r="E203" i="4"/>
  <c r="G203" i="4" s="1"/>
  <c r="D203" i="4"/>
  <c r="C203" i="4"/>
  <c r="J202" i="4"/>
  <c r="I202" i="4"/>
  <c r="H202" i="4"/>
  <c r="F202" i="4"/>
  <c r="E202" i="4"/>
  <c r="D202" i="4"/>
  <c r="C202" i="4"/>
  <c r="J201" i="4"/>
  <c r="I201" i="4"/>
  <c r="H201" i="4"/>
  <c r="F201" i="4"/>
  <c r="E201" i="4"/>
  <c r="G201" i="4" s="1"/>
  <c r="D201" i="4"/>
  <c r="C201" i="4"/>
  <c r="J200" i="4"/>
  <c r="I200" i="4"/>
  <c r="H200" i="4"/>
  <c r="G200" i="4"/>
  <c r="F200" i="4"/>
  <c r="E200" i="4"/>
  <c r="D200" i="4"/>
  <c r="C200" i="4"/>
  <c r="J199" i="4"/>
  <c r="I199" i="4"/>
  <c r="H199" i="4"/>
  <c r="F199" i="4"/>
  <c r="E199" i="4"/>
  <c r="G199" i="4" s="1"/>
  <c r="D199" i="4"/>
  <c r="C199" i="4"/>
  <c r="J198" i="4"/>
  <c r="I198" i="4"/>
  <c r="H198" i="4"/>
  <c r="F198" i="4"/>
  <c r="E198" i="4"/>
  <c r="D198" i="4"/>
  <c r="C198" i="4"/>
  <c r="J197" i="4"/>
  <c r="I197" i="4"/>
  <c r="H197" i="4"/>
  <c r="F197" i="4"/>
  <c r="E197" i="4"/>
  <c r="G197" i="4" s="1"/>
  <c r="D197" i="4"/>
  <c r="C197" i="4"/>
  <c r="J196" i="4"/>
  <c r="I196" i="4"/>
  <c r="H196" i="4"/>
  <c r="F196" i="4"/>
  <c r="E196" i="4"/>
  <c r="G196" i="4" s="1"/>
  <c r="D196" i="4"/>
  <c r="C196" i="4"/>
  <c r="J195" i="4"/>
  <c r="I195" i="4"/>
  <c r="H195" i="4"/>
  <c r="F195" i="4"/>
  <c r="E195" i="4"/>
  <c r="D195" i="4"/>
  <c r="C195" i="4"/>
  <c r="J194" i="4"/>
  <c r="I194" i="4"/>
  <c r="H194" i="4"/>
  <c r="F194" i="4"/>
  <c r="G194" i="4" s="1"/>
  <c r="E194" i="4"/>
  <c r="D194" i="4"/>
  <c r="C194" i="4"/>
  <c r="J193" i="4"/>
  <c r="I193" i="4"/>
  <c r="H193" i="4"/>
  <c r="F193" i="4"/>
  <c r="E193" i="4"/>
  <c r="G193" i="4" s="1"/>
  <c r="D193" i="4"/>
  <c r="C193" i="4"/>
  <c r="J192" i="4"/>
  <c r="I192" i="4"/>
  <c r="H192" i="4"/>
  <c r="F192" i="4"/>
  <c r="E192" i="4"/>
  <c r="G192" i="4" s="1"/>
  <c r="D192" i="4"/>
  <c r="C192" i="4"/>
  <c r="J191" i="4"/>
  <c r="I191" i="4"/>
  <c r="H191" i="4"/>
  <c r="F191" i="4"/>
  <c r="E191" i="4"/>
  <c r="G191" i="4" s="1"/>
  <c r="D191" i="4"/>
  <c r="C191" i="4"/>
  <c r="J190" i="4"/>
  <c r="I190" i="4"/>
  <c r="H190" i="4"/>
  <c r="F190" i="4"/>
  <c r="G190" i="4" s="1"/>
  <c r="E190" i="4"/>
  <c r="D190" i="4"/>
  <c r="C190" i="4"/>
  <c r="J189" i="4"/>
  <c r="I189" i="4"/>
  <c r="H189" i="4"/>
  <c r="F189" i="4"/>
  <c r="E189" i="4"/>
  <c r="D189" i="4"/>
  <c r="C189" i="4"/>
  <c r="J188" i="4"/>
  <c r="I188" i="4"/>
  <c r="H188" i="4"/>
  <c r="F188" i="4"/>
  <c r="E188" i="4"/>
  <c r="G188" i="4" s="1"/>
  <c r="D188" i="4"/>
  <c r="C188" i="4"/>
  <c r="J187" i="4"/>
  <c r="I187" i="4"/>
  <c r="H187" i="4"/>
  <c r="F187" i="4"/>
  <c r="E187" i="4"/>
  <c r="G187" i="4" s="1"/>
  <c r="D187" i="4"/>
  <c r="C187" i="4"/>
  <c r="J186" i="4"/>
  <c r="I186" i="4"/>
  <c r="H186" i="4"/>
  <c r="F186" i="4"/>
  <c r="E186" i="4"/>
  <c r="D186" i="4"/>
  <c r="C186" i="4"/>
  <c r="J185" i="4"/>
  <c r="I185" i="4"/>
  <c r="H185" i="4"/>
  <c r="F185" i="4"/>
  <c r="E185" i="4"/>
  <c r="D185" i="4"/>
  <c r="C185" i="4"/>
  <c r="J184" i="4"/>
  <c r="I184" i="4"/>
  <c r="H184" i="4"/>
  <c r="F184" i="4"/>
  <c r="E184" i="4"/>
  <c r="G184" i="4" s="1"/>
  <c r="D184" i="4"/>
  <c r="C184" i="4"/>
  <c r="J183" i="4"/>
  <c r="I183" i="4"/>
  <c r="H183" i="4"/>
  <c r="F183" i="4"/>
  <c r="E183" i="4"/>
  <c r="D183" i="4"/>
  <c r="C183" i="4"/>
  <c r="J182" i="4"/>
  <c r="I182" i="4"/>
  <c r="H182" i="4"/>
  <c r="F182" i="4"/>
  <c r="E182" i="4"/>
  <c r="D182" i="4"/>
  <c r="C182" i="4"/>
  <c r="J181" i="4"/>
  <c r="I181" i="4"/>
  <c r="H181" i="4"/>
  <c r="F181" i="4"/>
  <c r="E181" i="4"/>
  <c r="G181" i="4" s="1"/>
  <c r="D181" i="4"/>
  <c r="C181" i="4"/>
  <c r="J180" i="4"/>
  <c r="I180" i="4"/>
  <c r="H180" i="4"/>
  <c r="G180" i="4"/>
  <c r="F180" i="4"/>
  <c r="E180" i="4"/>
  <c r="D180" i="4"/>
  <c r="C180" i="4"/>
  <c r="J179" i="4"/>
  <c r="I179" i="4"/>
  <c r="H179" i="4"/>
  <c r="F179" i="4"/>
  <c r="E179" i="4"/>
  <c r="D179" i="4"/>
  <c r="C179" i="4"/>
  <c r="J178" i="4"/>
  <c r="I178" i="4"/>
  <c r="H178" i="4"/>
  <c r="F178" i="4"/>
  <c r="G178" i="4" s="1"/>
  <c r="E178" i="4"/>
  <c r="D178" i="4"/>
  <c r="C178" i="4"/>
  <c r="J177" i="4"/>
  <c r="I177" i="4"/>
  <c r="H177" i="4"/>
  <c r="F177" i="4"/>
  <c r="E177" i="4"/>
  <c r="G177" i="4" s="1"/>
  <c r="D177" i="4"/>
  <c r="C177" i="4"/>
  <c r="J176" i="4"/>
  <c r="I176" i="4"/>
  <c r="H176" i="4"/>
  <c r="F176" i="4"/>
  <c r="G176" i="4" s="1"/>
  <c r="E176" i="4"/>
  <c r="D176" i="4"/>
  <c r="C176" i="4"/>
  <c r="J175" i="4"/>
  <c r="I175" i="4"/>
  <c r="H175" i="4"/>
  <c r="F175" i="4"/>
  <c r="E175" i="4"/>
  <c r="G175" i="4" s="1"/>
  <c r="D175" i="4"/>
  <c r="C175" i="4"/>
  <c r="J174" i="4"/>
  <c r="I174" i="4"/>
  <c r="H174" i="4"/>
  <c r="F174" i="4"/>
  <c r="G174" i="4" s="1"/>
  <c r="E174" i="4"/>
  <c r="D174" i="4"/>
  <c r="C174" i="4"/>
  <c r="J173" i="4"/>
  <c r="I173" i="4"/>
  <c r="H173" i="4"/>
  <c r="F173" i="4"/>
  <c r="E173" i="4"/>
  <c r="D173" i="4"/>
  <c r="C173" i="4"/>
  <c r="J172" i="4"/>
  <c r="I172" i="4"/>
  <c r="H172" i="4"/>
  <c r="F172" i="4"/>
  <c r="G172" i="4" s="1"/>
  <c r="E172" i="4"/>
  <c r="D172" i="4"/>
  <c r="C172" i="4"/>
  <c r="J171" i="4"/>
  <c r="I171" i="4"/>
  <c r="H171" i="4"/>
  <c r="F171" i="4"/>
  <c r="E171" i="4"/>
  <c r="D171" i="4"/>
  <c r="C171" i="4"/>
  <c r="J170" i="4"/>
  <c r="I170" i="4"/>
  <c r="H170" i="4"/>
  <c r="F170" i="4"/>
  <c r="E170" i="4"/>
  <c r="D170" i="4"/>
  <c r="C170" i="4"/>
  <c r="J169" i="4"/>
  <c r="I169" i="4"/>
  <c r="H169" i="4"/>
  <c r="F169" i="4"/>
  <c r="E169" i="4"/>
  <c r="D169" i="4"/>
  <c r="C169" i="4"/>
  <c r="J168" i="4"/>
  <c r="I168" i="4"/>
  <c r="H168" i="4"/>
  <c r="G168" i="4"/>
  <c r="F168" i="4"/>
  <c r="E168" i="4"/>
  <c r="D168" i="4"/>
  <c r="C168" i="4"/>
  <c r="J167" i="4"/>
  <c r="I167" i="4"/>
  <c r="H167" i="4"/>
  <c r="F167" i="4"/>
  <c r="E167" i="4"/>
  <c r="D167" i="4"/>
  <c r="C167" i="4"/>
  <c r="J166" i="4"/>
  <c r="I166" i="4"/>
  <c r="H166" i="4"/>
  <c r="F166" i="4"/>
  <c r="G166" i="4" s="1"/>
  <c r="E166" i="4"/>
  <c r="D166" i="4"/>
  <c r="C166" i="4"/>
  <c r="J165" i="4"/>
  <c r="I165" i="4"/>
  <c r="H165" i="4"/>
  <c r="F165" i="4"/>
  <c r="E165" i="4"/>
  <c r="G165" i="4" s="1"/>
  <c r="D165" i="4"/>
  <c r="C165" i="4"/>
  <c r="J164" i="4"/>
  <c r="I164" i="4"/>
  <c r="H164" i="4"/>
  <c r="F164" i="4"/>
  <c r="E164" i="4"/>
  <c r="G164" i="4" s="1"/>
  <c r="D164" i="4"/>
  <c r="C164" i="4"/>
  <c r="J163" i="4"/>
  <c r="I163" i="4"/>
  <c r="H163" i="4"/>
  <c r="F163" i="4"/>
  <c r="E163" i="4"/>
  <c r="G163" i="4" s="1"/>
  <c r="D163" i="4"/>
  <c r="C163" i="4"/>
  <c r="J162" i="4"/>
  <c r="I162" i="4"/>
  <c r="H162" i="4"/>
  <c r="F162" i="4"/>
  <c r="G162" i="4" s="1"/>
  <c r="E162" i="4"/>
  <c r="D162" i="4"/>
  <c r="C162" i="4"/>
  <c r="J161" i="4"/>
  <c r="I161" i="4"/>
  <c r="H161" i="4"/>
  <c r="F161" i="4"/>
  <c r="E161" i="4"/>
  <c r="D161" i="4"/>
  <c r="C161" i="4"/>
  <c r="J160" i="4"/>
  <c r="I160" i="4"/>
  <c r="H160" i="4"/>
  <c r="F160" i="4"/>
  <c r="E160" i="4"/>
  <c r="G160" i="4" s="1"/>
  <c r="D160" i="4"/>
  <c r="C160" i="4"/>
  <c r="J159" i="4"/>
  <c r="I159" i="4"/>
  <c r="H159" i="4"/>
  <c r="F159" i="4"/>
  <c r="E159" i="4"/>
  <c r="G159" i="4" s="1"/>
  <c r="D159" i="4"/>
  <c r="C159" i="4"/>
  <c r="J158" i="4"/>
  <c r="I158" i="4"/>
  <c r="H158" i="4"/>
  <c r="F158" i="4"/>
  <c r="E158" i="4"/>
  <c r="D158" i="4"/>
  <c r="C158" i="4"/>
  <c r="J157" i="4"/>
  <c r="I157" i="4"/>
  <c r="H157" i="4"/>
  <c r="F157" i="4"/>
  <c r="E157" i="4"/>
  <c r="D157" i="4"/>
  <c r="C157" i="4"/>
  <c r="J156" i="4"/>
  <c r="I156" i="4"/>
  <c r="H156" i="4"/>
  <c r="G156" i="4"/>
  <c r="F156" i="4"/>
  <c r="E156" i="4"/>
  <c r="D156" i="4"/>
  <c r="C156" i="4"/>
  <c r="J155" i="4"/>
  <c r="I155" i="4"/>
  <c r="H155" i="4"/>
  <c r="F155" i="4"/>
  <c r="E155" i="4"/>
  <c r="G155" i="4" s="1"/>
  <c r="D155" i="4"/>
  <c r="C155" i="4"/>
  <c r="J154" i="4"/>
  <c r="I154" i="4"/>
  <c r="H154" i="4"/>
  <c r="F154" i="4"/>
  <c r="E154" i="4"/>
  <c r="D154" i="4"/>
  <c r="C154" i="4"/>
  <c r="J153" i="4"/>
  <c r="I153" i="4"/>
  <c r="H153" i="4"/>
  <c r="F153" i="4"/>
  <c r="E153" i="4"/>
  <c r="G153" i="4" s="1"/>
  <c r="D153" i="4"/>
  <c r="C153" i="4"/>
  <c r="J152" i="4"/>
  <c r="I152" i="4"/>
  <c r="H152" i="4"/>
  <c r="G152" i="4"/>
  <c r="F152" i="4"/>
  <c r="E152" i="4"/>
  <c r="D152" i="4"/>
  <c r="C152" i="4"/>
  <c r="J151" i="4"/>
  <c r="I151" i="4"/>
  <c r="H151" i="4"/>
  <c r="F151" i="4"/>
  <c r="E151" i="4"/>
  <c r="G151" i="4" s="1"/>
  <c r="D151" i="4"/>
  <c r="C151" i="4"/>
  <c r="J150" i="4"/>
  <c r="I150" i="4"/>
  <c r="H150" i="4"/>
  <c r="F150" i="4"/>
  <c r="E150" i="4"/>
  <c r="D150" i="4"/>
  <c r="C150" i="4"/>
  <c r="J149" i="4"/>
  <c r="I149" i="4"/>
  <c r="H149" i="4"/>
  <c r="F149" i="4"/>
  <c r="E149" i="4"/>
  <c r="G149" i="4" s="1"/>
  <c r="D149" i="4"/>
  <c r="C149" i="4"/>
  <c r="J148" i="4"/>
  <c r="I148" i="4"/>
  <c r="H148" i="4"/>
  <c r="F148" i="4"/>
  <c r="E148" i="4"/>
  <c r="G148" i="4" s="1"/>
  <c r="D148" i="4"/>
  <c r="C148" i="4"/>
  <c r="J147" i="4"/>
  <c r="I147" i="4"/>
  <c r="H147" i="4"/>
  <c r="F147" i="4"/>
  <c r="E147" i="4"/>
  <c r="D147" i="4"/>
  <c r="C147" i="4"/>
  <c r="J146" i="4"/>
  <c r="I146" i="4"/>
  <c r="H146" i="4"/>
  <c r="F146" i="4"/>
  <c r="E146" i="4"/>
  <c r="D146" i="4"/>
  <c r="C146" i="4"/>
  <c r="J145" i="4"/>
  <c r="I145" i="4"/>
  <c r="H145" i="4"/>
  <c r="F145" i="4"/>
  <c r="E145" i="4"/>
  <c r="G145" i="4" s="1"/>
  <c r="D145" i="4"/>
  <c r="C145" i="4"/>
  <c r="J144" i="4"/>
  <c r="I144" i="4"/>
  <c r="H144" i="4"/>
  <c r="F144" i="4"/>
  <c r="E144" i="4"/>
  <c r="G144" i="4" s="1"/>
  <c r="D144" i="4"/>
  <c r="C144" i="4"/>
  <c r="J143" i="4"/>
  <c r="I143" i="4"/>
  <c r="H143" i="4"/>
  <c r="F143" i="4"/>
  <c r="E143" i="4"/>
  <c r="D143" i="4"/>
  <c r="C143" i="4"/>
  <c r="J142" i="4"/>
  <c r="I142" i="4"/>
  <c r="H142" i="4"/>
  <c r="F142" i="4"/>
  <c r="G142" i="4" s="1"/>
  <c r="E142" i="4"/>
  <c r="D142" i="4"/>
  <c r="C142" i="4"/>
  <c r="J141" i="4"/>
  <c r="I141" i="4"/>
  <c r="H141" i="4"/>
  <c r="F141" i="4"/>
  <c r="E141" i="4"/>
  <c r="D141" i="4"/>
  <c r="C141" i="4"/>
  <c r="J140" i="4"/>
  <c r="I140" i="4"/>
  <c r="H140" i="4"/>
  <c r="F140" i="4"/>
  <c r="E140" i="4"/>
  <c r="G140" i="4" s="1"/>
  <c r="D140" i="4"/>
  <c r="C140" i="4"/>
  <c r="J139" i="4"/>
  <c r="I139" i="4"/>
  <c r="H139" i="4"/>
  <c r="F139" i="4"/>
  <c r="E139" i="4"/>
  <c r="G139" i="4" s="1"/>
  <c r="D139" i="4"/>
  <c r="C139" i="4"/>
  <c r="J138" i="4"/>
  <c r="I138" i="4"/>
  <c r="H138" i="4"/>
  <c r="F138" i="4"/>
  <c r="G138" i="4" s="1"/>
  <c r="E138" i="4"/>
  <c r="D138" i="4"/>
  <c r="C138" i="4"/>
  <c r="J137" i="4"/>
  <c r="I137" i="4"/>
  <c r="H137" i="4"/>
  <c r="F137" i="4"/>
  <c r="E137" i="4"/>
  <c r="D137" i="4"/>
  <c r="C137" i="4"/>
  <c r="J136" i="4"/>
  <c r="I136" i="4"/>
  <c r="H136" i="4"/>
  <c r="F136" i="4"/>
  <c r="E136" i="4"/>
  <c r="G136" i="4" s="1"/>
  <c r="D136" i="4"/>
  <c r="C136" i="4"/>
  <c r="J135" i="4"/>
  <c r="I135" i="4"/>
  <c r="H135" i="4"/>
  <c r="F135" i="4"/>
  <c r="E135" i="4"/>
  <c r="D135" i="4"/>
  <c r="C135" i="4"/>
  <c r="J134" i="4"/>
  <c r="I134" i="4"/>
  <c r="H134" i="4"/>
  <c r="F134" i="4"/>
  <c r="E134" i="4"/>
  <c r="D134" i="4"/>
  <c r="C134" i="4"/>
  <c r="J133" i="4"/>
  <c r="I133" i="4"/>
  <c r="H133" i="4"/>
  <c r="F133" i="4"/>
  <c r="E133" i="4"/>
  <c r="D133" i="4"/>
  <c r="C133" i="4"/>
  <c r="J132" i="4"/>
  <c r="I132" i="4"/>
  <c r="H132" i="4"/>
  <c r="G132" i="4"/>
  <c r="F132" i="4"/>
  <c r="E132" i="4"/>
  <c r="D132" i="4"/>
  <c r="C132" i="4"/>
  <c r="J131" i="4"/>
  <c r="I131" i="4"/>
  <c r="H131" i="4"/>
  <c r="F131" i="4"/>
  <c r="E131" i="4"/>
  <c r="G131" i="4" s="1"/>
  <c r="D131" i="4"/>
  <c r="C131" i="4"/>
  <c r="J130" i="4"/>
  <c r="I130" i="4"/>
  <c r="H130" i="4"/>
  <c r="F130" i="4"/>
  <c r="G130" i="4" s="1"/>
  <c r="E130" i="4"/>
  <c r="D130" i="4"/>
  <c r="C130" i="4"/>
  <c r="J129" i="4"/>
  <c r="I129" i="4"/>
  <c r="H129" i="4"/>
  <c r="F129" i="4"/>
  <c r="E129" i="4"/>
  <c r="G129" i="4" s="1"/>
  <c r="D129" i="4"/>
  <c r="C129" i="4"/>
  <c r="J128" i="4"/>
  <c r="I128" i="4"/>
  <c r="H128" i="4"/>
  <c r="G128" i="4"/>
  <c r="F128" i="4"/>
  <c r="E128" i="4"/>
  <c r="D128" i="4"/>
  <c r="C128" i="4"/>
  <c r="J127" i="4"/>
  <c r="I127" i="4"/>
  <c r="H127" i="4"/>
  <c r="F127" i="4"/>
  <c r="E127" i="4"/>
  <c r="G127" i="4" s="1"/>
  <c r="D127" i="4"/>
  <c r="C127" i="4"/>
  <c r="J126" i="4"/>
  <c r="I126" i="4"/>
  <c r="H126" i="4"/>
  <c r="F126" i="4"/>
  <c r="E126" i="4"/>
  <c r="D126" i="4"/>
  <c r="C126" i="4"/>
  <c r="J125" i="4"/>
  <c r="I125" i="4"/>
  <c r="H125" i="4"/>
  <c r="F125" i="4"/>
  <c r="E125" i="4"/>
  <c r="D125" i="4"/>
  <c r="C125" i="4"/>
  <c r="J124" i="4"/>
  <c r="I124" i="4"/>
  <c r="H124" i="4"/>
  <c r="F124" i="4"/>
  <c r="G124" i="4" s="1"/>
  <c r="E124" i="4"/>
  <c r="D124" i="4"/>
  <c r="C124" i="4"/>
  <c r="J123" i="4"/>
  <c r="I123" i="4"/>
  <c r="H123" i="4"/>
  <c r="F123" i="4"/>
  <c r="E123" i="4"/>
  <c r="D123" i="4"/>
  <c r="C123" i="4"/>
  <c r="J122" i="4"/>
  <c r="I122" i="4"/>
  <c r="H122" i="4"/>
  <c r="F122" i="4"/>
  <c r="E122" i="4"/>
  <c r="D122" i="4"/>
  <c r="C122" i="4"/>
  <c r="J121" i="4"/>
  <c r="I121" i="4"/>
  <c r="H121" i="4"/>
  <c r="F121" i="4"/>
  <c r="E121" i="4"/>
  <c r="G121" i="4" s="1"/>
  <c r="D121" i="4"/>
  <c r="C121" i="4"/>
  <c r="J120" i="4"/>
  <c r="I120" i="4"/>
  <c r="H120" i="4"/>
  <c r="F120" i="4"/>
  <c r="E120" i="4"/>
  <c r="G120" i="4" s="1"/>
  <c r="D120" i="4"/>
  <c r="C120" i="4"/>
  <c r="J119" i="4"/>
  <c r="I119" i="4"/>
  <c r="H119" i="4"/>
  <c r="F119" i="4"/>
  <c r="E119" i="4"/>
  <c r="D119" i="4"/>
  <c r="C119" i="4"/>
  <c r="J118" i="4"/>
  <c r="I118" i="4"/>
  <c r="H118" i="4"/>
  <c r="F118" i="4"/>
  <c r="G118" i="4" s="1"/>
  <c r="E118" i="4"/>
  <c r="D118" i="4"/>
  <c r="C118" i="4"/>
  <c r="J117" i="4"/>
  <c r="I117" i="4"/>
  <c r="H117" i="4"/>
  <c r="F117" i="4"/>
  <c r="E117" i="4"/>
  <c r="G117" i="4" s="1"/>
  <c r="D117" i="4"/>
  <c r="C117" i="4"/>
  <c r="J116" i="4"/>
  <c r="I116" i="4"/>
  <c r="H116" i="4"/>
  <c r="F116" i="4"/>
  <c r="E116" i="4"/>
  <c r="G116" i="4" s="1"/>
  <c r="D116" i="4"/>
  <c r="C116" i="4"/>
  <c r="J115" i="4"/>
  <c r="I115" i="4"/>
  <c r="H115" i="4"/>
  <c r="F115" i="4"/>
  <c r="E115" i="4"/>
  <c r="G115" i="4" s="1"/>
  <c r="D115" i="4"/>
  <c r="C115" i="4"/>
  <c r="J114" i="4"/>
  <c r="I114" i="4"/>
  <c r="H114" i="4"/>
  <c r="F114" i="4"/>
  <c r="G114" i="4" s="1"/>
  <c r="E114" i="4"/>
  <c r="D114" i="4"/>
  <c r="C114" i="4"/>
  <c r="J113" i="4"/>
  <c r="I113" i="4"/>
  <c r="H113" i="4"/>
  <c r="F113" i="4"/>
  <c r="E113" i="4"/>
  <c r="D113" i="4"/>
  <c r="C113" i="4"/>
  <c r="J112" i="4"/>
  <c r="I112" i="4"/>
  <c r="H112" i="4"/>
  <c r="F112" i="4"/>
  <c r="E112" i="4"/>
  <c r="G112" i="4" s="1"/>
  <c r="D112" i="4"/>
  <c r="C112" i="4"/>
  <c r="J111" i="4"/>
  <c r="I111" i="4"/>
  <c r="H111" i="4"/>
  <c r="F111" i="4"/>
  <c r="E111" i="4"/>
  <c r="G111" i="4" s="1"/>
  <c r="D111" i="4"/>
  <c r="C111" i="4"/>
  <c r="J110" i="4"/>
  <c r="I110" i="4"/>
  <c r="H110" i="4"/>
  <c r="F110" i="4"/>
  <c r="E110" i="4"/>
  <c r="D110" i="4"/>
  <c r="C110" i="4"/>
  <c r="J109" i="4"/>
  <c r="I109" i="4"/>
  <c r="H109" i="4"/>
  <c r="F109" i="4"/>
  <c r="E109" i="4"/>
  <c r="D109" i="4"/>
  <c r="C109" i="4"/>
  <c r="J108" i="4"/>
  <c r="I108" i="4"/>
  <c r="H108" i="4"/>
  <c r="G108" i="4"/>
  <c r="F108" i="4"/>
  <c r="E108" i="4"/>
  <c r="D108" i="4"/>
  <c r="C108" i="4"/>
  <c r="J107" i="4"/>
  <c r="I107" i="4"/>
  <c r="H107" i="4"/>
  <c r="F107" i="4"/>
  <c r="E107" i="4"/>
  <c r="G107" i="4" s="1"/>
  <c r="D107" i="4"/>
  <c r="C107" i="4"/>
  <c r="J106" i="4"/>
  <c r="I106" i="4"/>
  <c r="H106" i="4"/>
  <c r="F106" i="4"/>
  <c r="E106" i="4"/>
  <c r="D106" i="4"/>
  <c r="C106" i="4"/>
  <c r="J105" i="4"/>
  <c r="I105" i="4"/>
  <c r="H105" i="4"/>
  <c r="F105" i="4"/>
  <c r="E105" i="4"/>
  <c r="G105" i="4" s="1"/>
  <c r="D105" i="4"/>
  <c r="C105" i="4"/>
  <c r="J104" i="4"/>
  <c r="I104" i="4"/>
  <c r="H104" i="4"/>
  <c r="G104" i="4"/>
  <c r="F104" i="4"/>
  <c r="E104" i="4"/>
  <c r="D104" i="4"/>
  <c r="C104" i="4"/>
  <c r="J103" i="4"/>
  <c r="I103" i="4"/>
  <c r="H103" i="4"/>
  <c r="F103" i="4"/>
  <c r="E103" i="4"/>
  <c r="G103" i="4" s="1"/>
  <c r="D103" i="4"/>
  <c r="C103" i="4"/>
  <c r="J102" i="4"/>
  <c r="I102" i="4"/>
  <c r="H102" i="4"/>
  <c r="F102" i="4"/>
  <c r="E102" i="4"/>
  <c r="D102" i="4"/>
  <c r="C102" i="4"/>
  <c r="J101" i="4"/>
  <c r="I101" i="4"/>
  <c r="H101" i="4"/>
  <c r="F101" i="4"/>
  <c r="E101" i="4"/>
  <c r="G101" i="4" s="1"/>
  <c r="D101" i="4"/>
  <c r="C101" i="4"/>
  <c r="J100" i="4"/>
  <c r="I100" i="4"/>
  <c r="H100" i="4"/>
  <c r="F100" i="4"/>
  <c r="E100" i="4"/>
  <c r="G100" i="4" s="1"/>
  <c r="D100" i="4"/>
  <c r="C100" i="4"/>
  <c r="J99" i="4"/>
  <c r="I99" i="4"/>
  <c r="H99" i="4"/>
  <c r="F99" i="4"/>
  <c r="E99" i="4"/>
  <c r="D99" i="4"/>
  <c r="C99" i="4"/>
  <c r="J98" i="4"/>
  <c r="I98" i="4"/>
  <c r="H98" i="4"/>
  <c r="F98" i="4"/>
  <c r="E98" i="4"/>
  <c r="D98" i="4"/>
  <c r="C98" i="4"/>
  <c r="J97" i="4"/>
  <c r="I97" i="4"/>
  <c r="H97" i="4"/>
  <c r="F97" i="4"/>
  <c r="E97" i="4"/>
  <c r="G97" i="4" s="1"/>
  <c r="D97" i="4"/>
  <c r="C97" i="4"/>
  <c r="J96" i="4"/>
  <c r="I96" i="4"/>
  <c r="H96" i="4"/>
  <c r="F96" i="4"/>
  <c r="E96" i="4"/>
  <c r="G96" i="4" s="1"/>
  <c r="D96" i="4"/>
  <c r="C96" i="4"/>
  <c r="J95" i="4"/>
  <c r="I95" i="4"/>
  <c r="H95" i="4"/>
  <c r="F95" i="4"/>
  <c r="E95" i="4"/>
  <c r="D95" i="4"/>
  <c r="C95" i="4"/>
  <c r="J94" i="4"/>
  <c r="I94" i="4"/>
  <c r="H94" i="4"/>
  <c r="F94" i="4"/>
  <c r="G94" i="4" s="1"/>
  <c r="E94" i="4"/>
  <c r="D94" i="4"/>
  <c r="C94" i="4"/>
  <c r="J93" i="4"/>
  <c r="I93" i="4"/>
  <c r="H93" i="4"/>
  <c r="F93" i="4"/>
  <c r="E93" i="4"/>
  <c r="G93" i="4" s="1"/>
  <c r="D93" i="4"/>
  <c r="C93" i="4"/>
  <c r="J92" i="4"/>
  <c r="I92" i="4"/>
  <c r="H92" i="4"/>
  <c r="F92" i="4"/>
  <c r="E92" i="4"/>
  <c r="G92" i="4" s="1"/>
  <c r="D92" i="4"/>
  <c r="C92" i="4"/>
  <c r="J91" i="4"/>
  <c r="I91" i="4"/>
  <c r="H91" i="4"/>
  <c r="F91" i="4"/>
  <c r="E91" i="4"/>
  <c r="G91" i="4" s="1"/>
  <c r="D91" i="4"/>
  <c r="C91" i="4"/>
  <c r="J90" i="4"/>
  <c r="I90" i="4"/>
  <c r="H90" i="4"/>
  <c r="F90" i="4"/>
  <c r="G90" i="4" s="1"/>
  <c r="E90" i="4"/>
  <c r="D90" i="4"/>
  <c r="C90" i="4"/>
  <c r="J89" i="4"/>
  <c r="I89" i="4"/>
  <c r="H89" i="4"/>
  <c r="F89" i="4"/>
  <c r="E89" i="4"/>
  <c r="D89" i="4"/>
  <c r="C89" i="4"/>
  <c r="J88" i="4"/>
  <c r="I88" i="4"/>
  <c r="H88" i="4"/>
  <c r="F88" i="4"/>
  <c r="E88" i="4"/>
  <c r="G88" i="4" s="1"/>
  <c r="D88" i="4"/>
  <c r="C88" i="4"/>
  <c r="J87" i="4"/>
  <c r="I87" i="4"/>
  <c r="H87" i="4"/>
  <c r="F87" i="4"/>
  <c r="E87" i="4"/>
  <c r="D87" i="4"/>
  <c r="C87" i="4"/>
  <c r="J86" i="4"/>
  <c r="I86" i="4"/>
  <c r="H86" i="4"/>
  <c r="F86" i="4"/>
  <c r="E86" i="4"/>
  <c r="D86" i="4"/>
  <c r="C86" i="4"/>
  <c r="J85" i="4"/>
  <c r="I85" i="4"/>
  <c r="H85" i="4"/>
  <c r="F85" i="4"/>
  <c r="E85" i="4"/>
  <c r="D85" i="4"/>
  <c r="C85" i="4"/>
  <c r="J84" i="4"/>
  <c r="I84" i="4"/>
  <c r="H84" i="4"/>
  <c r="F84" i="4"/>
  <c r="E84" i="4"/>
  <c r="G84" i="4" s="1"/>
  <c r="D84" i="4"/>
  <c r="C84" i="4"/>
  <c r="J83" i="4"/>
  <c r="I83" i="4"/>
  <c r="H83" i="4"/>
  <c r="F83" i="4"/>
  <c r="E83" i="4"/>
  <c r="G83" i="4" s="1"/>
  <c r="D83" i="4"/>
  <c r="C83" i="4"/>
  <c r="J82" i="4"/>
  <c r="I82" i="4"/>
  <c r="H82" i="4"/>
  <c r="F82" i="4"/>
  <c r="G82" i="4" s="1"/>
  <c r="E82" i="4"/>
  <c r="D82" i="4"/>
  <c r="C82" i="4"/>
  <c r="J81" i="4"/>
  <c r="I81" i="4"/>
  <c r="H81" i="4"/>
  <c r="F81" i="4"/>
  <c r="E81" i="4"/>
  <c r="G81" i="4" s="1"/>
  <c r="D81" i="4"/>
  <c r="C81" i="4"/>
  <c r="J80" i="4"/>
  <c r="I80" i="4"/>
  <c r="H80" i="4"/>
  <c r="G80" i="4"/>
  <c r="F80" i="4"/>
  <c r="E80" i="4"/>
  <c r="D80" i="4"/>
  <c r="C80" i="4"/>
  <c r="J79" i="4"/>
  <c r="I79" i="4"/>
  <c r="H79" i="4"/>
  <c r="F79" i="4"/>
  <c r="E79" i="4"/>
  <c r="G79" i="4" s="1"/>
  <c r="D79" i="4"/>
  <c r="C79" i="4"/>
  <c r="J78" i="4"/>
  <c r="I78" i="4"/>
  <c r="H78" i="4"/>
  <c r="F78" i="4"/>
  <c r="E78" i="4"/>
  <c r="D78" i="4"/>
  <c r="C78" i="4"/>
  <c r="J77" i="4"/>
  <c r="I77" i="4"/>
  <c r="H77" i="4"/>
  <c r="F77" i="4"/>
  <c r="E77" i="4"/>
  <c r="D77" i="4"/>
  <c r="C77" i="4"/>
  <c r="J76" i="4"/>
  <c r="I76" i="4"/>
  <c r="H76" i="4"/>
  <c r="F76" i="4"/>
  <c r="G76" i="4" s="1"/>
  <c r="E76" i="4"/>
  <c r="D76" i="4"/>
  <c r="C76" i="4"/>
  <c r="J75" i="4"/>
  <c r="I75" i="4"/>
  <c r="H75" i="4"/>
  <c r="F75" i="4"/>
  <c r="E75" i="4"/>
  <c r="D75" i="4"/>
  <c r="C75" i="4"/>
  <c r="J74" i="4"/>
  <c r="I74" i="4"/>
  <c r="H74" i="4"/>
  <c r="F74" i="4"/>
  <c r="E74" i="4"/>
  <c r="D74" i="4"/>
  <c r="C74" i="4"/>
  <c r="J73" i="4"/>
  <c r="I73" i="4"/>
  <c r="H73" i="4"/>
  <c r="F73" i="4"/>
  <c r="E73" i="4"/>
  <c r="G73" i="4" s="1"/>
  <c r="D73" i="4"/>
  <c r="C73" i="4"/>
  <c r="J72" i="4"/>
  <c r="I72" i="4"/>
  <c r="H72" i="4"/>
  <c r="F72" i="4"/>
  <c r="E72" i="4"/>
  <c r="G72" i="4" s="1"/>
  <c r="D72" i="4"/>
  <c r="C72" i="4"/>
  <c r="J71" i="4"/>
  <c r="I71" i="4"/>
  <c r="H71" i="4"/>
  <c r="F71" i="4"/>
  <c r="E71" i="4"/>
  <c r="D71" i="4"/>
  <c r="C71" i="4"/>
  <c r="J70" i="4"/>
  <c r="I70" i="4"/>
  <c r="H70" i="4"/>
  <c r="F70" i="4"/>
  <c r="G70" i="4" s="1"/>
  <c r="E70" i="4"/>
  <c r="D70" i="4"/>
  <c r="C70" i="4"/>
  <c r="J69" i="4"/>
  <c r="I69" i="4"/>
  <c r="H69" i="4"/>
  <c r="F69" i="4"/>
  <c r="E69" i="4"/>
  <c r="G69" i="4" s="1"/>
  <c r="D69" i="4"/>
  <c r="C69" i="4"/>
  <c r="J68" i="4"/>
  <c r="I68" i="4"/>
  <c r="H68" i="4"/>
  <c r="F68" i="4"/>
  <c r="E68" i="4"/>
  <c r="G68" i="4" s="1"/>
  <c r="D68" i="4"/>
  <c r="C68" i="4"/>
  <c r="J67" i="4"/>
  <c r="I67" i="4"/>
  <c r="H67" i="4"/>
  <c r="F67" i="4"/>
  <c r="E67" i="4"/>
  <c r="G67" i="4" s="1"/>
  <c r="D67" i="4"/>
  <c r="C67" i="4"/>
  <c r="J66" i="4"/>
  <c r="I66" i="4"/>
  <c r="H66" i="4"/>
  <c r="F66" i="4"/>
  <c r="G66" i="4" s="1"/>
  <c r="E66" i="4"/>
  <c r="D66" i="4"/>
  <c r="C66" i="4"/>
  <c r="J65" i="4"/>
  <c r="I65" i="4"/>
  <c r="H65" i="4"/>
  <c r="F65" i="4"/>
  <c r="E65" i="4"/>
  <c r="D65" i="4"/>
  <c r="C65" i="4"/>
  <c r="J64" i="4"/>
  <c r="I64" i="4"/>
  <c r="H64" i="4"/>
  <c r="F64" i="4"/>
  <c r="E64" i="4"/>
  <c r="G64" i="4" s="1"/>
  <c r="D64" i="4"/>
  <c r="C64" i="4"/>
  <c r="J63" i="4"/>
  <c r="I63" i="4"/>
  <c r="H63" i="4"/>
  <c r="F63" i="4"/>
  <c r="E63" i="4"/>
  <c r="G63" i="4" s="1"/>
  <c r="D63" i="4"/>
  <c r="C63" i="4"/>
  <c r="J62" i="4"/>
  <c r="I62" i="4"/>
  <c r="H62" i="4"/>
  <c r="F62" i="4"/>
  <c r="E62" i="4"/>
  <c r="D62" i="4"/>
  <c r="C62" i="4"/>
  <c r="J61" i="4"/>
  <c r="I61" i="4"/>
  <c r="H61" i="4"/>
  <c r="F61" i="4"/>
  <c r="E61" i="4"/>
  <c r="D61" i="4"/>
  <c r="C61" i="4"/>
  <c r="J60" i="4"/>
  <c r="I60" i="4"/>
  <c r="H60" i="4"/>
  <c r="G60" i="4"/>
  <c r="F60" i="4"/>
  <c r="E60" i="4"/>
  <c r="D60" i="4"/>
  <c r="C60" i="4"/>
  <c r="J59" i="4"/>
  <c r="I59" i="4"/>
  <c r="H59" i="4"/>
  <c r="F59" i="4"/>
  <c r="E59" i="4"/>
  <c r="G59" i="4" s="1"/>
  <c r="D59" i="4"/>
  <c r="C59" i="4"/>
  <c r="J58" i="4"/>
  <c r="I58" i="4"/>
  <c r="H58" i="4"/>
  <c r="F58" i="4"/>
  <c r="E58" i="4"/>
  <c r="D58" i="4"/>
  <c r="C58" i="4"/>
  <c r="J57" i="4"/>
  <c r="I57" i="4"/>
  <c r="H57" i="4"/>
  <c r="F57" i="4"/>
  <c r="E57" i="4"/>
  <c r="G57" i="4" s="1"/>
  <c r="B210" i="8" s="1"/>
  <c r="D210" i="8" s="1"/>
  <c r="O209" i="8" s="1"/>
  <c r="D57" i="4"/>
  <c r="C57" i="4"/>
  <c r="J56" i="4"/>
  <c r="I56" i="4"/>
  <c r="H56" i="4"/>
  <c r="G56" i="4"/>
  <c r="B209" i="8" s="1"/>
  <c r="D209" i="8" s="1"/>
  <c r="O208" i="8" s="1"/>
  <c r="F56" i="4"/>
  <c r="E56" i="4"/>
  <c r="D56" i="4"/>
  <c r="C56" i="4"/>
  <c r="J55" i="4"/>
  <c r="I55" i="4"/>
  <c r="H55" i="4"/>
  <c r="F55" i="4"/>
  <c r="E55" i="4"/>
  <c r="G55" i="4" s="1"/>
  <c r="B208" i="8" s="1"/>
  <c r="D208" i="8" s="1"/>
  <c r="O207" i="8" s="1"/>
  <c r="D55" i="4"/>
  <c r="C55" i="4"/>
  <c r="J54" i="4"/>
  <c r="I54" i="4"/>
  <c r="H54" i="4"/>
  <c r="F54" i="4"/>
  <c r="E54" i="4"/>
  <c r="D54" i="4"/>
  <c r="C54" i="4"/>
  <c r="J53" i="4"/>
  <c r="I53" i="4"/>
  <c r="H53" i="4"/>
  <c r="F53" i="4"/>
  <c r="E53" i="4"/>
  <c r="G53" i="4" s="1"/>
  <c r="B206" i="8" s="1"/>
  <c r="D206" i="8" s="1"/>
  <c r="O205" i="8" s="1"/>
  <c r="D53" i="4"/>
  <c r="C53" i="4"/>
  <c r="J52" i="4"/>
  <c r="I52" i="4"/>
  <c r="H52" i="4"/>
  <c r="F52" i="4"/>
  <c r="E52" i="4"/>
  <c r="G52" i="4" s="1"/>
  <c r="B205" i="8" s="1"/>
  <c r="D205" i="8" s="1"/>
  <c r="O204" i="8" s="1"/>
  <c r="D52" i="4"/>
  <c r="C52" i="4"/>
  <c r="J51" i="4"/>
  <c r="I51" i="4"/>
  <c r="H51" i="4"/>
  <c r="F51" i="4"/>
  <c r="E51" i="4"/>
  <c r="D51" i="4"/>
  <c r="C51" i="4"/>
  <c r="J50" i="4"/>
  <c r="I50" i="4"/>
  <c r="H50" i="4"/>
  <c r="F50" i="4"/>
  <c r="E50" i="4"/>
  <c r="D50" i="4"/>
  <c r="C50" i="4"/>
  <c r="J49" i="4"/>
  <c r="I49" i="4"/>
  <c r="H49" i="4"/>
  <c r="F49" i="4"/>
  <c r="E49" i="4"/>
  <c r="G49" i="4" s="1"/>
  <c r="B202" i="8" s="1"/>
  <c r="D202" i="8" s="1"/>
  <c r="O201" i="8" s="1"/>
  <c r="D49" i="4"/>
  <c r="C49" i="4"/>
  <c r="J48" i="4"/>
  <c r="I48" i="4"/>
  <c r="H48" i="4"/>
  <c r="F48" i="4"/>
  <c r="E48" i="4"/>
  <c r="G48" i="4" s="1"/>
  <c r="B201" i="8" s="1"/>
  <c r="D201" i="8" s="1"/>
  <c r="O200" i="8" s="1"/>
  <c r="D48" i="4"/>
  <c r="C48" i="4"/>
  <c r="J47" i="4"/>
  <c r="I47" i="4"/>
  <c r="H47" i="4"/>
  <c r="F47" i="4"/>
  <c r="E47" i="4"/>
  <c r="D47" i="4"/>
  <c r="C47" i="4"/>
  <c r="J46" i="4"/>
  <c r="I46" i="4"/>
  <c r="H46" i="4"/>
  <c r="F46" i="4"/>
  <c r="G46" i="4" s="1"/>
  <c r="B199" i="8" s="1"/>
  <c r="D199" i="8" s="1"/>
  <c r="O198" i="8" s="1"/>
  <c r="E46" i="4"/>
  <c r="D46" i="4"/>
  <c r="C46" i="4"/>
  <c r="J45" i="4"/>
  <c r="I45" i="4"/>
  <c r="H45" i="4"/>
  <c r="F45" i="4"/>
  <c r="E45" i="4"/>
  <c r="G45" i="4" s="1"/>
  <c r="B198" i="8" s="1"/>
  <c r="D198" i="8" s="1"/>
  <c r="O197" i="8" s="1"/>
  <c r="D45" i="4"/>
  <c r="C45" i="4"/>
  <c r="J44" i="4"/>
  <c r="I44" i="4"/>
  <c r="H44" i="4"/>
  <c r="F44" i="4"/>
  <c r="E44" i="4"/>
  <c r="G44" i="4" s="1"/>
  <c r="B197" i="8" s="1"/>
  <c r="D197" i="8" s="1"/>
  <c r="O196" i="8" s="1"/>
  <c r="D44" i="4"/>
  <c r="C44" i="4"/>
  <c r="J43" i="4"/>
  <c r="I43" i="4"/>
  <c r="H43" i="4"/>
  <c r="F43" i="4"/>
  <c r="E43" i="4"/>
  <c r="D43" i="4"/>
  <c r="C43" i="4"/>
  <c r="J42" i="4"/>
  <c r="I42" i="4"/>
  <c r="H42" i="4"/>
  <c r="F42" i="4"/>
  <c r="G42" i="4" s="1"/>
  <c r="B195" i="8" s="1"/>
  <c r="D195" i="8" s="1"/>
  <c r="O194" i="8" s="1"/>
  <c r="E42" i="4"/>
  <c r="D42" i="4"/>
  <c r="C42" i="4"/>
  <c r="J41" i="4"/>
  <c r="I41" i="4"/>
  <c r="H41" i="4"/>
  <c r="F41" i="4"/>
  <c r="E41" i="4"/>
  <c r="D41" i="4"/>
  <c r="C41" i="4"/>
  <c r="J40" i="4"/>
  <c r="I40" i="4"/>
  <c r="H40" i="4"/>
  <c r="F40" i="4"/>
  <c r="E40" i="4"/>
  <c r="G40" i="4" s="1"/>
  <c r="B193" i="8" s="1"/>
  <c r="D193" i="8" s="1"/>
  <c r="O192" i="8" s="1"/>
  <c r="D40" i="4"/>
  <c r="C40" i="4"/>
  <c r="J39" i="4"/>
  <c r="I39" i="4"/>
  <c r="H39" i="4"/>
  <c r="F39" i="4"/>
  <c r="E39" i="4"/>
  <c r="D39" i="4"/>
  <c r="C39" i="4"/>
  <c r="J38" i="4"/>
  <c r="I38" i="4"/>
  <c r="H38" i="4"/>
  <c r="F38" i="4"/>
  <c r="G38" i="4" s="1"/>
  <c r="B191" i="8" s="1"/>
  <c r="D191" i="8" s="1"/>
  <c r="O190" i="8" s="1"/>
  <c r="E38" i="4"/>
  <c r="D38" i="4"/>
  <c r="C38" i="4"/>
  <c r="J37" i="4"/>
  <c r="I37" i="4"/>
  <c r="H37" i="4"/>
  <c r="F37" i="4"/>
  <c r="E37" i="4"/>
  <c r="D37" i="4"/>
  <c r="C37" i="4"/>
  <c r="J36" i="4"/>
  <c r="I36" i="4"/>
  <c r="H36" i="4"/>
  <c r="G36" i="4"/>
  <c r="B189" i="8" s="1"/>
  <c r="D189" i="8" s="1"/>
  <c r="O188" i="8" s="1"/>
  <c r="F36" i="4"/>
  <c r="E36" i="4"/>
  <c r="D36" i="4"/>
  <c r="C36" i="4"/>
  <c r="J35" i="4"/>
  <c r="I35" i="4"/>
  <c r="H35" i="4"/>
  <c r="F35" i="4"/>
  <c r="E35" i="4"/>
  <c r="G35" i="4" s="1"/>
  <c r="B188" i="8" s="1"/>
  <c r="D188" i="8" s="1"/>
  <c r="O187" i="8" s="1"/>
  <c r="D35" i="4"/>
  <c r="C35" i="4"/>
  <c r="J34" i="4"/>
  <c r="I34" i="4"/>
  <c r="H34" i="4"/>
  <c r="F34" i="4"/>
  <c r="G34" i="4" s="1"/>
  <c r="B187" i="8" s="1"/>
  <c r="D187" i="8" s="1"/>
  <c r="O186" i="8" s="1"/>
  <c r="E34" i="4"/>
  <c r="D34" i="4"/>
  <c r="C34" i="4"/>
  <c r="J33" i="4"/>
  <c r="I33" i="4"/>
  <c r="H33" i="4"/>
  <c r="F33" i="4"/>
  <c r="E33" i="4"/>
  <c r="D33" i="4"/>
  <c r="C33" i="4"/>
  <c r="J32" i="4"/>
  <c r="I32" i="4"/>
  <c r="H32" i="4"/>
  <c r="G32" i="4"/>
  <c r="B185" i="8" s="1"/>
  <c r="D185" i="8" s="1"/>
  <c r="O184" i="8" s="1"/>
  <c r="F32" i="4"/>
  <c r="E32" i="4"/>
  <c r="D32" i="4"/>
  <c r="C32" i="4"/>
  <c r="J31" i="4"/>
  <c r="I31" i="4"/>
  <c r="H31" i="4"/>
  <c r="F31" i="4"/>
  <c r="E31" i="4"/>
  <c r="G31" i="4" s="1"/>
  <c r="B184" i="8" s="1"/>
  <c r="D184" i="8" s="1"/>
  <c r="O183" i="8" s="1"/>
  <c r="D31" i="4"/>
  <c r="C31" i="4"/>
  <c r="J30" i="4"/>
  <c r="I30" i="4"/>
  <c r="H30" i="4"/>
  <c r="F30" i="4"/>
  <c r="E30" i="4"/>
  <c r="D30" i="4"/>
  <c r="C30" i="4"/>
  <c r="J29" i="4"/>
  <c r="I29" i="4"/>
  <c r="H29" i="4"/>
  <c r="F29" i="4"/>
  <c r="E29" i="4"/>
  <c r="D29" i="4"/>
  <c r="C29" i="4"/>
  <c r="J28" i="4"/>
  <c r="I28" i="4"/>
  <c r="H28" i="4"/>
  <c r="G28" i="4"/>
  <c r="B181" i="8" s="1"/>
  <c r="D181" i="8" s="1"/>
  <c r="O180" i="8" s="1"/>
  <c r="F28" i="4"/>
  <c r="E28" i="4"/>
  <c r="D28" i="4"/>
  <c r="C28" i="4"/>
  <c r="J27" i="4"/>
  <c r="I27" i="4"/>
  <c r="H27" i="4"/>
  <c r="F27" i="4"/>
  <c r="E27" i="4"/>
  <c r="D27" i="4"/>
  <c r="C27" i="4"/>
  <c r="J26" i="4"/>
  <c r="I26" i="4"/>
  <c r="H26" i="4"/>
  <c r="F26" i="4"/>
  <c r="E26" i="4"/>
  <c r="D26" i="4"/>
  <c r="C26" i="4"/>
  <c r="J25" i="4"/>
  <c r="I25" i="4"/>
  <c r="H25" i="4"/>
  <c r="F25" i="4"/>
  <c r="E25" i="4"/>
  <c r="G25" i="4" s="1"/>
  <c r="B178" i="8" s="1"/>
  <c r="D178" i="8" s="1"/>
  <c r="O177" i="8" s="1"/>
  <c r="D25" i="4"/>
  <c r="C25" i="4"/>
  <c r="J24" i="4"/>
  <c r="I24" i="4"/>
  <c r="H24" i="4"/>
  <c r="F24" i="4"/>
  <c r="E24" i="4"/>
  <c r="G24" i="4" s="1"/>
  <c r="B177" i="8" s="1"/>
  <c r="D177" i="8" s="1"/>
  <c r="O176" i="8" s="1"/>
  <c r="D24" i="4"/>
  <c r="C24" i="4"/>
  <c r="J23" i="4"/>
  <c r="I23" i="4"/>
  <c r="H23" i="4"/>
  <c r="F23" i="4"/>
  <c r="E23" i="4"/>
  <c r="D23" i="4"/>
  <c r="C23" i="4"/>
  <c r="J22" i="4"/>
  <c r="I22" i="4"/>
  <c r="H22" i="4"/>
  <c r="F22" i="4"/>
  <c r="G22" i="4" s="1"/>
  <c r="B175" i="8" s="1"/>
  <c r="D175" i="8" s="1"/>
  <c r="O174" i="8" s="1"/>
  <c r="E22" i="4"/>
  <c r="D22" i="4"/>
  <c r="C22" i="4"/>
  <c r="J21" i="4"/>
  <c r="I21" i="4"/>
  <c r="H21" i="4"/>
  <c r="F21" i="4"/>
  <c r="E21" i="4"/>
  <c r="G21" i="4" s="1"/>
  <c r="B174" i="8" s="1"/>
  <c r="D174" i="8" s="1"/>
  <c r="O173" i="8" s="1"/>
  <c r="D21" i="4"/>
  <c r="C21" i="4"/>
  <c r="J20" i="4"/>
  <c r="I20" i="4"/>
  <c r="H20" i="4"/>
  <c r="F20" i="4"/>
  <c r="E20" i="4"/>
  <c r="G20" i="4" s="1"/>
  <c r="B173" i="8" s="1"/>
  <c r="D173" i="8" s="1"/>
  <c r="O172" i="8" s="1"/>
  <c r="D20" i="4"/>
  <c r="C20" i="4"/>
  <c r="J19" i="4"/>
  <c r="I19" i="4"/>
  <c r="H19" i="4"/>
  <c r="F19" i="4"/>
  <c r="E19" i="4"/>
  <c r="G19" i="4" s="1"/>
  <c r="B172" i="8" s="1"/>
  <c r="D172" i="8" s="1"/>
  <c r="O171" i="8" s="1"/>
  <c r="D19" i="4"/>
  <c r="C19" i="4"/>
  <c r="J18" i="4"/>
  <c r="I18" i="4"/>
  <c r="H18" i="4"/>
  <c r="F18" i="4"/>
  <c r="G18" i="4" s="1"/>
  <c r="B171" i="8" s="1"/>
  <c r="D171" i="8" s="1"/>
  <c r="O170" i="8" s="1"/>
  <c r="E18" i="4"/>
  <c r="D18" i="4"/>
  <c r="C18" i="4"/>
  <c r="J17" i="4"/>
  <c r="I17" i="4"/>
  <c r="H17" i="4"/>
  <c r="F17" i="4"/>
  <c r="E17" i="4"/>
  <c r="D17" i="4"/>
  <c r="C17" i="4"/>
  <c r="J16" i="4"/>
  <c r="I16" i="4"/>
  <c r="H16" i="4"/>
  <c r="F16" i="4"/>
  <c r="E16" i="4"/>
  <c r="G16" i="4" s="1"/>
  <c r="B169" i="8" s="1"/>
  <c r="D169" i="8" s="1"/>
  <c r="O168" i="8" s="1"/>
  <c r="D16" i="4"/>
  <c r="C16" i="4"/>
  <c r="J15" i="4"/>
  <c r="I15" i="4"/>
  <c r="H15" i="4"/>
  <c r="F15" i="4"/>
  <c r="E15" i="4"/>
  <c r="G15" i="4" s="1"/>
  <c r="B168" i="8" s="1"/>
  <c r="D168" i="8" s="1"/>
  <c r="D15" i="4"/>
  <c r="C15" i="4"/>
  <c r="J14" i="4"/>
  <c r="I14" i="4"/>
  <c r="H14" i="4"/>
  <c r="F14" i="4"/>
  <c r="E14" i="4"/>
  <c r="D14" i="4"/>
  <c r="C14" i="4"/>
  <c r="J13" i="4"/>
  <c r="I13" i="4"/>
  <c r="H13" i="4"/>
  <c r="F13" i="4"/>
  <c r="E13" i="4"/>
  <c r="D13" i="4"/>
  <c r="C13" i="4"/>
  <c r="J12" i="4"/>
  <c r="I12" i="4"/>
  <c r="H12" i="4"/>
  <c r="G12" i="4"/>
  <c r="B165" i="8" s="1"/>
  <c r="D165" i="8" s="1"/>
  <c r="O165" i="8" s="1"/>
  <c r="F12" i="4"/>
  <c r="E12" i="4"/>
  <c r="D12" i="4"/>
  <c r="C12" i="4"/>
  <c r="J11" i="4"/>
  <c r="I11" i="4"/>
  <c r="H11" i="4"/>
  <c r="F11" i="4"/>
  <c r="E11" i="4"/>
  <c r="G11" i="4" s="1"/>
  <c r="B164" i="8" s="1"/>
  <c r="D164" i="8" s="1"/>
  <c r="O164" i="8" s="1"/>
  <c r="D11" i="4"/>
  <c r="C11" i="4"/>
  <c r="J10" i="4"/>
  <c r="I10" i="4"/>
  <c r="H10" i="4"/>
  <c r="F10" i="4"/>
  <c r="E10" i="4"/>
  <c r="D10" i="4"/>
  <c r="C10" i="4"/>
  <c r="J9" i="4"/>
  <c r="I9" i="4"/>
  <c r="H9" i="4"/>
  <c r="F9" i="4"/>
  <c r="E9" i="4"/>
  <c r="G9" i="4" s="1"/>
  <c r="B162" i="8" s="1"/>
  <c r="D162" i="8" s="1"/>
  <c r="O162" i="8" s="1"/>
  <c r="D9" i="4"/>
  <c r="C9" i="4"/>
  <c r="J8" i="4"/>
  <c r="I8" i="4"/>
  <c r="H8" i="4"/>
  <c r="G8" i="4"/>
  <c r="B161" i="8" s="1"/>
  <c r="D161" i="8" s="1"/>
  <c r="O161" i="8" s="1"/>
  <c r="F8" i="4"/>
  <c r="E8" i="4"/>
  <c r="D8" i="4"/>
  <c r="C8" i="4"/>
  <c r="J7" i="4"/>
  <c r="I7" i="4"/>
  <c r="H7" i="4"/>
  <c r="F7" i="4"/>
  <c r="E7" i="4"/>
  <c r="D7" i="4"/>
  <c r="C7" i="4"/>
  <c r="J6" i="4"/>
  <c r="I6" i="4"/>
  <c r="H6" i="4"/>
  <c r="F6" i="4"/>
  <c r="E6" i="4"/>
  <c r="D6" i="4"/>
  <c r="C6" i="4"/>
  <c r="J5" i="4"/>
  <c r="I5" i="4"/>
  <c r="H5" i="4"/>
  <c r="F5" i="4"/>
  <c r="E5" i="4"/>
  <c r="G5" i="4" s="1"/>
  <c r="B158" i="8" s="1"/>
  <c r="D158" i="8" s="1"/>
  <c r="D5" i="4"/>
  <c r="C5" i="4"/>
  <c r="G16" i="3"/>
  <c r="F16" i="3"/>
  <c r="E16" i="3"/>
  <c r="D16" i="3"/>
  <c r="C16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D5" i="12" s="1"/>
  <c r="F5" i="12" s="1"/>
  <c r="G5" i="12" s="1"/>
  <c r="C4" i="3"/>
  <c r="D4" i="12" s="1"/>
  <c r="F4" i="12" s="1"/>
  <c r="G4" i="12" s="1"/>
  <c r="AD508" i="2"/>
  <c r="K1420" i="9" s="1"/>
  <c r="AC508" i="2"/>
  <c r="G1420" i="9" s="1"/>
  <c r="AB508" i="2"/>
  <c r="F1420" i="9" s="1"/>
  <c r="AA508" i="2"/>
  <c r="E1420" i="9" s="1"/>
  <c r="Y508" i="2"/>
  <c r="W508" i="2"/>
  <c r="V508" i="2"/>
  <c r="T508" i="2"/>
  <c r="Q508" i="2"/>
  <c r="X508" i="2" s="1"/>
  <c r="D508" i="2"/>
  <c r="AA336" i="9" s="1"/>
  <c r="AD507" i="2"/>
  <c r="K1419" i="9" s="1"/>
  <c r="AC507" i="2"/>
  <c r="G1419" i="9" s="1"/>
  <c r="AB507" i="2"/>
  <c r="F1419" i="9" s="1"/>
  <c r="AA507" i="2"/>
  <c r="E1419" i="9" s="1"/>
  <c r="Y507" i="2"/>
  <c r="W507" i="2"/>
  <c r="V507" i="2"/>
  <c r="T507" i="2"/>
  <c r="Q507" i="2"/>
  <c r="X507" i="2" s="1"/>
  <c r="D507" i="2"/>
  <c r="AD506" i="2"/>
  <c r="K1418" i="9" s="1"/>
  <c r="AC506" i="2"/>
  <c r="G1418" i="9" s="1"/>
  <c r="AB506" i="2"/>
  <c r="F1418" i="9" s="1"/>
  <c r="AA506" i="2"/>
  <c r="E1418" i="9" s="1"/>
  <c r="Y506" i="2"/>
  <c r="W506" i="2"/>
  <c r="V506" i="2"/>
  <c r="T506" i="2"/>
  <c r="Q506" i="2"/>
  <c r="X506" i="2" s="1"/>
  <c r="D506" i="2"/>
  <c r="AA334" i="9" s="1"/>
  <c r="AD505" i="2"/>
  <c r="K1417" i="9" s="1"/>
  <c r="AC505" i="2"/>
  <c r="G1417" i="9" s="1"/>
  <c r="AB505" i="2"/>
  <c r="F1417" i="9" s="1"/>
  <c r="AA505" i="2"/>
  <c r="E1417" i="9" s="1"/>
  <c r="Y505" i="2"/>
  <c r="W505" i="2"/>
  <c r="V505" i="2"/>
  <c r="T505" i="2"/>
  <c r="Q505" i="2"/>
  <c r="X505" i="2" s="1"/>
  <c r="D505" i="2"/>
  <c r="AD504" i="2"/>
  <c r="K1416" i="9" s="1"/>
  <c r="AC504" i="2"/>
  <c r="G1416" i="9" s="1"/>
  <c r="AB504" i="2"/>
  <c r="F1416" i="9" s="1"/>
  <c r="AA504" i="2"/>
  <c r="E1416" i="9" s="1"/>
  <c r="Y504" i="2"/>
  <c r="W504" i="2"/>
  <c r="V504" i="2"/>
  <c r="T504" i="2"/>
  <c r="Q504" i="2"/>
  <c r="X504" i="2" s="1"/>
  <c r="D504" i="2"/>
  <c r="AA332" i="9" s="1"/>
  <c r="AG503" i="2"/>
  <c r="AD503" i="2"/>
  <c r="AC503" i="2"/>
  <c r="AB503" i="2"/>
  <c r="AA503" i="2"/>
  <c r="Y503" i="2"/>
  <c r="W503" i="2"/>
  <c r="V503" i="2"/>
  <c r="T503" i="2"/>
  <c r="Q503" i="2"/>
  <c r="X503" i="2" s="1"/>
  <c r="D503" i="2"/>
  <c r="AD502" i="2"/>
  <c r="K1415" i="9" s="1"/>
  <c r="AC502" i="2"/>
  <c r="G1415" i="9" s="1"/>
  <c r="AB502" i="2"/>
  <c r="F1415" i="9" s="1"/>
  <c r="AA502" i="2"/>
  <c r="E1415" i="9" s="1"/>
  <c r="Y502" i="2"/>
  <c r="X502" i="2"/>
  <c r="W502" i="2"/>
  <c r="V502" i="2"/>
  <c r="T502" i="2"/>
  <c r="Q502" i="2"/>
  <c r="D502" i="2"/>
  <c r="AG501" i="2"/>
  <c r="J1414" i="9" s="1"/>
  <c r="AF501" i="2"/>
  <c r="I1414" i="9" s="1"/>
  <c r="AD501" i="2"/>
  <c r="K1414" i="9" s="1"/>
  <c r="AC501" i="2"/>
  <c r="G1414" i="9" s="1"/>
  <c r="AB501" i="2"/>
  <c r="F1414" i="9" s="1"/>
  <c r="AA501" i="2"/>
  <c r="E1414" i="9" s="1"/>
  <c r="Y501" i="2"/>
  <c r="W501" i="2"/>
  <c r="V501" i="2"/>
  <c r="T501" i="2"/>
  <c r="Q501" i="2"/>
  <c r="X501" i="2" s="1"/>
  <c r="D501" i="2"/>
  <c r="AA330" i="9" s="1"/>
  <c r="AD500" i="2"/>
  <c r="K1413" i="9" s="1"/>
  <c r="AC500" i="2"/>
  <c r="G1413" i="9" s="1"/>
  <c r="AB500" i="2"/>
  <c r="F1413" i="9" s="1"/>
  <c r="AA500" i="2"/>
  <c r="E1413" i="9" s="1"/>
  <c r="Y500" i="2"/>
  <c r="W500" i="2"/>
  <c r="V500" i="2"/>
  <c r="T500" i="2"/>
  <c r="Q500" i="2"/>
  <c r="X500" i="2" s="1"/>
  <c r="D500" i="2"/>
  <c r="AG499" i="2"/>
  <c r="J1412" i="9" s="1"/>
  <c r="AD499" i="2"/>
  <c r="K1412" i="9" s="1"/>
  <c r="AC499" i="2"/>
  <c r="G1412" i="9" s="1"/>
  <c r="AB499" i="2"/>
  <c r="F1412" i="9" s="1"/>
  <c r="AA499" i="2"/>
  <c r="E1412" i="9" s="1"/>
  <c r="Y499" i="2"/>
  <c r="W499" i="2"/>
  <c r="V499" i="2"/>
  <c r="T499" i="2"/>
  <c r="Q499" i="2"/>
  <c r="X499" i="2" s="1"/>
  <c r="D499" i="2"/>
  <c r="AA328" i="9" s="1"/>
  <c r="AD498" i="2"/>
  <c r="K1411" i="9" s="1"/>
  <c r="AC498" i="2"/>
  <c r="G1411" i="9" s="1"/>
  <c r="AB498" i="2"/>
  <c r="F1411" i="9" s="1"/>
  <c r="AA498" i="2"/>
  <c r="E1411" i="9" s="1"/>
  <c r="Y498" i="2"/>
  <c r="X498" i="2"/>
  <c r="W498" i="2"/>
  <c r="V498" i="2"/>
  <c r="T498" i="2"/>
  <c r="Q498" i="2"/>
  <c r="D498" i="2"/>
  <c r="AD497" i="2"/>
  <c r="K1410" i="9" s="1"/>
  <c r="AC497" i="2"/>
  <c r="G1410" i="9" s="1"/>
  <c r="AB497" i="2"/>
  <c r="F1410" i="9" s="1"/>
  <c r="AA497" i="2"/>
  <c r="E1410" i="9" s="1"/>
  <c r="Y497" i="2"/>
  <c r="W497" i="2"/>
  <c r="V497" i="2"/>
  <c r="T497" i="2"/>
  <c r="Q497" i="2"/>
  <c r="X497" i="2" s="1"/>
  <c r="D497" i="2"/>
  <c r="AA326" i="9" s="1"/>
  <c r="AD496" i="2"/>
  <c r="K1409" i="9" s="1"/>
  <c r="AC496" i="2"/>
  <c r="G1409" i="9" s="1"/>
  <c r="AB496" i="2"/>
  <c r="F1409" i="9" s="1"/>
  <c r="AA496" i="2"/>
  <c r="E1409" i="9" s="1"/>
  <c r="Y496" i="2"/>
  <c r="X496" i="2"/>
  <c r="W496" i="2"/>
  <c r="V496" i="2"/>
  <c r="T496" i="2"/>
  <c r="Q496" i="2"/>
  <c r="D496" i="2"/>
  <c r="AA325" i="9" s="1"/>
  <c r="AD495" i="2"/>
  <c r="AC495" i="2"/>
  <c r="AB495" i="2"/>
  <c r="AA495" i="2"/>
  <c r="Y495" i="2"/>
  <c r="W495" i="2"/>
  <c r="F2123" i="9" s="1"/>
  <c r="V495" i="2"/>
  <c r="B2123" i="9" s="1"/>
  <c r="T495" i="2"/>
  <c r="Q495" i="2"/>
  <c r="X495" i="2" s="1"/>
  <c r="D495" i="2"/>
  <c r="K437" i="4" s="1"/>
  <c r="AD494" i="2"/>
  <c r="K1408" i="9" s="1"/>
  <c r="AC494" i="2"/>
  <c r="G1408" i="9" s="1"/>
  <c r="AB494" i="2"/>
  <c r="F1408" i="9" s="1"/>
  <c r="AA494" i="2"/>
  <c r="E1408" i="9" s="1"/>
  <c r="Y494" i="2"/>
  <c r="X494" i="2"/>
  <c r="W494" i="2"/>
  <c r="V494" i="2"/>
  <c r="T494" i="2"/>
  <c r="Q494" i="2"/>
  <c r="D494" i="2"/>
  <c r="AA324" i="9" s="1"/>
  <c r="AF493" i="2"/>
  <c r="I1407" i="9" s="1"/>
  <c r="AD493" i="2"/>
  <c r="K1407" i="9" s="1"/>
  <c r="AC493" i="2"/>
  <c r="G1407" i="9" s="1"/>
  <c r="AB493" i="2"/>
  <c r="F1407" i="9" s="1"/>
  <c r="AA493" i="2"/>
  <c r="E1407" i="9" s="1"/>
  <c r="Y493" i="2"/>
  <c r="W493" i="2"/>
  <c r="V493" i="2"/>
  <c r="T493" i="2"/>
  <c r="Q493" i="2"/>
  <c r="X493" i="2" s="1"/>
  <c r="D493" i="2"/>
  <c r="AA323" i="9" s="1"/>
  <c r="AD492" i="2"/>
  <c r="K1406" i="9" s="1"/>
  <c r="AC492" i="2"/>
  <c r="G1406" i="9" s="1"/>
  <c r="AB492" i="2"/>
  <c r="F1406" i="9" s="1"/>
  <c r="AA492" i="2"/>
  <c r="E1406" i="9" s="1"/>
  <c r="Y492" i="2"/>
  <c r="X492" i="2"/>
  <c r="W492" i="2"/>
  <c r="V492" i="2"/>
  <c r="T492" i="2"/>
  <c r="Q492" i="2"/>
  <c r="D492" i="2"/>
  <c r="AA322" i="9" s="1"/>
  <c r="AD491" i="2"/>
  <c r="K1405" i="9" s="1"/>
  <c r="AC491" i="2"/>
  <c r="G1405" i="9" s="1"/>
  <c r="AB491" i="2"/>
  <c r="F1405" i="9" s="1"/>
  <c r="AA491" i="2"/>
  <c r="E1405" i="9" s="1"/>
  <c r="Y491" i="2"/>
  <c r="W491" i="2"/>
  <c r="V491" i="2"/>
  <c r="T491" i="2"/>
  <c r="Q491" i="2"/>
  <c r="X491" i="2" s="1"/>
  <c r="D491" i="2"/>
  <c r="AA321" i="9" s="1"/>
  <c r="AD490" i="2"/>
  <c r="AC490" i="2"/>
  <c r="AB490" i="2"/>
  <c r="AA490" i="2"/>
  <c r="Y490" i="2"/>
  <c r="W490" i="2"/>
  <c r="V490" i="2"/>
  <c r="T490" i="2"/>
  <c r="Q490" i="2"/>
  <c r="X490" i="2" s="1"/>
  <c r="D490" i="2"/>
  <c r="AD489" i="2"/>
  <c r="K1404" i="9" s="1"/>
  <c r="AC489" i="2"/>
  <c r="G1404" i="9" s="1"/>
  <c r="AB489" i="2"/>
  <c r="F1404" i="9" s="1"/>
  <c r="AA489" i="2"/>
  <c r="E1404" i="9" s="1"/>
  <c r="Y489" i="2"/>
  <c r="W489" i="2"/>
  <c r="V489" i="2"/>
  <c r="T489" i="2"/>
  <c r="Q489" i="2"/>
  <c r="X489" i="2" s="1"/>
  <c r="D489" i="2"/>
  <c r="AA320" i="9" s="1"/>
  <c r="AD488" i="2"/>
  <c r="K1403" i="9" s="1"/>
  <c r="AC488" i="2"/>
  <c r="G1403" i="9" s="1"/>
  <c r="AB488" i="2"/>
  <c r="F1403" i="9" s="1"/>
  <c r="AA488" i="2"/>
  <c r="E1403" i="9" s="1"/>
  <c r="Y488" i="2"/>
  <c r="W488" i="2"/>
  <c r="V488" i="2"/>
  <c r="T488" i="2"/>
  <c r="Q488" i="2"/>
  <c r="X488" i="2" s="1"/>
  <c r="D488" i="2"/>
  <c r="AA319" i="9" s="1"/>
  <c r="AG487" i="2"/>
  <c r="J1402" i="9" s="1"/>
  <c r="AD487" i="2"/>
  <c r="K1402" i="9" s="1"/>
  <c r="AC487" i="2"/>
  <c r="G1402" i="9" s="1"/>
  <c r="AB487" i="2"/>
  <c r="F1402" i="9" s="1"/>
  <c r="AA487" i="2"/>
  <c r="E1402" i="9" s="1"/>
  <c r="Y487" i="2"/>
  <c r="W487" i="2"/>
  <c r="V487" i="2"/>
  <c r="T487" i="2"/>
  <c r="Q487" i="2"/>
  <c r="X487" i="2" s="1"/>
  <c r="D487" i="2"/>
  <c r="AA318" i="9" s="1"/>
  <c r="AD486" i="2"/>
  <c r="K1401" i="9" s="1"/>
  <c r="AC486" i="2"/>
  <c r="G1401" i="9" s="1"/>
  <c r="AB486" i="2"/>
  <c r="F1401" i="9" s="1"/>
  <c r="AA486" i="2"/>
  <c r="E1401" i="9" s="1"/>
  <c r="Y486" i="2"/>
  <c r="W486" i="2"/>
  <c r="V486" i="2"/>
  <c r="T486" i="2"/>
  <c r="Q486" i="2"/>
  <c r="X486" i="2" s="1"/>
  <c r="D486" i="2"/>
  <c r="AA317" i="9" s="1"/>
  <c r="AG485" i="2"/>
  <c r="J1400" i="9" s="1"/>
  <c r="AF485" i="2"/>
  <c r="I1400" i="9" s="1"/>
  <c r="AD485" i="2"/>
  <c r="K1400" i="9" s="1"/>
  <c r="AC485" i="2"/>
  <c r="G1400" i="9" s="1"/>
  <c r="AB485" i="2"/>
  <c r="F1400" i="9" s="1"/>
  <c r="AA485" i="2"/>
  <c r="E1400" i="9" s="1"/>
  <c r="Y485" i="2"/>
  <c r="W485" i="2"/>
  <c r="V485" i="2"/>
  <c r="T485" i="2"/>
  <c r="Q485" i="2"/>
  <c r="X485" i="2" s="1"/>
  <c r="D485" i="2"/>
  <c r="AA316" i="9" s="1"/>
  <c r="AD484" i="2"/>
  <c r="K1399" i="9" s="1"/>
  <c r="AC484" i="2"/>
  <c r="G1399" i="9" s="1"/>
  <c r="AB484" i="2"/>
  <c r="F1399" i="9" s="1"/>
  <c r="AA484" i="2"/>
  <c r="E1399" i="9" s="1"/>
  <c r="Y484" i="2"/>
  <c r="X484" i="2"/>
  <c r="W484" i="2"/>
  <c r="V484" i="2"/>
  <c r="T484" i="2"/>
  <c r="Q484" i="2"/>
  <c r="D484" i="2"/>
  <c r="AA315" i="9" s="1"/>
  <c r="AG483" i="2"/>
  <c r="J1398" i="9" s="1"/>
  <c r="AD483" i="2"/>
  <c r="K1398" i="9" s="1"/>
  <c r="AC483" i="2"/>
  <c r="G1398" i="9" s="1"/>
  <c r="AB483" i="2"/>
  <c r="F1398" i="9" s="1"/>
  <c r="AA483" i="2"/>
  <c r="E1398" i="9" s="1"/>
  <c r="Y483" i="2"/>
  <c r="W483" i="2"/>
  <c r="V483" i="2"/>
  <c r="T483" i="2"/>
  <c r="Q483" i="2"/>
  <c r="X483" i="2" s="1"/>
  <c r="D483" i="2"/>
  <c r="AA314" i="9" s="1"/>
  <c r="AD482" i="2"/>
  <c r="K1397" i="9" s="1"/>
  <c r="AC482" i="2"/>
  <c r="G1397" i="9" s="1"/>
  <c r="AB482" i="2"/>
  <c r="F1397" i="9" s="1"/>
  <c r="AA482" i="2"/>
  <c r="E1397" i="9" s="1"/>
  <c r="Y482" i="2"/>
  <c r="W482" i="2"/>
  <c r="V482" i="2"/>
  <c r="T482" i="2"/>
  <c r="Q482" i="2"/>
  <c r="X482" i="2" s="1"/>
  <c r="D482" i="2"/>
  <c r="AA313" i="9" s="1"/>
  <c r="AD481" i="2"/>
  <c r="K1396" i="9" s="1"/>
  <c r="AC481" i="2"/>
  <c r="G1396" i="9" s="1"/>
  <c r="AB481" i="2"/>
  <c r="F1396" i="9" s="1"/>
  <c r="AA481" i="2"/>
  <c r="E1396" i="9" s="1"/>
  <c r="Y481" i="2"/>
  <c r="W481" i="2"/>
  <c r="V481" i="2"/>
  <c r="T481" i="2"/>
  <c r="Q481" i="2"/>
  <c r="X481" i="2" s="1"/>
  <c r="D481" i="2"/>
  <c r="AA312" i="9" s="1"/>
  <c r="AD480" i="2"/>
  <c r="K1395" i="9" s="1"/>
  <c r="AC480" i="2"/>
  <c r="G1395" i="9" s="1"/>
  <c r="AB480" i="2"/>
  <c r="F1395" i="9" s="1"/>
  <c r="AA480" i="2"/>
  <c r="E1395" i="9" s="1"/>
  <c r="Y480" i="2"/>
  <c r="X480" i="2"/>
  <c r="W480" i="2"/>
  <c r="V480" i="2"/>
  <c r="T480" i="2"/>
  <c r="Q480" i="2"/>
  <c r="D480" i="2"/>
  <c r="AA311" i="9" s="1"/>
  <c r="AD479" i="2"/>
  <c r="K1394" i="9" s="1"/>
  <c r="AC479" i="2"/>
  <c r="G1394" i="9" s="1"/>
  <c r="AB479" i="2"/>
  <c r="F1394" i="9" s="1"/>
  <c r="AA479" i="2"/>
  <c r="E1394" i="9" s="1"/>
  <c r="Y479" i="2"/>
  <c r="W479" i="2"/>
  <c r="V479" i="2"/>
  <c r="T479" i="2"/>
  <c r="Q479" i="2"/>
  <c r="X479" i="2" s="1"/>
  <c r="D479" i="2"/>
  <c r="AA310" i="9" s="1"/>
  <c r="AD478" i="2"/>
  <c r="K1393" i="9" s="1"/>
  <c r="AC478" i="2"/>
  <c r="G1393" i="9" s="1"/>
  <c r="AB478" i="2"/>
  <c r="F1393" i="9" s="1"/>
  <c r="AA478" i="2"/>
  <c r="E1393" i="9" s="1"/>
  <c r="Y478" i="2"/>
  <c r="X478" i="2"/>
  <c r="W478" i="2"/>
  <c r="V478" i="2"/>
  <c r="T478" i="2"/>
  <c r="Q478" i="2"/>
  <c r="D478" i="2"/>
  <c r="AA309" i="9" s="1"/>
  <c r="AG477" i="2"/>
  <c r="J1392" i="9" s="1"/>
  <c r="AF477" i="2"/>
  <c r="I1392" i="9" s="1"/>
  <c r="AD477" i="2"/>
  <c r="K1392" i="9" s="1"/>
  <c r="AC477" i="2"/>
  <c r="G1392" i="9" s="1"/>
  <c r="AB477" i="2"/>
  <c r="F1392" i="9" s="1"/>
  <c r="AA477" i="2"/>
  <c r="E1392" i="9" s="1"/>
  <c r="Y477" i="2"/>
  <c r="W477" i="2"/>
  <c r="V477" i="2"/>
  <c r="T477" i="2"/>
  <c r="Q477" i="2"/>
  <c r="X477" i="2" s="1"/>
  <c r="D477" i="2"/>
  <c r="AA308" i="9" s="1"/>
  <c r="AD476" i="2"/>
  <c r="K1391" i="9" s="1"/>
  <c r="AC476" i="2"/>
  <c r="G1391" i="9" s="1"/>
  <c r="AB476" i="2"/>
  <c r="F1391" i="9" s="1"/>
  <c r="AA476" i="2"/>
  <c r="E1391" i="9" s="1"/>
  <c r="Y476" i="2"/>
  <c r="X476" i="2"/>
  <c r="W476" i="2"/>
  <c r="V476" i="2"/>
  <c r="T476" i="2"/>
  <c r="Q476" i="2"/>
  <c r="D476" i="2"/>
  <c r="AA307" i="9" s="1"/>
  <c r="AD475" i="2"/>
  <c r="K1390" i="9" s="1"/>
  <c r="AC475" i="2"/>
  <c r="G1390" i="9" s="1"/>
  <c r="AB475" i="2"/>
  <c r="F1390" i="9" s="1"/>
  <c r="AA475" i="2"/>
  <c r="E1390" i="9" s="1"/>
  <c r="Y475" i="2"/>
  <c r="W475" i="2"/>
  <c r="V475" i="2"/>
  <c r="T475" i="2"/>
  <c r="Q475" i="2"/>
  <c r="X475" i="2" s="1"/>
  <c r="D475" i="2"/>
  <c r="AA306" i="9" s="1"/>
  <c r="AD474" i="2"/>
  <c r="K1389" i="9" s="1"/>
  <c r="AC474" i="2"/>
  <c r="G1389" i="9" s="1"/>
  <c r="AB474" i="2"/>
  <c r="F1389" i="9" s="1"/>
  <c r="AA474" i="2"/>
  <c r="E1389" i="9" s="1"/>
  <c r="Y474" i="2"/>
  <c r="W474" i="2"/>
  <c r="V474" i="2"/>
  <c r="T474" i="2"/>
  <c r="Q474" i="2"/>
  <c r="X474" i="2" s="1"/>
  <c r="D474" i="2"/>
  <c r="AA305" i="9" s="1"/>
  <c r="AD473" i="2"/>
  <c r="AC473" i="2"/>
  <c r="AB473" i="2"/>
  <c r="AA473" i="2"/>
  <c r="Y473" i="2"/>
  <c r="W473" i="2"/>
  <c r="V473" i="2"/>
  <c r="T473" i="2"/>
  <c r="Q473" i="2"/>
  <c r="X473" i="2" s="1"/>
  <c r="D473" i="2"/>
  <c r="AD472" i="2"/>
  <c r="K1388" i="9" s="1"/>
  <c r="AC472" i="2"/>
  <c r="G1388" i="9" s="1"/>
  <c r="AB472" i="2"/>
  <c r="F1388" i="9" s="1"/>
  <c r="AA472" i="2"/>
  <c r="E1388" i="9" s="1"/>
  <c r="Y472" i="2"/>
  <c r="W472" i="2"/>
  <c r="V472" i="2"/>
  <c r="T472" i="2"/>
  <c r="Q472" i="2"/>
  <c r="X472" i="2" s="1"/>
  <c r="D472" i="2"/>
  <c r="AA304" i="9" s="1"/>
  <c r="AD471" i="2"/>
  <c r="K1387" i="9" s="1"/>
  <c r="AC471" i="2"/>
  <c r="G1387" i="9" s="1"/>
  <c r="AB471" i="2"/>
  <c r="F1387" i="9" s="1"/>
  <c r="AA471" i="2"/>
  <c r="E1387" i="9" s="1"/>
  <c r="Y471" i="2"/>
  <c r="W471" i="2"/>
  <c r="V471" i="2"/>
  <c r="T471" i="2"/>
  <c r="Q471" i="2"/>
  <c r="X471" i="2" s="1"/>
  <c r="D471" i="2"/>
  <c r="AA303" i="9" s="1"/>
  <c r="AD470" i="2"/>
  <c r="K1386" i="9" s="1"/>
  <c r="AC470" i="2"/>
  <c r="G1386" i="9" s="1"/>
  <c r="AB470" i="2"/>
  <c r="F1386" i="9" s="1"/>
  <c r="AA470" i="2"/>
  <c r="E1386" i="9" s="1"/>
  <c r="Y470" i="2"/>
  <c r="W470" i="2"/>
  <c r="V470" i="2"/>
  <c r="T470" i="2"/>
  <c r="Q470" i="2"/>
  <c r="X470" i="2" s="1"/>
  <c r="D470" i="2"/>
  <c r="AA302" i="9" s="1"/>
  <c r="AF469" i="2"/>
  <c r="I1385" i="9" s="1"/>
  <c r="AD469" i="2"/>
  <c r="K1385" i="9" s="1"/>
  <c r="AC469" i="2"/>
  <c r="G1385" i="9" s="1"/>
  <c r="AB469" i="2"/>
  <c r="F1385" i="9" s="1"/>
  <c r="AA469" i="2"/>
  <c r="E1385" i="9" s="1"/>
  <c r="Y469" i="2"/>
  <c r="W469" i="2"/>
  <c r="V469" i="2"/>
  <c r="T469" i="2"/>
  <c r="Q469" i="2"/>
  <c r="X469" i="2" s="1"/>
  <c r="D469" i="2"/>
  <c r="AA301" i="9" s="1"/>
  <c r="AD468" i="2"/>
  <c r="K1384" i="9" s="1"/>
  <c r="AC468" i="2"/>
  <c r="G1384" i="9" s="1"/>
  <c r="AB468" i="2"/>
  <c r="F1384" i="9" s="1"/>
  <c r="AA468" i="2"/>
  <c r="E1384" i="9" s="1"/>
  <c r="Y468" i="2"/>
  <c r="W468" i="2"/>
  <c r="V468" i="2"/>
  <c r="T468" i="2"/>
  <c r="Q468" i="2"/>
  <c r="X468" i="2" s="1"/>
  <c r="D468" i="2"/>
  <c r="AA300" i="9" s="1"/>
  <c r="AD467" i="2"/>
  <c r="K1383" i="9" s="1"/>
  <c r="AC467" i="2"/>
  <c r="G1383" i="9" s="1"/>
  <c r="AB467" i="2"/>
  <c r="F1383" i="9" s="1"/>
  <c r="AA467" i="2"/>
  <c r="E1383" i="9" s="1"/>
  <c r="Y467" i="2"/>
  <c r="W467" i="2"/>
  <c r="V467" i="2"/>
  <c r="T467" i="2"/>
  <c r="Q467" i="2"/>
  <c r="X467" i="2" s="1"/>
  <c r="D467" i="2"/>
  <c r="AA299" i="9" s="1"/>
  <c r="AD466" i="2"/>
  <c r="K1382" i="9" s="1"/>
  <c r="AC466" i="2"/>
  <c r="G1382" i="9" s="1"/>
  <c r="AB466" i="2"/>
  <c r="F1382" i="9" s="1"/>
  <c r="AA466" i="2"/>
  <c r="E1382" i="9" s="1"/>
  <c r="Y466" i="2"/>
  <c r="W466" i="2"/>
  <c r="V466" i="2"/>
  <c r="T466" i="2"/>
  <c r="Q466" i="2"/>
  <c r="X466" i="2" s="1"/>
  <c r="D466" i="2"/>
  <c r="AA298" i="9" s="1"/>
  <c r="AG465" i="2"/>
  <c r="J1381" i="9" s="1"/>
  <c r="AD465" i="2"/>
  <c r="K1381" i="9" s="1"/>
  <c r="AC465" i="2"/>
  <c r="G1381" i="9" s="1"/>
  <c r="AB465" i="2"/>
  <c r="F1381" i="9" s="1"/>
  <c r="AA465" i="2"/>
  <c r="E1381" i="9" s="1"/>
  <c r="Y465" i="2"/>
  <c r="W465" i="2"/>
  <c r="V465" i="2"/>
  <c r="T465" i="2"/>
  <c r="Q465" i="2"/>
  <c r="X465" i="2" s="1"/>
  <c r="D465" i="2"/>
  <c r="AA297" i="9" s="1"/>
  <c r="AD464" i="2"/>
  <c r="K1380" i="9" s="1"/>
  <c r="AC464" i="2"/>
  <c r="G1380" i="9" s="1"/>
  <c r="AB464" i="2"/>
  <c r="F1380" i="9" s="1"/>
  <c r="AA464" i="2"/>
  <c r="E1380" i="9" s="1"/>
  <c r="Y464" i="2"/>
  <c r="W464" i="2"/>
  <c r="V464" i="2"/>
  <c r="T464" i="2"/>
  <c r="Q464" i="2"/>
  <c r="X464" i="2" s="1"/>
  <c r="D464" i="2"/>
  <c r="AA296" i="9" s="1"/>
  <c r="AD463" i="2"/>
  <c r="K1379" i="9" s="1"/>
  <c r="AC463" i="2"/>
  <c r="G1379" i="9" s="1"/>
  <c r="AB463" i="2"/>
  <c r="F1379" i="9" s="1"/>
  <c r="AA463" i="2"/>
  <c r="E1379" i="9" s="1"/>
  <c r="Y463" i="2"/>
  <c r="W463" i="2"/>
  <c r="V463" i="2"/>
  <c r="T463" i="2"/>
  <c r="Q463" i="2"/>
  <c r="X463" i="2" s="1"/>
  <c r="D463" i="2"/>
  <c r="AA295" i="9" s="1"/>
  <c r="AD462" i="2"/>
  <c r="K1378" i="9" s="1"/>
  <c r="AC462" i="2"/>
  <c r="G1378" i="9" s="1"/>
  <c r="AB462" i="2"/>
  <c r="F1378" i="9" s="1"/>
  <c r="AA462" i="2"/>
  <c r="E1378" i="9" s="1"/>
  <c r="Y462" i="2"/>
  <c r="W462" i="2"/>
  <c r="V462" i="2"/>
  <c r="T462" i="2"/>
  <c r="Q462" i="2"/>
  <c r="X462" i="2" s="1"/>
  <c r="D462" i="2"/>
  <c r="AA294" i="9" s="1"/>
  <c r="AD461" i="2"/>
  <c r="AC461" i="2"/>
  <c r="AB461" i="2"/>
  <c r="AA461" i="2"/>
  <c r="Y461" i="2"/>
  <c r="W461" i="2"/>
  <c r="V461" i="2"/>
  <c r="T461" i="2"/>
  <c r="Q461" i="2"/>
  <c r="X461" i="2" s="1"/>
  <c r="D461" i="2"/>
  <c r="AD460" i="2"/>
  <c r="K1377" i="9" s="1"/>
  <c r="AC460" i="2"/>
  <c r="G1377" i="9" s="1"/>
  <c r="AB460" i="2"/>
  <c r="F1377" i="9" s="1"/>
  <c r="AA460" i="2"/>
  <c r="E1377" i="9" s="1"/>
  <c r="Y460" i="2"/>
  <c r="X460" i="2"/>
  <c r="W460" i="2"/>
  <c r="V460" i="2"/>
  <c r="T460" i="2"/>
  <c r="Q460" i="2"/>
  <c r="D460" i="2"/>
  <c r="AA293" i="9" s="1"/>
  <c r="AD459" i="2"/>
  <c r="K1376" i="9" s="1"/>
  <c r="AC459" i="2"/>
  <c r="G1376" i="9" s="1"/>
  <c r="AB459" i="2"/>
  <c r="F1376" i="9" s="1"/>
  <c r="AA459" i="2"/>
  <c r="E1376" i="9" s="1"/>
  <c r="Y459" i="2"/>
  <c r="W459" i="2"/>
  <c r="V459" i="2"/>
  <c r="T459" i="2"/>
  <c r="Q459" i="2"/>
  <c r="X459" i="2" s="1"/>
  <c r="D459" i="2"/>
  <c r="AA292" i="9" s="1"/>
  <c r="AD458" i="2"/>
  <c r="K1375" i="9" s="1"/>
  <c r="AC458" i="2"/>
  <c r="G1375" i="9" s="1"/>
  <c r="AB458" i="2"/>
  <c r="F1375" i="9" s="1"/>
  <c r="AA458" i="2"/>
  <c r="E1375" i="9" s="1"/>
  <c r="Y458" i="2"/>
  <c r="X458" i="2"/>
  <c r="W458" i="2"/>
  <c r="V458" i="2"/>
  <c r="T458" i="2"/>
  <c r="Q458" i="2"/>
  <c r="D458" i="2"/>
  <c r="AA291" i="9" s="1"/>
  <c r="AG457" i="2"/>
  <c r="AD457" i="2"/>
  <c r="AC457" i="2"/>
  <c r="AB457" i="2"/>
  <c r="AA457" i="2"/>
  <c r="Y457" i="2"/>
  <c r="W457" i="2"/>
  <c r="V457" i="2"/>
  <c r="T457" i="2"/>
  <c r="Q457" i="2"/>
  <c r="X457" i="2" s="1"/>
  <c r="D457" i="2"/>
  <c r="AD456" i="2"/>
  <c r="K1374" i="9" s="1"/>
  <c r="AC456" i="2"/>
  <c r="G1374" i="9" s="1"/>
  <c r="AB456" i="2"/>
  <c r="F1374" i="9" s="1"/>
  <c r="AA456" i="2"/>
  <c r="E1374" i="9" s="1"/>
  <c r="Y456" i="2"/>
  <c r="X456" i="2"/>
  <c r="W456" i="2"/>
  <c r="V456" i="2"/>
  <c r="T456" i="2"/>
  <c r="Q456" i="2"/>
  <c r="D456" i="2"/>
  <c r="AA290" i="9" s="1"/>
  <c r="AG455" i="2"/>
  <c r="J1373" i="9" s="1"/>
  <c r="AF455" i="2"/>
  <c r="I1373" i="9" s="1"/>
  <c r="AD455" i="2"/>
  <c r="K1373" i="9" s="1"/>
  <c r="AC455" i="2"/>
  <c r="G1373" i="9" s="1"/>
  <c r="AB455" i="2"/>
  <c r="F1373" i="9" s="1"/>
  <c r="AA455" i="2"/>
  <c r="E1373" i="9" s="1"/>
  <c r="Y455" i="2"/>
  <c r="W455" i="2"/>
  <c r="V455" i="2"/>
  <c r="T455" i="2"/>
  <c r="Q455" i="2"/>
  <c r="X455" i="2" s="1"/>
  <c r="D455" i="2"/>
  <c r="AA289" i="9" s="1"/>
  <c r="AD454" i="2"/>
  <c r="K1372" i="9" s="1"/>
  <c r="AC454" i="2"/>
  <c r="G1372" i="9" s="1"/>
  <c r="AB454" i="2"/>
  <c r="F1372" i="9" s="1"/>
  <c r="AA454" i="2"/>
  <c r="E1372" i="9" s="1"/>
  <c r="Y454" i="2"/>
  <c r="X454" i="2"/>
  <c r="W454" i="2"/>
  <c r="V454" i="2"/>
  <c r="T454" i="2"/>
  <c r="Q454" i="2"/>
  <c r="D454" i="2"/>
  <c r="AA288" i="9" s="1"/>
  <c r="AD453" i="2"/>
  <c r="K1371" i="9" s="1"/>
  <c r="AC453" i="2"/>
  <c r="G1371" i="9" s="1"/>
  <c r="AB453" i="2"/>
  <c r="F1371" i="9" s="1"/>
  <c r="AA453" i="2"/>
  <c r="E1371" i="9" s="1"/>
  <c r="Y453" i="2"/>
  <c r="W453" i="2"/>
  <c r="V453" i="2"/>
  <c r="T453" i="2"/>
  <c r="Q453" i="2"/>
  <c r="X453" i="2" s="1"/>
  <c r="D453" i="2"/>
  <c r="AA287" i="9" s="1"/>
  <c r="AD452" i="2"/>
  <c r="K1370" i="9" s="1"/>
  <c r="AC452" i="2"/>
  <c r="G1370" i="9" s="1"/>
  <c r="AB452" i="2"/>
  <c r="F1370" i="9" s="1"/>
  <c r="AA452" i="2"/>
  <c r="E1370" i="9" s="1"/>
  <c r="Y452" i="2"/>
  <c r="X452" i="2"/>
  <c r="W452" i="2"/>
  <c r="V452" i="2"/>
  <c r="T452" i="2"/>
  <c r="Q452" i="2"/>
  <c r="D452" i="2"/>
  <c r="AA286" i="9" s="1"/>
  <c r="AF451" i="2"/>
  <c r="I1369" i="9" s="1"/>
  <c r="AD451" i="2"/>
  <c r="K1369" i="9" s="1"/>
  <c r="AC451" i="2"/>
  <c r="G1369" i="9" s="1"/>
  <c r="AB451" i="2"/>
  <c r="F1369" i="9" s="1"/>
  <c r="AA451" i="2"/>
  <c r="E1369" i="9" s="1"/>
  <c r="Y451" i="2"/>
  <c r="W451" i="2"/>
  <c r="V451" i="2"/>
  <c r="T451" i="2"/>
  <c r="Q451" i="2"/>
  <c r="X451" i="2" s="1"/>
  <c r="D451" i="2"/>
  <c r="AA285" i="9" s="1"/>
  <c r="AD450" i="2"/>
  <c r="K1368" i="9" s="1"/>
  <c r="AC450" i="2"/>
  <c r="G1368" i="9" s="1"/>
  <c r="AB450" i="2"/>
  <c r="F1368" i="9" s="1"/>
  <c r="AA450" i="2"/>
  <c r="E1368" i="9" s="1"/>
  <c r="Y450" i="2"/>
  <c r="W450" i="2"/>
  <c r="V450" i="2"/>
  <c r="T450" i="2"/>
  <c r="Q450" i="2"/>
  <c r="X450" i="2" s="1"/>
  <c r="D450" i="2"/>
  <c r="AA284" i="9" s="1"/>
  <c r="AD449" i="2"/>
  <c r="K1367" i="9" s="1"/>
  <c r="AC449" i="2"/>
  <c r="G1367" i="9" s="1"/>
  <c r="AB449" i="2"/>
  <c r="F1367" i="9" s="1"/>
  <c r="AA449" i="2"/>
  <c r="E1367" i="9" s="1"/>
  <c r="Y449" i="2"/>
  <c r="W449" i="2"/>
  <c r="V449" i="2"/>
  <c r="T449" i="2"/>
  <c r="Q449" i="2"/>
  <c r="X449" i="2" s="1"/>
  <c r="D449" i="2"/>
  <c r="AA283" i="9" s="1"/>
  <c r="AD448" i="2"/>
  <c r="K1366" i="9" s="1"/>
  <c r="AC448" i="2"/>
  <c r="G1366" i="9" s="1"/>
  <c r="AB448" i="2"/>
  <c r="F1366" i="9" s="1"/>
  <c r="AA448" i="2"/>
  <c r="E1366" i="9" s="1"/>
  <c r="Y448" i="2"/>
  <c r="W448" i="2"/>
  <c r="V448" i="2"/>
  <c r="T448" i="2"/>
  <c r="Q448" i="2"/>
  <c r="X448" i="2" s="1"/>
  <c r="D448" i="2"/>
  <c r="AA282" i="9" s="1"/>
  <c r="AD447" i="2"/>
  <c r="K1365" i="9" s="1"/>
  <c r="AC447" i="2"/>
  <c r="G1365" i="9" s="1"/>
  <c r="AB447" i="2"/>
  <c r="F1365" i="9" s="1"/>
  <c r="AA447" i="2"/>
  <c r="E1365" i="9" s="1"/>
  <c r="Y447" i="2"/>
  <c r="W447" i="2"/>
  <c r="V447" i="2"/>
  <c r="T447" i="2"/>
  <c r="Q447" i="2"/>
  <c r="X447" i="2" s="1"/>
  <c r="D447" i="2"/>
  <c r="AA281" i="9" s="1"/>
  <c r="AD446" i="2"/>
  <c r="K1364" i="9" s="1"/>
  <c r="AC446" i="2"/>
  <c r="G1364" i="9" s="1"/>
  <c r="AB446" i="2"/>
  <c r="F1364" i="9" s="1"/>
  <c r="AA446" i="2"/>
  <c r="E1364" i="9" s="1"/>
  <c r="Y446" i="2"/>
  <c r="W446" i="2"/>
  <c r="V446" i="2"/>
  <c r="T446" i="2"/>
  <c r="Q446" i="2"/>
  <c r="X446" i="2" s="1"/>
  <c r="D446" i="2"/>
  <c r="AA280" i="9" s="1"/>
  <c r="AG445" i="2"/>
  <c r="J1363" i="9" s="1"/>
  <c r="AD445" i="2"/>
  <c r="K1363" i="9" s="1"/>
  <c r="AC445" i="2"/>
  <c r="G1363" i="9" s="1"/>
  <c r="AB445" i="2"/>
  <c r="F1363" i="9" s="1"/>
  <c r="AA445" i="2"/>
  <c r="E1363" i="9" s="1"/>
  <c r="Y445" i="2"/>
  <c r="W445" i="2"/>
  <c r="V445" i="2"/>
  <c r="T445" i="2"/>
  <c r="Q445" i="2"/>
  <c r="X445" i="2" s="1"/>
  <c r="D445" i="2"/>
  <c r="AA279" i="9" s="1"/>
  <c r="AD444" i="2"/>
  <c r="K1362" i="9" s="1"/>
  <c r="AC444" i="2"/>
  <c r="G1362" i="9" s="1"/>
  <c r="AB444" i="2"/>
  <c r="F1362" i="9" s="1"/>
  <c r="AA444" i="2"/>
  <c r="E1362" i="9" s="1"/>
  <c r="Y444" i="2"/>
  <c r="AG507" i="2" s="1"/>
  <c r="J1419" i="9" s="1"/>
  <c r="W444" i="2"/>
  <c r="Z507" i="2" s="1"/>
  <c r="D1419" i="9" s="1"/>
  <c r="V444" i="2"/>
  <c r="T444" i="2"/>
  <c r="AF507" i="2" s="1"/>
  <c r="I1419" i="9" s="1"/>
  <c r="Q444" i="2"/>
  <c r="X444" i="2" s="1"/>
  <c r="D444" i="2"/>
  <c r="AA278" i="9" s="1"/>
  <c r="AG443" i="2"/>
  <c r="J1361" i="9" s="1"/>
  <c r="AD443" i="2"/>
  <c r="K1361" i="9" s="1"/>
  <c r="AC443" i="2"/>
  <c r="G1361" i="9" s="1"/>
  <c r="AB443" i="2"/>
  <c r="F1361" i="9" s="1"/>
  <c r="AA443" i="2"/>
  <c r="E1361" i="9" s="1"/>
  <c r="Z443" i="2"/>
  <c r="D1361" i="9" s="1"/>
  <c r="Y443" i="2"/>
  <c r="AG506" i="2" s="1"/>
  <c r="J1418" i="9" s="1"/>
  <c r="W443" i="2"/>
  <c r="V443" i="2"/>
  <c r="T443" i="2"/>
  <c r="Q443" i="2"/>
  <c r="X443" i="2" s="1"/>
  <c r="D443" i="2"/>
  <c r="AA277" i="9" s="1"/>
  <c r="AD442" i="2"/>
  <c r="K1360" i="9" s="1"/>
  <c r="AC442" i="2"/>
  <c r="G1360" i="9" s="1"/>
  <c r="AB442" i="2"/>
  <c r="F1360" i="9" s="1"/>
  <c r="AA442" i="2"/>
  <c r="E1360" i="9" s="1"/>
  <c r="Y442" i="2"/>
  <c r="AG505" i="2" s="1"/>
  <c r="J1417" i="9" s="1"/>
  <c r="W442" i="2"/>
  <c r="V442" i="2"/>
  <c r="T442" i="2"/>
  <c r="AF505" i="2" s="1"/>
  <c r="I1417" i="9" s="1"/>
  <c r="Q442" i="2"/>
  <c r="X442" i="2" s="1"/>
  <c r="D442" i="2"/>
  <c r="AA276" i="9" s="1"/>
  <c r="AG441" i="2"/>
  <c r="J1359" i="9" s="1"/>
  <c r="AF441" i="2"/>
  <c r="I1359" i="9" s="1"/>
  <c r="AD441" i="2"/>
  <c r="K1359" i="9" s="1"/>
  <c r="AC441" i="2"/>
  <c r="G1359" i="9" s="1"/>
  <c r="AB441" i="2"/>
  <c r="F1359" i="9" s="1"/>
  <c r="AA441" i="2"/>
  <c r="E1359" i="9" s="1"/>
  <c r="Y441" i="2"/>
  <c r="W441" i="2"/>
  <c r="V441" i="2"/>
  <c r="T441" i="2"/>
  <c r="Q441" i="2"/>
  <c r="X441" i="2" s="1"/>
  <c r="D441" i="2"/>
  <c r="AA275" i="9" s="1"/>
  <c r="AD440" i="2"/>
  <c r="AC440" i="2"/>
  <c r="AB440" i="2"/>
  <c r="AA440" i="2"/>
  <c r="Y440" i="2"/>
  <c r="W440" i="2"/>
  <c r="Z503" i="2" s="1"/>
  <c r="V440" i="2"/>
  <c r="T440" i="2"/>
  <c r="AF503" i="2" s="1"/>
  <c r="Q440" i="2"/>
  <c r="X440" i="2" s="1"/>
  <c r="AE503" i="2" s="1"/>
  <c r="D440" i="2"/>
  <c r="AG439" i="2"/>
  <c r="J1358" i="9" s="1"/>
  <c r="AD439" i="2"/>
  <c r="K1358" i="9" s="1"/>
  <c r="AC439" i="2"/>
  <c r="G1358" i="9" s="1"/>
  <c r="AB439" i="2"/>
  <c r="F1358" i="9" s="1"/>
  <c r="AA439" i="2"/>
  <c r="E1358" i="9" s="1"/>
  <c r="Y439" i="2"/>
  <c r="AG502" i="2" s="1"/>
  <c r="J1415" i="9" s="1"/>
  <c r="W439" i="2"/>
  <c r="V439" i="2"/>
  <c r="T439" i="2"/>
  <c r="Q439" i="2"/>
  <c r="X439" i="2" s="1"/>
  <c r="D439" i="2"/>
  <c r="AA274" i="9" s="1"/>
  <c r="AD438" i="2"/>
  <c r="K1357" i="9" s="1"/>
  <c r="AC438" i="2"/>
  <c r="G1357" i="9" s="1"/>
  <c r="AB438" i="2"/>
  <c r="F1357" i="9" s="1"/>
  <c r="AA438" i="2"/>
  <c r="E1357" i="9" s="1"/>
  <c r="Y438" i="2"/>
  <c r="W438" i="2"/>
  <c r="V438" i="2"/>
  <c r="T438" i="2"/>
  <c r="Q438" i="2"/>
  <c r="X438" i="2" s="1"/>
  <c r="D438" i="2"/>
  <c r="AA273" i="9" s="1"/>
  <c r="AD437" i="2"/>
  <c r="K1356" i="9" s="1"/>
  <c r="AC437" i="2"/>
  <c r="G1356" i="9" s="1"/>
  <c r="AB437" i="2"/>
  <c r="F1356" i="9" s="1"/>
  <c r="AA437" i="2"/>
  <c r="E1356" i="9" s="1"/>
  <c r="Y437" i="2"/>
  <c r="W437" i="2"/>
  <c r="V437" i="2"/>
  <c r="T437" i="2"/>
  <c r="Q437" i="2"/>
  <c r="X437" i="2" s="1"/>
  <c r="D437" i="2"/>
  <c r="AA272" i="9" s="1"/>
  <c r="AD436" i="2"/>
  <c r="K1355" i="9" s="1"/>
  <c r="AC436" i="2"/>
  <c r="G1355" i="9" s="1"/>
  <c r="AB436" i="2"/>
  <c r="F1355" i="9" s="1"/>
  <c r="AA436" i="2"/>
  <c r="E1355" i="9" s="1"/>
  <c r="Y436" i="2"/>
  <c r="X436" i="2"/>
  <c r="W436" i="2"/>
  <c r="V436" i="2"/>
  <c r="T436" i="2"/>
  <c r="AF499" i="2" s="1"/>
  <c r="I1412" i="9" s="1"/>
  <c r="Q436" i="2"/>
  <c r="D436" i="2"/>
  <c r="AA271" i="9" s="1"/>
  <c r="AG435" i="2"/>
  <c r="J1354" i="9" s="1"/>
  <c r="AF435" i="2"/>
  <c r="I1354" i="9" s="1"/>
  <c r="AD435" i="2"/>
  <c r="K1354" i="9" s="1"/>
  <c r="AC435" i="2"/>
  <c r="G1354" i="9" s="1"/>
  <c r="AB435" i="2"/>
  <c r="F1354" i="9" s="1"/>
  <c r="AA435" i="2"/>
  <c r="E1354" i="9" s="1"/>
  <c r="Y435" i="2"/>
  <c r="AG498" i="2" s="1"/>
  <c r="J1411" i="9" s="1"/>
  <c r="W435" i="2"/>
  <c r="V435" i="2"/>
  <c r="T435" i="2"/>
  <c r="Q435" i="2"/>
  <c r="X435" i="2" s="1"/>
  <c r="D435" i="2"/>
  <c r="AA270" i="9" s="1"/>
  <c r="AD434" i="2"/>
  <c r="K1353" i="9" s="1"/>
  <c r="AC434" i="2"/>
  <c r="G1353" i="9" s="1"/>
  <c r="AB434" i="2"/>
  <c r="F1353" i="9" s="1"/>
  <c r="AA434" i="2"/>
  <c r="E1353" i="9" s="1"/>
  <c r="Y434" i="2"/>
  <c r="AG497" i="2" s="1"/>
  <c r="J1410" i="9" s="1"/>
  <c r="W434" i="2"/>
  <c r="V434" i="2"/>
  <c r="T434" i="2"/>
  <c r="AF497" i="2" s="1"/>
  <c r="I1410" i="9" s="1"/>
  <c r="Q434" i="2"/>
  <c r="X434" i="2" s="1"/>
  <c r="D434" i="2"/>
  <c r="AA269" i="9" s="1"/>
  <c r="AG433" i="2"/>
  <c r="J1352" i="9" s="1"/>
  <c r="AD433" i="2"/>
  <c r="K1352" i="9" s="1"/>
  <c r="AC433" i="2"/>
  <c r="G1352" i="9" s="1"/>
  <c r="AB433" i="2"/>
  <c r="F1352" i="9" s="1"/>
  <c r="AA433" i="2"/>
  <c r="E1352" i="9" s="1"/>
  <c r="Y433" i="2"/>
  <c r="W433" i="2"/>
  <c r="V433" i="2"/>
  <c r="T433" i="2"/>
  <c r="Q433" i="2"/>
  <c r="X433" i="2" s="1"/>
  <c r="D433" i="2"/>
  <c r="AA268" i="9" s="1"/>
  <c r="AD432" i="2"/>
  <c r="AC432" i="2"/>
  <c r="AB432" i="2"/>
  <c r="AA432" i="2"/>
  <c r="Y432" i="2"/>
  <c r="AG495" i="2" s="1"/>
  <c r="X432" i="2"/>
  <c r="AE495" i="2" s="1"/>
  <c r="W432" i="2"/>
  <c r="Z495" i="2" s="1"/>
  <c r="V432" i="2"/>
  <c r="T432" i="2"/>
  <c r="AF495" i="2" s="1"/>
  <c r="Q432" i="2"/>
  <c r="D432" i="2"/>
  <c r="K379" i="4" s="1"/>
  <c r="AD431" i="2"/>
  <c r="K1351" i="9" s="1"/>
  <c r="AC431" i="2"/>
  <c r="G1351" i="9" s="1"/>
  <c r="AB431" i="2"/>
  <c r="F1351" i="9" s="1"/>
  <c r="AA431" i="2"/>
  <c r="E1351" i="9" s="1"/>
  <c r="Z431" i="2"/>
  <c r="D1351" i="9" s="1"/>
  <c r="Y431" i="2"/>
  <c r="AG494" i="2" s="1"/>
  <c r="J1408" i="9" s="1"/>
  <c r="W431" i="2"/>
  <c r="V431" i="2"/>
  <c r="T431" i="2"/>
  <c r="Q431" i="2"/>
  <c r="X431" i="2" s="1"/>
  <c r="D431" i="2"/>
  <c r="AA267" i="9" s="1"/>
  <c r="AD430" i="2"/>
  <c r="K1350" i="9" s="1"/>
  <c r="AC430" i="2"/>
  <c r="G1350" i="9" s="1"/>
  <c r="AB430" i="2"/>
  <c r="F1350" i="9" s="1"/>
  <c r="AA430" i="2"/>
  <c r="E1350" i="9" s="1"/>
  <c r="Y430" i="2"/>
  <c r="AG493" i="2" s="1"/>
  <c r="J1407" i="9" s="1"/>
  <c r="X430" i="2"/>
  <c r="W430" i="2"/>
  <c r="V430" i="2"/>
  <c r="T430" i="2"/>
  <c r="Q430" i="2"/>
  <c r="D430" i="2"/>
  <c r="AA266" i="9" s="1"/>
  <c r="AD429" i="2"/>
  <c r="K1349" i="9" s="1"/>
  <c r="AC429" i="2"/>
  <c r="G1349" i="9" s="1"/>
  <c r="AB429" i="2"/>
  <c r="F1349" i="9" s="1"/>
  <c r="AA429" i="2"/>
  <c r="E1349" i="9" s="1"/>
  <c r="Y429" i="2"/>
  <c r="W429" i="2"/>
  <c r="V429" i="2"/>
  <c r="T429" i="2"/>
  <c r="Q429" i="2"/>
  <c r="X429" i="2" s="1"/>
  <c r="D429" i="2"/>
  <c r="AA265" i="9" s="1"/>
  <c r="AD428" i="2"/>
  <c r="K1348" i="9" s="1"/>
  <c r="AC428" i="2"/>
  <c r="G1348" i="9" s="1"/>
  <c r="AB428" i="2"/>
  <c r="F1348" i="9" s="1"/>
  <c r="AA428" i="2"/>
  <c r="E1348" i="9" s="1"/>
  <c r="Y428" i="2"/>
  <c r="AG491" i="2" s="1"/>
  <c r="J1405" i="9" s="1"/>
  <c r="X428" i="2"/>
  <c r="W428" i="2"/>
  <c r="V428" i="2"/>
  <c r="T428" i="2"/>
  <c r="AF491" i="2" s="1"/>
  <c r="I1405" i="9" s="1"/>
  <c r="Q428" i="2"/>
  <c r="D428" i="2"/>
  <c r="AA264" i="9" s="1"/>
  <c r="AD427" i="2"/>
  <c r="AC427" i="2"/>
  <c r="AB427" i="2"/>
  <c r="AA427" i="2"/>
  <c r="Y427" i="2"/>
  <c r="AG490" i="2" s="1"/>
  <c r="W427" i="2"/>
  <c r="Z490" i="2" s="1"/>
  <c r="V427" i="2"/>
  <c r="T427" i="2"/>
  <c r="AF490" i="2" s="1"/>
  <c r="Q427" i="2"/>
  <c r="X427" i="2" s="1"/>
  <c r="AE490" i="2" s="1"/>
  <c r="D427" i="2"/>
  <c r="AD426" i="2"/>
  <c r="K1347" i="9" s="1"/>
  <c r="AC426" i="2"/>
  <c r="G1347" i="9" s="1"/>
  <c r="AB426" i="2"/>
  <c r="F1347" i="9" s="1"/>
  <c r="AA426" i="2"/>
  <c r="E1347" i="9" s="1"/>
  <c r="Y426" i="2"/>
  <c r="AG489" i="2" s="1"/>
  <c r="J1404" i="9" s="1"/>
  <c r="X426" i="2"/>
  <c r="W426" i="2"/>
  <c r="V426" i="2"/>
  <c r="T426" i="2"/>
  <c r="AF489" i="2" s="1"/>
  <c r="I1404" i="9" s="1"/>
  <c r="Q426" i="2"/>
  <c r="D426" i="2"/>
  <c r="AA263" i="9" s="1"/>
  <c r="AD425" i="2"/>
  <c r="K1346" i="9" s="1"/>
  <c r="AC425" i="2"/>
  <c r="G1346" i="9" s="1"/>
  <c r="AB425" i="2"/>
  <c r="F1346" i="9" s="1"/>
  <c r="AA425" i="2"/>
  <c r="E1346" i="9" s="1"/>
  <c r="Y425" i="2"/>
  <c r="W425" i="2"/>
  <c r="V425" i="2"/>
  <c r="T425" i="2"/>
  <c r="Q425" i="2"/>
  <c r="X425" i="2" s="1"/>
  <c r="D425" i="2"/>
  <c r="AA262" i="9" s="1"/>
  <c r="AD424" i="2"/>
  <c r="K1345" i="9" s="1"/>
  <c r="AC424" i="2"/>
  <c r="G1345" i="9" s="1"/>
  <c r="AB424" i="2"/>
  <c r="F1345" i="9" s="1"/>
  <c r="AA424" i="2"/>
  <c r="E1345" i="9" s="1"/>
  <c r="Y424" i="2"/>
  <c r="W424" i="2"/>
  <c r="Z487" i="2" s="1"/>
  <c r="D1402" i="9" s="1"/>
  <c r="V424" i="2"/>
  <c r="T424" i="2"/>
  <c r="AF487" i="2" s="1"/>
  <c r="I1402" i="9" s="1"/>
  <c r="Q424" i="2"/>
  <c r="X424" i="2" s="1"/>
  <c r="D424" i="2"/>
  <c r="AA261" i="9" s="1"/>
  <c r="AD423" i="2"/>
  <c r="K1344" i="9" s="1"/>
  <c r="AC423" i="2"/>
  <c r="G1344" i="9" s="1"/>
  <c r="AB423" i="2"/>
  <c r="F1344" i="9" s="1"/>
  <c r="AA423" i="2"/>
  <c r="E1344" i="9" s="1"/>
  <c r="Y423" i="2"/>
  <c r="AG486" i="2" s="1"/>
  <c r="J1401" i="9" s="1"/>
  <c r="W423" i="2"/>
  <c r="V423" i="2"/>
  <c r="T423" i="2"/>
  <c r="Q423" i="2"/>
  <c r="X423" i="2" s="1"/>
  <c r="D423" i="2"/>
  <c r="AA260" i="9" s="1"/>
  <c r="AD422" i="2"/>
  <c r="K1343" i="9" s="1"/>
  <c r="AC422" i="2"/>
  <c r="G1343" i="9" s="1"/>
  <c r="AB422" i="2"/>
  <c r="F1343" i="9" s="1"/>
  <c r="AA422" i="2"/>
  <c r="E1343" i="9" s="1"/>
  <c r="Y422" i="2"/>
  <c r="W422" i="2"/>
  <c r="V422" i="2"/>
  <c r="T422" i="2"/>
  <c r="Q422" i="2"/>
  <c r="X422" i="2" s="1"/>
  <c r="D422" i="2"/>
  <c r="AA259" i="9" s="1"/>
  <c r="AD421" i="2"/>
  <c r="K1342" i="9" s="1"/>
  <c r="AC421" i="2"/>
  <c r="G1342" i="9" s="1"/>
  <c r="AB421" i="2"/>
  <c r="F1342" i="9" s="1"/>
  <c r="AA421" i="2"/>
  <c r="E1342" i="9" s="1"/>
  <c r="Y421" i="2"/>
  <c r="W421" i="2"/>
  <c r="V421" i="2"/>
  <c r="T421" i="2"/>
  <c r="Q421" i="2"/>
  <c r="X421" i="2" s="1"/>
  <c r="D421" i="2"/>
  <c r="AA258" i="9" s="1"/>
  <c r="AD420" i="2"/>
  <c r="K1341" i="9" s="1"/>
  <c r="AC420" i="2"/>
  <c r="G1341" i="9" s="1"/>
  <c r="AB420" i="2"/>
  <c r="F1341" i="9" s="1"/>
  <c r="AA420" i="2"/>
  <c r="E1341" i="9" s="1"/>
  <c r="Y420" i="2"/>
  <c r="W420" i="2"/>
  <c r="Z483" i="2" s="1"/>
  <c r="D1398" i="9" s="1"/>
  <c r="V420" i="2"/>
  <c r="T420" i="2"/>
  <c r="AF483" i="2" s="1"/>
  <c r="I1398" i="9" s="1"/>
  <c r="Q420" i="2"/>
  <c r="X420" i="2" s="1"/>
  <c r="D420" i="2"/>
  <c r="AA257" i="9" s="1"/>
  <c r="AG419" i="2"/>
  <c r="J1340" i="9" s="1"/>
  <c r="AF419" i="2"/>
  <c r="I1340" i="9" s="1"/>
  <c r="AD419" i="2"/>
  <c r="K1340" i="9" s="1"/>
  <c r="AC419" i="2"/>
  <c r="G1340" i="9" s="1"/>
  <c r="AB419" i="2"/>
  <c r="F1340" i="9" s="1"/>
  <c r="AA419" i="2"/>
  <c r="E1340" i="9" s="1"/>
  <c r="Y419" i="2"/>
  <c r="AG482" i="2" s="1"/>
  <c r="J1397" i="9" s="1"/>
  <c r="W419" i="2"/>
  <c r="V419" i="2"/>
  <c r="T419" i="2"/>
  <c r="Q419" i="2"/>
  <c r="X419" i="2" s="1"/>
  <c r="D419" i="2"/>
  <c r="AA256" i="9" s="1"/>
  <c r="AD418" i="2"/>
  <c r="K1339" i="9" s="1"/>
  <c r="AC418" i="2"/>
  <c r="G1339" i="9" s="1"/>
  <c r="AB418" i="2"/>
  <c r="F1339" i="9" s="1"/>
  <c r="AA418" i="2"/>
  <c r="E1339" i="9" s="1"/>
  <c r="Y418" i="2"/>
  <c r="AG481" i="2" s="1"/>
  <c r="J1396" i="9" s="1"/>
  <c r="W418" i="2"/>
  <c r="V418" i="2"/>
  <c r="T418" i="2"/>
  <c r="AF481" i="2" s="1"/>
  <c r="I1396" i="9" s="1"/>
  <c r="Q418" i="2"/>
  <c r="X418" i="2" s="1"/>
  <c r="D418" i="2"/>
  <c r="AA255" i="9" s="1"/>
  <c r="AG417" i="2"/>
  <c r="J1338" i="9" s="1"/>
  <c r="AD417" i="2"/>
  <c r="K1338" i="9" s="1"/>
  <c r="AC417" i="2"/>
  <c r="G1338" i="9" s="1"/>
  <c r="AB417" i="2"/>
  <c r="F1338" i="9" s="1"/>
  <c r="AA417" i="2"/>
  <c r="E1338" i="9" s="1"/>
  <c r="Y417" i="2"/>
  <c r="W417" i="2"/>
  <c r="V417" i="2"/>
  <c r="T417" i="2"/>
  <c r="Q417" i="2"/>
  <c r="X417" i="2" s="1"/>
  <c r="D417" i="2"/>
  <c r="AA254" i="9" s="1"/>
  <c r="AD416" i="2"/>
  <c r="K1337" i="9" s="1"/>
  <c r="AC416" i="2"/>
  <c r="G1337" i="9" s="1"/>
  <c r="AB416" i="2"/>
  <c r="F1337" i="9" s="1"/>
  <c r="AA416" i="2"/>
  <c r="E1337" i="9" s="1"/>
  <c r="Y416" i="2"/>
  <c r="AG479" i="2" s="1"/>
  <c r="J1394" i="9" s="1"/>
  <c r="X416" i="2"/>
  <c r="W416" i="2"/>
  <c r="Z479" i="2" s="1"/>
  <c r="D1394" i="9" s="1"/>
  <c r="V416" i="2"/>
  <c r="T416" i="2"/>
  <c r="AF479" i="2" s="1"/>
  <c r="I1394" i="9" s="1"/>
  <c r="Q416" i="2"/>
  <c r="D416" i="2"/>
  <c r="AA253" i="9" s="1"/>
  <c r="AF415" i="2"/>
  <c r="I1336" i="9" s="1"/>
  <c r="AD415" i="2"/>
  <c r="K1336" i="9" s="1"/>
  <c r="AC415" i="2"/>
  <c r="G1336" i="9" s="1"/>
  <c r="AB415" i="2"/>
  <c r="F1336" i="9" s="1"/>
  <c r="AA415" i="2"/>
  <c r="E1336" i="9" s="1"/>
  <c r="Y415" i="2"/>
  <c r="AG478" i="2" s="1"/>
  <c r="J1393" i="9" s="1"/>
  <c r="W415" i="2"/>
  <c r="V415" i="2"/>
  <c r="T415" i="2"/>
  <c r="Q415" i="2"/>
  <c r="X415" i="2" s="1"/>
  <c r="D415" i="2"/>
  <c r="AA252" i="9" s="1"/>
  <c r="AD414" i="2"/>
  <c r="K1335" i="9" s="1"/>
  <c r="AC414" i="2"/>
  <c r="G1335" i="9" s="1"/>
  <c r="AB414" i="2"/>
  <c r="F1335" i="9" s="1"/>
  <c r="AA414" i="2"/>
  <c r="E1335" i="9" s="1"/>
  <c r="Y414" i="2"/>
  <c r="X414" i="2"/>
  <c r="W414" i="2"/>
  <c r="V414" i="2"/>
  <c r="T414" i="2"/>
  <c r="Q414" i="2"/>
  <c r="D414" i="2"/>
  <c r="AA251" i="9" s="1"/>
  <c r="AG413" i="2"/>
  <c r="J1334" i="9" s="1"/>
  <c r="AF413" i="2"/>
  <c r="I1334" i="9" s="1"/>
  <c r="AD413" i="2"/>
  <c r="K1334" i="9" s="1"/>
  <c r="AC413" i="2"/>
  <c r="G1334" i="9" s="1"/>
  <c r="AB413" i="2"/>
  <c r="F1334" i="9" s="1"/>
  <c r="AA413" i="2"/>
  <c r="E1334" i="9" s="1"/>
  <c r="Y413" i="2"/>
  <c r="W413" i="2"/>
  <c r="V413" i="2"/>
  <c r="T413" i="2"/>
  <c r="Q413" i="2"/>
  <c r="X413" i="2" s="1"/>
  <c r="D413" i="2"/>
  <c r="AA250" i="9" s="1"/>
  <c r="AD412" i="2"/>
  <c r="K1333" i="9" s="1"/>
  <c r="AC412" i="2"/>
  <c r="G1333" i="9" s="1"/>
  <c r="AB412" i="2"/>
  <c r="F1333" i="9" s="1"/>
  <c r="AA412" i="2"/>
  <c r="E1333" i="9" s="1"/>
  <c r="Y412" i="2"/>
  <c r="AG475" i="2" s="1"/>
  <c r="J1390" i="9" s="1"/>
  <c r="W412" i="2"/>
  <c r="V412" i="2"/>
  <c r="T412" i="2"/>
  <c r="AF475" i="2" s="1"/>
  <c r="I1390" i="9" s="1"/>
  <c r="Q412" i="2"/>
  <c r="X412" i="2" s="1"/>
  <c r="D412" i="2"/>
  <c r="AA249" i="9" s="1"/>
  <c r="AG411" i="2"/>
  <c r="J1332" i="9" s="1"/>
  <c r="AD411" i="2"/>
  <c r="K1332" i="9" s="1"/>
  <c r="AC411" i="2"/>
  <c r="G1332" i="9" s="1"/>
  <c r="AB411" i="2"/>
  <c r="F1332" i="9" s="1"/>
  <c r="AA411" i="2"/>
  <c r="E1332" i="9" s="1"/>
  <c r="Y411" i="2"/>
  <c r="AG474" i="2" s="1"/>
  <c r="J1389" i="9" s="1"/>
  <c r="W411" i="2"/>
  <c r="V411" i="2"/>
  <c r="T411" i="2"/>
  <c r="Q411" i="2"/>
  <c r="X411" i="2" s="1"/>
  <c r="D411" i="2"/>
  <c r="AA248" i="9" s="1"/>
  <c r="AD410" i="2"/>
  <c r="AC410" i="2"/>
  <c r="AB410" i="2"/>
  <c r="AA410" i="2"/>
  <c r="Y410" i="2"/>
  <c r="AG473" i="2" s="1"/>
  <c r="W410" i="2"/>
  <c r="Z473" i="2" s="1"/>
  <c r="V410" i="2"/>
  <c r="T410" i="2"/>
  <c r="AF473" i="2" s="1"/>
  <c r="Q410" i="2"/>
  <c r="X410" i="2" s="1"/>
  <c r="AE473" i="2" s="1"/>
  <c r="D410" i="2"/>
  <c r="AD409" i="2"/>
  <c r="K1331" i="9" s="1"/>
  <c r="AC409" i="2"/>
  <c r="G1331" i="9" s="1"/>
  <c r="AB409" i="2"/>
  <c r="F1331" i="9" s="1"/>
  <c r="AA409" i="2"/>
  <c r="E1331" i="9" s="1"/>
  <c r="Y409" i="2"/>
  <c r="W409" i="2"/>
  <c r="V409" i="2"/>
  <c r="T409" i="2"/>
  <c r="Q409" i="2"/>
  <c r="X409" i="2" s="1"/>
  <c r="D409" i="2"/>
  <c r="AA247" i="9" s="1"/>
  <c r="AD408" i="2"/>
  <c r="K1330" i="9" s="1"/>
  <c r="AC408" i="2"/>
  <c r="G1330" i="9" s="1"/>
  <c r="AB408" i="2"/>
  <c r="F1330" i="9" s="1"/>
  <c r="AA408" i="2"/>
  <c r="E1330" i="9" s="1"/>
  <c r="Y408" i="2"/>
  <c r="AG471" i="2" s="1"/>
  <c r="J1387" i="9" s="1"/>
  <c r="X408" i="2"/>
  <c r="W408" i="2"/>
  <c r="Z471" i="2" s="1"/>
  <c r="D1387" i="9" s="1"/>
  <c r="V408" i="2"/>
  <c r="T408" i="2"/>
  <c r="AF471" i="2" s="1"/>
  <c r="I1387" i="9" s="1"/>
  <c r="Q408" i="2"/>
  <c r="D408" i="2"/>
  <c r="AA246" i="9" s="1"/>
  <c r="AD407" i="2"/>
  <c r="K1329" i="9" s="1"/>
  <c r="AC407" i="2"/>
  <c r="G1329" i="9" s="1"/>
  <c r="AB407" i="2"/>
  <c r="F1329" i="9" s="1"/>
  <c r="AA407" i="2"/>
  <c r="E1329" i="9" s="1"/>
  <c r="Z407" i="2"/>
  <c r="D1329" i="9" s="1"/>
  <c r="Y407" i="2"/>
  <c r="AG470" i="2" s="1"/>
  <c r="J1386" i="9" s="1"/>
  <c r="W407" i="2"/>
  <c r="V407" i="2"/>
  <c r="T407" i="2"/>
  <c r="Q407" i="2"/>
  <c r="X407" i="2" s="1"/>
  <c r="D407" i="2"/>
  <c r="AA245" i="9" s="1"/>
  <c r="AD406" i="2"/>
  <c r="K1328" i="9" s="1"/>
  <c r="AC406" i="2"/>
  <c r="G1328" i="9" s="1"/>
  <c r="AB406" i="2"/>
  <c r="F1328" i="9" s="1"/>
  <c r="AA406" i="2"/>
  <c r="E1328" i="9" s="1"/>
  <c r="Y406" i="2"/>
  <c r="AG469" i="2" s="1"/>
  <c r="J1385" i="9" s="1"/>
  <c r="X406" i="2"/>
  <c r="W406" i="2"/>
  <c r="V406" i="2"/>
  <c r="T406" i="2"/>
  <c r="Q406" i="2"/>
  <c r="D406" i="2"/>
  <c r="AA244" i="9" s="1"/>
  <c r="AD405" i="2"/>
  <c r="K1327" i="9" s="1"/>
  <c r="AC405" i="2"/>
  <c r="G1327" i="9" s="1"/>
  <c r="AB405" i="2"/>
  <c r="F1327" i="9" s="1"/>
  <c r="AA405" i="2"/>
  <c r="E1327" i="9" s="1"/>
  <c r="Y405" i="2"/>
  <c r="W405" i="2"/>
  <c r="V405" i="2"/>
  <c r="T405" i="2"/>
  <c r="Q405" i="2"/>
  <c r="X405" i="2" s="1"/>
  <c r="D405" i="2"/>
  <c r="AA243" i="9" s="1"/>
  <c r="AD404" i="2"/>
  <c r="K1326" i="9" s="1"/>
  <c r="AC404" i="2"/>
  <c r="G1326" i="9" s="1"/>
  <c r="AB404" i="2"/>
  <c r="F1326" i="9" s="1"/>
  <c r="AA404" i="2"/>
  <c r="E1326" i="9" s="1"/>
  <c r="Y404" i="2"/>
  <c r="AG467" i="2" s="1"/>
  <c r="J1383" i="9" s="1"/>
  <c r="X404" i="2"/>
  <c r="W404" i="2"/>
  <c r="V404" i="2"/>
  <c r="T404" i="2"/>
  <c r="AF467" i="2" s="1"/>
  <c r="I1383" i="9" s="1"/>
  <c r="Q404" i="2"/>
  <c r="D404" i="2"/>
  <c r="AA242" i="9" s="1"/>
  <c r="AD403" i="2"/>
  <c r="K1325" i="9" s="1"/>
  <c r="AC403" i="2"/>
  <c r="G1325" i="9" s="1"/>
  <c r="AB403" i="2"/>
  <c r="F1325" i="9" s="1"/>
  <c r="AA403" i="2"/>
  <c r="E1325" i="9" s="1"/>
  <c r="Y403" i="2"/>
  <c r="AG466" i="2" s="1"/>
  <c r="J1382" i="9" s="1"/>
  <c r="W403" i="2"/>
  <c r="V403" i="2"/>
  <c r="T403" i="2"/>
  <c r="Q403" i="2"/>
  <c r="X403" i="2" s="1"/>
  <c r="D403" i="2"/>
  <c r="AA241" i="9" s="1"/>
  <c r="AD402" i="2"/>
  <c r="K1324" i="9" s="1"/>
  <c r="AC402" i="2"/>
  <c r="G1324" i="9" s="1"/>
  <c r="AB402" i="2"/>
  <c r="F1324" i="9" s="1"/>
  <c r="AA402" i="2"/>
  <c r="E1324" i="9" s="1"/>
  <c r="Y402" i="2"/>
  <c r="W402" i="2"/>
  <c r="V402" i="2"/>
  <c r="T402" i="2"/>
  <c r="AF465" i="2" s="1"/>
  <c r="I1381" i="9" s="1"/>
  <c r="Q402" i="2"/>
  <c r="X402" i="2" s="1"/>
  <c r="D402" i="2"/>
  <c r="AA240" i="9" s="1"/>
  <c r="AD401" i="2"/>
  <c r="K1323" i="9" s="1"/>
  <c r="AC401" i="2"/>
  <c r="G1323" i="9" s="1"/>
  <c r="AB401" i="2"/>
  <c r="F1323" i="9" s="1"/>
  <c r="AA401" i="2"/>
  <c r="E1323" i="9" s="1"/>
  <c r="Y401" i="2"/>
  <c r="W401" i="2"/>
  <c r="V401" i="2"/>
  <c r="T401" i="2"/>
  <c r="Q401" i="2"/>
  <c r="X401" i="2" s="1"/>
  <c r="D401" i="2"/>
  <c r="AD400" i="2"/>
  <c r="K1322" i="9" s="1"/>
  <c r="AC400" i="2"/>
  <c r="G1322" i="9" s="1"/>
  <c r="AB400" i="2"/>
  <c r="F1322" i="9" s="1"/>
  <c r="AA400" i="2"/>
  <c r="E1322" i="9" s="1"/>
  <c r="Y400" i="2"/>
  <c r="AG463" i="2" s="1"/>
  <c r="J1379" i="9" s="1"/>
  <c r="W400" i="2"/>
  <c r="Z463" i="2" s="1"/>
  <c r="D1379" i="9" s="1"/>
  <c r="V400" i="2"/>
  <c r="T400" i="2"/>
  <c r="AF463" i="2" s="1"/>
  <c r="I1379" i="9" s="1"/>
  <c r="Q400" i="2"/>
  <c r="X400" i="2" s="1"/>
  <c r="D400" i="2"/>
  <c r="AA238" i="9" s="1"/>
  <c r="AD399" i="2"/>
  <c r="K1321" i="9" s="1"/>
  <c r="AC399" i="2"/>
  <c r="G1321" i="9" s="1"/>
  <c r="AB399" i="2"/>
  <c r="F1321" i="9" s="1"/>
  <c r="AA399" i="2"/>
  <c r="E1321" i="9" s="1"/>
  <c r="Y399" i="2"/>
  <c r="W399" i="2"/>
  <c r="V399" i="2"/>
  <c r="T399" i="2"/>
  <c r="Q399" i="2"/>
  <c r="X399" i="2" s="1"/>
  <c r="D399" i="2"/>
  <c r="AA237" i="9" s="1"/>
  <c r="AD398" i="2"/>
  <c r="AC398" i="2"/>
  <c r="AB398" i="2"/>
  <c r="AA398" i="2"/>
  <c r="Y398" i="2"/>
  <c r="AG461" i="2" s="1"/>
  <c r="W398" i="2"/>
  <c r="Z461" i="2" s="1"/>
  <c r="V398" i="2"/>
  <c r="T398" i="2"/>
  <c r="AF461" i="2" s="1"/>
  <c r="Q398" i="2"/>
  <c r="X398" i="2" s="1"/>
  <c r="AE461" i="2" s="1"/>
  <c r="D398" i="2"/>
  <c r="AD397" i="2"/>
  <c r="K1320" i="9" s="1"/>
  <c r="AC397" i="2"/>
  <c r="G1320" i="9" s="1"/>
  <c r="AB397" i="2"/>
  <c r="F1320" i="9" s="1"/>
  <c r="AA397" i="2"/>
  <c r="E1320" i="9" s="1"/>
  <c r="Y397" i="2"/>
  <c r="W397" i="2"/>
  <c r="V397" i="2"/>
  <c r="T397" i="2"/>
  <c r="Q397" i="2"/>
  <c r="X397" i="2" s="1"/>
  <c r="D397" i="2"/>
  <c r="AD396" i="2"/>
  <c r="K1319" i="9" s="1"/>
  <c r="AC396" i="2"/>
  <c r="G1319" i="9" s="1"/>
  <c r="AB396" i="2"/>
  <c r="F1319" i="9" s="1"/>
  <c r="AA396" i="2"/>
  <c r="E1319" i="9" s="1"/>
  <c r="Y396" i="2"/>
  <c r="AG459" i="2" s="1"/>
  <c r="J1376" i="9" s="1"/>
  <c r="W396" i="2"/>
  <c r="Z459" i="2" s="1"/>
  <c r="D1376" i="9" s="1"/>
  <c r="V396" i="2"/>
  <c r="T396" i="2"/>
  <c r="AF459" i="2" s="1"/>
  <c r="I1376" i="9" s="1"/>
  <c r="Q396" i="2"/>
  <c r="X396" i="2" s="1"/>
  <c r="D396" i="2"/>
  <c r="AA235" i="9" s="1"/>
  <c r="AG395" i="2"/>
  <c r="J1318" i="9" s="1"/>
  <c r="AD395" i="2"/>
  <c r="K1318" i="9" s="1"/>
  <c r="AC395" i="2"/>
  <c r="G1318" i="9" s="1"/>
  <c r="AB395" i="2"/>
  <c r="F1318" i="9" s="1"/>
  <c r="AA395" i="2"/>
  <c r="E1318" i="9" s="1"/>
  <c r="Y395" i="2"/>
  <c r="W395" i="2"/>
  <c r="V395" i="2"/>
  <c r="T395" i="2"/>
  <c r="Q395" i="2"/>
  <c r="X395" i="2" s="1"/>
  <c r="D395" i="2"/>
  <c r="AA234" i="9" s="1"/>
  <c r="AD394" i="2"/>
  <c r="AC394" i="2"/>
  <c r="AB394" i="2"/>
  <c r="AA394" i="2"/>
  <c r="Y394" i="2"/>
  <c r="W394" i="2"/>
  <c r="Z457" i="2" s="1"/>
  <c r="V394" i="2"/>
  <c r="T394" i="2"/>
  <c r="AF457" i="2" s="1"/>
  <c r="Q394" i="2"/>
  <c r="X394" i="2" s="1"/>
  <c r="AE457" i="2" s="1"/>
  <c r="D394" i="2"/>
  <c r="AD393" i="2"/>
  <c r="K1317" i="9" s="1"/>
  <c r="AC393" i="2"/>
  <c r="G1317" i="9" s="1"/>
  <c r="AB393" i="2"/>
  <c r="F1317" i="9" s="1"/>
  <c r="AA393" i="2"/>
  <c r="E1317" i="9" s="1"/>
  <c r="Y393" i="2"/>
  <c r="W393" i="2"/>
  <c r="V393" i="2"/>
  <c r="T393" i="2"/>
  <c r="Q393" i="2"/>
  <c r="X393" i="2" s="1"/>
  <c r="D393" i="2"/>
  <c r="AD392" i="2"/>
  <c r="K1316" i="9" s="1"/>
  <c r="AC392" i="2"/>
  <c r="G1316" i="9" s="1"/>
  <c r="AB392" i="2"/>
  <c r="F1316" i="9" s="1"/>
  <c r="AA392" i="2"/>
  <c r="E1316" i="9" s="1"/>
  <c r="Y392" i="2"/>
  <c r="W392" i="2"/>
  <c r="Z455" i="2" s="1"/>
  <c r="D1373" i="9" s="1"/>
  <c r="V392" i="2"/>
  <c r="T392" i="2"/>
  <c r="Q392" i="2"/>
  <c r="X392" i="2" s="1"/>
  <c r="D392" i="2"/>
  <c r="AA232" i="9" s="1"/>
  <c r="AF391" i="2"/>
  <c r="I1315" i="9" s="1"/>
  <c r="AD391" i="2"/>
  <c r="K1315" i="9" s="1"/>
  <c r="AC391" i="2"/>
  <c r="G1315" i="9" s="1"/>
  <c r="AB391" i="2"/>
  <c r="F1315" i="9" s="1"/>
  <c r="AA391" i="2"/>
  <c r="E1315" i="9" s="1"/>
  <c r="Y391" i="2"/>
  <c r="W391" i="2"/>
  <c r="V391" i="2"/>
  <c r="T391" i="2"/>
  <c r="Q391" i="2"/>
  <c r="X391" i="2" s="1"/>
  <c r="D391" i="2"/>
  <c r="AA231" i="9" s="1"/>
  <c r="AD390" i="2"/>
  <c r="K1314" i="9" s="1"/>
  <c r="AC390" i="2"/>
  <c r="G1314" i="9" s="1"/>
  <c r="AB390" i="2"/>
  <c r="F1314" i="9" s="1"/>
  <c r="AA390" i="2"/>
  <c r="E1314" i="9" s="1"/>
  <c r="Y390" i="2"/>
  <c r="AG453" i="2" s="1"/>
  <c r="J1371" i="9" s="1"/>
  <c r="W390" i="2"/>
  <c r="V390" i="2"/>
  <c r="T390" i="2"/>
  <c r="AF453" i="2" s="1"/>
  <c r="I1371" i="9" s="1"/>
  <c r="Q390" i="2"/>
  <c r="X390" i="2" s="1"/>
  <c r="D390" i="2"/>
  <c r="AA230" i="9" s="1"/>
  <c r="AD389" i="2"/>
  <c r="K1313" i="9" s="1"/>
  <c r="AC389" i="2"/>
  <c r="G1313" i="9" s="1"/>
  <c r="AB389" i="2"/>
  <c r="F1313" i="9" s="1"/>
  <c r="AA389" i="2"/>
  <c r="E1313" i="9" s="1"/>
  <c r="Y389" i="2"/>
  <c r="W389" i="2"/>
  <c r="V389" i="2"/>
  <c r="T389" i="2"/>
  <c r="Q389" i="2"/>
  <c r="X389" i="2" s="1"/>
  <c r="D389" i="2"/>
  <c r="AD388" i="2"/>
  <c r="K1312" i="9" s="1"/>
  <c r="AC388" i="2"/>
  <c r="G1312" i="9" s="1"/>
  <c r="AB388" i="2"/>
  <c r="F1312" i="9" s="1"/>
  <c r="AA388" i="2"/>
  <c r="E1312" i="9" s="1"/>
  <c r="Y388" i="2"/>
  <c r="AG451" i="2" s="1"/>
  <c r="J1369" i="9" s="1"/>
  <c r="X388" i="2"/>
  <c r="W388" i="2"/>
  <c r="V388" i="2"/>
  <c r="T388" i="2"/>
  <c r="Q388" i="2"/>
  <c r="D388" i="2"/>
  <c r="AA228" i="9" s="1"/>
  <c r="AD387" i="2"/>
  <c r="K1311" i="9" s="1"/>
  <c r="AC387" i="2"/>
  <c r="G1311" i="9" s="1"/>
  <c r="AB387" i="2"/>
  <c r="F1311" i="9" s="1"/>
  <c r="AA387" i="2"/>
  <c r="E1311" i="9" s="1"/>
  <c r="Y387" i="2"/>
  <c r="W387" i="2"/>
  <c r="V387" i="2"/>
  <c r="T387" i="2"/>
  <c r="Q387" i="2"/>
  <c r="X387" i="2" s="1"/>
  <c r="D387" i="2"/>
  <c r="AA227" i="9" s="1"/>
  <c r="AD386" i="2"/>
  <c r="K1310" i="9" s="1"/>
  <c r="AC386" i="2"/>
  <c r="G1310" i="9" s="1"/>
  <c r="AB386" i="2"/>
  <c r="F1310" i="9" s="1"/>
  <c r="AA386" i="2"/>
  <c r="E1310" i="9" s="1"/>
  <c r="Y386" i="2"/>
  <c r="AG449" i="2" s="1"/>
  <c r="J1367" i="9" s="1"/>
  <c r="W386" i="2"/>
  <c r="V386" i="2"/>
  <c r="T386" i="2"/>
  <c r="AF449" i="2" s="1"/>
  <c r="I1367" i="9" s="1"/>
  <c r="Q386" i="2"/>
  <c r="X386" i="2" s="1"/>
  <c r="D386" i="2"/>
  <c r="AA226" i="9" s="1"/>
  <c r="AD385" i="2"/>
  <c r="K1309" i="9" s="1"/>
  <c r="AC385" i="2"/>
  <c r="G1309" i="9" s="1"/>
  <c r="AB385" i="2"/>
  <c r="F1309" i="9" s="1"/>
  <c r="AA385" i="2"/>
  <c r="E1309" i="9" s="1"/>
  <c r="Y385" i="2"/>
  <c r="W385" i="2"/>
  <c r="V385" i="2"/>
  <c r="T385" i="2"/>
  <c r="Q385" i="2"/>
  <c r="X385" i="2" s="1"/>
  <c r="D385" i="2"/>
  <c r="AD384" i="2"/>
  <c r="K1308" i="9" s="1"/>
  <c r="AC384" i="2"/>
  <c r="G1308" i="9" s="1"/>
  <c r="AB384" i="2"/>
  <c r="F1308" i="9" s="1"/>
  <c r="AA384" i="2"/>
  <c r="E1308" i="9" s="1"/>
  <c r="Y384" i="2"/>
  <c r="AG447" i="2" s="1"/>
  <c r="J1365" i="9" s="1"/>
  <c r="W384" i="2"/>
  <c r="V384" i="2"/>
  <c r="T384" i="2"/>
  <c r="AF447" i="2" s="1"/>
  <c r="I1365" i="9" s="1"/>
  <c r="Q384" i="2"/>
  <c r="X384" i="2" s="1"/>
  <c r="D384" i="2"/>
  <c r="AA224" i="9" s="1"/>
  <c r="AF383" i="2"/>
  <c r="I1307" i="9" s="1"/>
  <c r="AD383" i="2"/>
  <c r="K1307" i="9" s="1"/>
  <c r="AC383" i="2"/>
  <c r="G1307" i="9" s="1"/>
  <c r="AB383" i="2"/>
  <c r="F1307" i="9" s="1"/>
  <c r="AA383" i="2"/>
  <c r="E1307" i="9" s="1"/>
  <c r="Y383" i="2"/>
  <c r="W383" i="2"/>
  <c r="V383" i="2"/>
  <c r="T383" i="2"/>
  <c r="Q383" i="2"/>
  <c r="X383" i="2" s="1"/>
  <c r="D383" i="2"/>
  <c r="AA223" i="9" s="1"/>
  <c r="AD382" i="2"/>
  <c r="K1306" i="9" s="1"/>
  <c r="AC382" i="2"/>
  <c r="G1306" i="9" s="1"/>
  <c r="AB382" i="2"/>
  <c r="F1306" i="9" s="1"/>
  <c r="AA382" i="2"/>
  <c r="E1306" i="9" s="1"/>
  <c r="Y382" i="2"/>
  <c r="W382" i="2"/>
  <c r="V382" i="2"/>
  <c r="T382" i="2"/>
  <c r="AF445" i="2" s="1"/>
  <c r="I1363" i="9" s="1"/>
  <c r="Q382" i="2"/>
  <c r="X382" i="2" s="1"/>
  <c r="D382" i="2"/>
  <c r="AA222" i="9" s="1"/>
  <c r="AE381" i="2"/>
  <c r="H1305" i="9" s="1"/>
  <c r="AD381" i="2"/>
  <c r="K1305" i="9" s="1"/>
  <c r="AC381" i="2"/>
  <c r="G1305" i="9" s="1"/>
  <c r="AB381" i="2"/>
  <c r="F1305" i="9" s="1"/>
  <c r="AA381" i="2"/>
  <c r="E1305" i="9" s="1"/>
  <c r="Y381" i="2"/>
  <c r="W381" i="2"/>
  <c r="V381" i="2"/>
  <c r="T381" i="2"/>
  <c r="Q381" i="2"/>
  <c r="X381" i="2" s="1"/>
  <c r="D381" i="2"/>
  <c r="AD380" i="2"/>
  <c r="K1304" i="9" s="1"/>
  <c r="AC380" i="2"/>
  <c r="G1304" i="9" s="1"/>
  <c r="AB380" i="2"/>
  <c r="F1304" i="9" s="1"/>
  <c r="AA380" i="2"/>
  <c r="E1304" i="9" s="1"/>
  <c r="Y380" i="2"/>
  <c r="W380" i="2"/>
  <c r="V380" i="2"/>
  <c r="T380" i="2"/>
  <c r="AF443" i="2" s="1"/>
  <c r="I1361" i="9" s="1"/>
  <c r="Q380" i="2"/>
  <c r="X380" i="2" s="1"/>
  <c r="D380" i="2"/>
  <c r="AA220" i="9" s="1"/>
  <c r="AD379" i="2"/>
  <c r="K1303" i="9" s="1"/>
  <c r="AC379" i="2"/>
  <c r="G1303" i="9" s="1"/>
  <c r="AB379" i="2"/>
  <c r="F1303" i="9" s="1"/>
  <c r="AA379" i="2"/>
  <c r="E1303" i="9" s="1"/>
  <c r="Y379" i="2"/>
  <c r="W379" i="2"/>
  <c r="V379" i="2"/>
  <c r="T379" i="2"/>
  <c r="Q379" i="2"/>
  <c r="X379" i="2" s="1"/>
  <c r="D379" i="2"/>
  <c r="AA219" i="9" s="1"/>
  <c r="AD378" i="2"/>
  <c r="K1302" i="9" s="1"/>
  <c r="AC378" i="2"/>
  <c r="G1302" i="9" s="1"/>
  <c r="AB378" i="2"/>
  <c r="F1302" i="9" s="1"/>
  <c r="AA378" i="2"/>
  <c r="E1302" i="9" s="1"/>
  <c r="Y378" i="2"/>
  <c r="X378" i="2"/>
  <c r="W378" i="2"/>
  <c r="V378" i="2"/>
  <c r="T378" i="2"/>
  <c r="Q378" i="2"/>
  <c r="D378" i="2"/>
  <c r="AA218" i="9" s="1"/>
  <c r="AD377" i="2"/>
  <c r="AC377" i="2"/>
  <c r="AB377" i="2"/>
  <c r="AA377" i="2"/>
  <c r="Y377" i="2"/>
  <c r="AG440" i="2" s="1"/>
  <c r="W377" i="2"/>
  <c r="Z440" i="2" s="1"/>
  <c r="V377" i="2"/>
  <c r="T377" i="2"/>
  <c r="AF440" i="2" s="1"/>
  <c r="Q377" i="2"/>
  <c r="X377" i="2" s="1"/>
  <c r="AE440" i="2" s="1"/>
  <c r="D377" i="2"/>
  <c r="AD376" i="2"/>
  <c r="K1301" i="9" s="1"/>
  <c r="AC376" i="2"/>
  <c r="G1301" i="9" s="1"/>
  <c r="AB376" i="2"/>
  <c r="F1301" i="9" s="1"/>
  <c r="AA376" i="2"/>
  <c r="E1301" i="9" s="1"/>
  <c r="Y376" i="2"/>
  <c r="W376" i="2"/>
  <c r="Z439" i="2" s="1"/>
  <c r="D1358" i="9" s="1"/>
  <c r="V376" i="2"/>
  <c r="T376" i="2"/>
  <c r="AF439" i="2" s="1"/>
  <c r="I1358" i="9" s="1"/>
  <c r="Q376" i="2"/>
  <c r="X376" i="2" s="1"/>
  <c r="D376" i="2"/>
  <c r="AA217" i="9" s="1"/>
  <c r="AD375" i="2"/>
  <c r="K1300" i="9" s="1"/>
  <c r="AC375" i="2"/>
  <c r="G1300" i="9" s="1"/>
  <c r="AB375" i="2"/>
  <c r="F1300" i="9" s="1"/>
  <c r="AA375" i="2"/>
  <c r="E1300" i="9" s="1"/>
  <c r="Y375" i="2"/>
  <c r="W375" i="2"/>
  <c r="V375" i="2"/>
  <c r="T375" i="2"/>
  <c r="Q375" i="2"/>
  <c r="X375" i="2" s="1"/>
  <c r="D375" i="2"/>
  <c r="AA216" i="9" s="1"/>
  <c r="AD374" i="2"/>
  <c r="K1299" i="9" s="1"/>
  <c r="AC374" i="2"/>
  <c r="G1299" i="9" s="1"/>
  <c r="AB374" i="2"/>
  <c r="F1299" i="9" s="1"/>
  <c r="AA374" i="2"/>
  <c r="E1299" i="9" s="1"/>
  <c r="Y374" i="2"/>
  <c r="AG437" i="2" s="1"/>
  <c r="J1356" i="9" s="1"/>
  <c r="W374" i="2"/>
  <c r="V374" i="2"/>
  <c r="T374" i="2"/>
  <c r="AF437" i="2" s="1"/>
  <c r="I1356" i="9" s="1"/>
  <c r="Q374" i="2"/>
  <c r="X374" i="2" s="1"/>
  <c r="D374" i="2"/>
  <c r="AA215" i="9" s="1"/>
  <c r="AD373" i="2"/>
  <c r="K1298" i="9" s="1"/>
  <c r="AC373" i="2"/>
  <c r="G1298" i="9" s="1"/>
  <c r="AB373" i="2"/>
  <c r="F1298" i="9" s="1"/>
  <c r="AA373" i="2"/>
  <c r="E1298" i="9" s="1"/>
  <c r="Y373" i="2"/>
  <c r="W373" i="2"/>
  <c r="V373" i="2"/>
  <c r="T373" i="2"/>
  <c r="Q373" i="2"/>
  <c r="X373" i="2" s="1"/>
  <c r="D373" i="2"/>
  <c r="AA214" i="9" s="1"/>
  <c r="AD372" i="2"/>
  <c r="K1297" i="9" s="1"/>
  <c r="AC372" i="2"/>
  <c r="G1297" i="9" s="1"/>
  <c r="AB372" i="2"/>
  <c r="F1297" i="9" s="1"/>
  <c r="AA372" i="2"/>
  <c r="E1297" i="9" s="1"/>
  <c r="Y372" i="2"/>
  <c r="W372" i="2"/>
  <c r="V372" i="2"/>
  <c r="T372" i="2"/>
  <c r="Q372" i="2"/>
  <c r="X372" i="2" s="1"/>
  <c r="D372" i="2"/>
  <c r="AA213" i="9" s="1"/>
  <c r="AF371" i="2"/>
  <c r="I1296" i="9" s="1"/>
  <c r="AD371" i="2"/>
  <c r="K1296" i="9" s="1"/>
  <c r="AC371" i="2"/>
  <c r="G1296" i="9" s="1"/>
  <c r="AB371" i="2"/>
  <c r="F1296" i="9" s="1"/>
  <c r="AA371" i="2"/>
  <c r="E1296" i="9" s="1"/>
  <c r="Y371" i="2"/>
  <c r="W371" i="2"/>
  <c r="V371" i="2"/>
  <c r="T371" i="2"/>
  <c r="Q371" i="2"/>
  <c r="X371" i="2" s="1"/>
  <c r="D371" i="2"/>
  <c r="AA212" i="9" s="1"/>
  <c r="AD370" i="2"/>
  <c r="K1295" i="9" s="1"/>
  <c r="AC370" i="2"/>
  <c r="G1295" i="9" s="1"/>
  <c r="AB370" i="2"/>
  <c r="F1295" i="9" s="1"/>
  <c r="AA370" i="2"/>
  <c r="E1295" i="9" s="1"/>
  <c r="Y370" i="2"/>
  <c r="W370" i="2"/>
  <c r="V370" i="2"/>
  <c r="T370" i="2"/>
  <c r="Q370" i="2"/>
  <c r="X370" i="2" s="1"/>
  <c r="D370" i="2"/>
  <c r="AA211" i="9" s="1"/>
  <c r="AF369" i="2"/>
  <c r="AE369" i="2"/>
  <c r="AD369" i="2"/>
  <c r="AC369" i="2"/>
  <c r="AB369" i="2"/>
  <c r="AA369" i="2"/>
  <c r="Y369" i="2"/>
  <c r="AG432" i="2" s="1"/>
  <c r="W369" i="2"/>
  <c r="Z432" i="2" s="1"/>
  <c r="V369" i="2"/>
  <c r="T369" i="2"/>
  <c r="AF432" i="2" s="1"/>
  <c r="Q369" i="2"/>
  <c r="X369" i="2" s="1"/>
  <c r="AE432" i="2" s="1"/>
  <c r="D369" i="2"/>
  <c r="K321" i="4" s="1"/>
  <c r="AD368" i="2"/>
  <c r="K1294" i="9" s="1"/>
  <c r="AC368" i="2"/>
  <c r="G1294" i="9" s="1"/>
  <c r="AB368" i="2"/>
  <c r="F1294" i="9" s="1"/>
  <c r="AA368" i="2"/>
  <c r="E1294" i="9" s="1"/>
  <c r="Y368" i="2"/>
  <c r="AG431" i="2" s="1"/>
  <c r="J1351" i="9" s="1"/>
  <c r="W368" i="2"/>
  <c r="V368" i="2"/>
  <c r="T368" i="2"/>
  <c r="AF431" i="2" s="1"/>
  <c r="I1351" i="9" s="1"/>
  <c r="Q368" i="2"/>
  <c r="X368" i="2" s="1"/>
  <c r="D368" i="2"/>
  <c r="AA210" i="9" s="1"/>
  <c r="AD367" i="2"/>
  <c r="K1293" i="9" s="1"/>
  <c r="AC367" i="2"/>
  <c r="G1293" i="9" s="1"/>
  <c r="AB367" i="2"/>
  <c r="F1293" i="9" s="1"/>
  <c r="AA367" i="2"/>
  <c r="E1293" i="9" s="1"/>
  <c r="Y367" i="2"/>
  <c r="W367" i="2"/>
  <c r="V367" i="2"/>
  <c r="T367" i="2"/>
  <c r="Q367" i="2"/>
  <c r="X367" i="2" s="1"/>
  <c r="D367" i="2"/>
  <c r="AA209" i="9" s="1"/>
  <c r="AD366" i="2"/>
  <c r="K1292" i="9" s="1"/>
  <c r="AC366" i="2"/>
  <c r="G1292" i="9" s="1"/>
  <c r="AB366" i="2"/>
  <c r="F1292" i="9" s="1"/>
  <c r="AA366" i="2"/>
  <c r="E1292" i="9" s="1"/>
  <c r="Y366" i="2"/>
  <c r="AG429" i="2" s="1"/>
  <c r="J1349" i="9" s="1"/>
  <c r="X366" i="2"/>
  <c r="W366" i="2"/>
  <c r="V366" i="2"/>
  <c r="T366" i="2"/>
  <c r="AF429" i="2" s="1"/>
  <c r="I1349" i="9" s="1"/>
  <c r="Q366" i="2"/>
  <c r="D366" i="2"/>
  <c r="AA208" i="9" s="1"/>
  <c r="AD365" i="2"/>
  <c r="K1291" i="9" s="1"/>
  <c r="AC365" i="2"/>
  <c r="G1291" i="9" s="1"/>
  <c r="AB365" i="2"/>
  <c r="F1291" i="9" s="1"/>
  <c r="AA365" i="2"/>
  <c r="E1291" i="9" s="1"/>
  <c r="Y365" i="2"/>
  <c r="X365" i="2"/>
  <c r="W365" i="2"/>
  <c r="V365" i="2"/>
  <c r="T365" i="2"/>
  <c r="Q365" i="2"/>
  <c r="D365" i="2"/>
  <c r="AA207" i="9" s="1"/>
  <c r="AD364" i="2"/>
  <c r="AC364" i="2"/>
  <c r="AB364" i="2"/>
  <c r="AA364" i="2"/>
  <c r="Y364" i="2"/>
  <c r="AG427" i="2" s="1"/>
  <c r="X364" i="2"/>
  <c r="AE427" i="2" s="1"/>
  <c r="W364" i="2"/>
  <c r="Z427" i="2" s="1"/>
  <c r="V364" i="2"/>
  <c r="T364" i="2"/>
  <c r="AF427" i="2" s="1"/>
  <c r="Q364" i="2"/>
  <c r="D364" i="2"/>
  <c r="AD363" i="2"/>
  <c r="AC363" i="2"/>
  <c r="AB363" i="2"/>
  <c r="AA363" i="2"/>
  <c r="Z363" i="2"/>
  <c r="Y363" i="2"/>
  <c r="AG426" i="2" s="1"/>
  <c r="J1347" i="9" s="1"/>
  <c r="W363" i="2"/>
  <c r="Z426" i="2" s="1"/>
  <c r="D1347" i="9" s="1"/>
  <c r="V363" i="2"/>
  <c r="T363" i="2"/>
  <c r="AF426" i="2" s="1"/>
  <c r="I1347" i="9" s="1"/>
  <c r="Q363" i="2"/>
  <c r="X363" i="2" s="1"/>
  <c r="AE426" i="2" s="1"/>
  <c r="H1347" i="9" s="1"/>
  <c r="D363" i="2"/>
  <c r="AD362" i="2"/>
  <c r="K1290" i="9" s="1"/>
  <c r="AC362" i="2"/>
  <c r="G1290" i="9" s="1"/>
  <c r="AB362" i="2"/>
  <c r="F1290" i="9" s="1"/>
  <c r="AA362" i="2"/>
  <c r="E1290" i="9" s="1"/>
  <c r="Y362" i="2"/>
  <c r="AG425" i="2" s="1"/>
  <c r="J1346" i="9" s="1"/>
  <c r="X362" i="2"/>
  <c r="W362" i="2"/>
  <c r="V362" i="2"/>
  <c r="T362" i="2"/>
  <c r="AF425" i="2" s="1"/>
  <c r="I1346" i="9" s="1"/>
  <c r="Q362" i="2"/>
  <c r="D362" i="2"/>
  <c r="AA206" i="9" s="1"/>
  <c r="AD361" i="2"/>
  <c r="K1289" i="9" s="1"/>
  <c r="AC361" i="2"/>
  <c r="G1289" i="9" s="1"/>
  <c r="AB361" i="2"/>
  <c r="F1289" i="9" s="1"/>
  <c r="AA361" i="2"/>
  <c r="E1289" i="9" s="1"/>
  <c r="Y361" i="2"/>
  <c r="X361" i="2"/>
  <c r="W361" i="2"/>
  <c r="V361" i="2"/>
  <c r="T361" i="2"/>
  <c r="Q361" i="2"/>
  <c r="D361" i="2"/>
  <c r="AD360" i="2"/>
  <c r="K1288" i="9" s="1"/>
  <c r="AC360" i="2"/>
  <c r="G1288" i="9" s="1"/>
  <c r="AB360" i="2"/>
  <c r="F1288" i="9" s="1"/>
  <c r="AA360" i="2"/>
  <c r="E1288" i="9" s="1"/>
  <c r="Y360" i="2"/>
  <c r="AG423" i="2" s="1"/>
  <c r="J1344" i="9" s="1"/>
  <c r="W360" i="2"/>
  <c r="V360" i="2"/>
  <c r="T360" i="2"/>
  <c r="AF423" i="2" s="1"/>
  <c r="I1344" i="9" s="1"/>
  <c r="Q360" i="2"/>
  <c r="X360" i="2" s="1"/>
  <c r="D360" i="2"/>
  <c r="AA204" i="9" s="1"/>
  <c r="AD359" i="2"/>
  <c r="K1287" i="9" s="1"/>
  <c r="AC359" i="2"/>
  <c r="G1287" i="9" s="1"/>
  <c r="AB359" i="2"/>
  <c r="F1287" i="9" s="1"/>
  <c r="AA359" i="2"/>
  <c r="E1287" i="9" s="1"/>
  <c r="Y359" i="2"/>
  <c r="W359" i="2"/>
  <c r="V359" i="2"/>
  <c r="T359" i="2"/>
  <c r="Q359" i="2"/>
  <c r="X359" i="2" s="1"/>
  <c r="D359" i="2"/>
  <c r="AA203" i="9" s="1"/>
  <c r="AD358" i="2"/>
  <c r="K1286" i="9" s="1"/>
  <c r="AC358" i="2"/>
  <c r="G1286" i="9" s="1"/>
  <c r="AB358" i="2"/>
  <c r="F1286" i="9" s="1"/>
  <c r="AA358" i="2"/>
  <c r="E1286" i="9" s="1"/>
  <c r="Y358" i="2"/>
  <c r="AG421" i="2" s="1"/>
  <c r="J1342" i="9" s="1"/>
  <c r="W358" i="2"/>
  <c r="V358" i="2"/>
  <c r="T358" i="2"/>
  <c r="AF421" i="2" s="1"/>
  <c r="I1342" i="9" s="1"/>
  <c r="Q358" i="2"/>
  <c r="X358" i="2" s="1"/>
  <c r="D358" i="2"/>
  <c r="AA202" i="9" s="1"/>
  <c r="AD357" i="2"/>
  <c r="K1285" i="9" s="1"/>
  <c r="AC357" i="2"/>
  <c r="G1285" i="9" s="1"/>
  <c r="AB357" i="2"/>
  <c r="F1285" i="9" s="1"/>
  <c r="AA357" i="2"/>
  <c r="E1285" i="9" s="1"/>
  <c r="Y357" i="2"/>
  <c r="W357" i="2"/>
  <c r="V357" i="2"/>
  <c r="T357" i="2"/>
  <c r="Q357" i="2"/>
  <c r="X357" i="2" s="1"/>
  <c r="D357" i="2"/>
  <c r="AD356" i="2"/>
  <c r="K1284" i="9" s="1"/>
  <c r="AC356" i="2"/>
  <c r="G1284" i="9" s="1"/>
  <c r="AB356" i="2"/>
  <c r="F1284" i="9" s="1"/>
  <c r="AA356" i="2"/>
  <c r="E1284" i="9" s="1"/>
  <c r="Y356" i="2"/>
  <c r="W356" i="2"/>
  <c r="Z419" i="2" s="1"/>
  <c r="D1340" i="9" s="1"/>
  <c r="V356" i="2"/>
  <c r="T356" i="2"/>
  <c r="Q356" i="2"/>
  <c r="X356" i="2" s="1"/>
  <c r="D356" i="2"/>
  <c r="AA200" i="9" s="1"/>
  <c r="AD355" i="2"/>
  <c r="K1283" i="9" s="1"/>
  <c r="AC355" i="2"/>
  <c r="G1283" i="9" s="1"/>
  <c r="AB355" i="2"/>
  <c r="F1283" i="9" s="1"/>
  <c r="AA355" i="2"/>
  <c r="E1283" i="9" s="1"/>
  <c r="Y355" i="2"/>
  <c r="W355" i="2"/>
  <c r="V355" i="2"/>
  <c r="T355" i="2"/>
  <c r="Q355" i="2"/>
  <c r="X355" i="2" s="1"/>
  <c r="D355" i="2"/>
  <c r="AD354" i="2"/>
  <c r="K1282" i="9" s="1"/>
  <c r="AC354" i="2"/>
  <c r="G1282" i="9" s="1"/>
  <c r="AB354" i="2"/>
  <c r="F1282" i="9" s="1"/>
  <c r="AA354" i="2"/>
  <c r="E1282" i="9" s="1"/>
  <c r="Y354" i="2"/>
  <c r="W354" i="2"/>
  <c r="V354" i="2"/>
  <c r="T354" i="2"/>
  <c r="Q354" i="2"/>
  <c r="X354" i="2" s="1"/>
  <c r="D354" i="2"/>
  <c r="AA198" i="9" s="1"/>
  <c r="AD353" i="2"/>
  <c r="K1281" i="9" s="1"/>
  <c r="AC353" i="2"/>
  <c r="G1281" i="9" s="1"/>
  <c r="AB353" i="2"/>
  <c r="F1281" i="9" s="1"/>
  <c r="AA353" i="2"/>
  <c r="E1281" i="9" s="1"/>
  <c r="Y353" i="2"/>
  <c r="W353" i="2"/>
  <c r="V353" i="2"/>
  <c r="T353" i="2"/>
  <c r="Q353" i="2"/>
  <c r="X353" i="2" s="1"/>
  <c r="D353" i="2"/>
  <c r="AD352" i="2"/>
  <c r="K1280" i="9" s="1"/>
  <c r="AC352" i="2"/>
  <c r="G1280" i="9" s="1"/>
  <c r="AB352" i="2"/>
  <c r="F1280" i="9" s="1"/>
  <c r="AA352" i="2"/>
  <c r="E1280" i="9" s="1"/>
  <c r="Y352" i="2"/>
  <c r="AG415" i="2" s="1"/>
  <c r="J1336" i="9" s="1"/>
  <c r="X352" i="2"/>
  <c r="W352" i="2"/>
  <c r="Z415" i="2" s="1"/>
  <c r="D1336" i="9" s="1"/>
  <c r="V352" i="2"/>
  <c r="T352" i="2"/>
  <c r="Q352" i="2"/>
  <c r="D352" i="2"/>
  <c r="AA196" i="9" s="1"/>
  <c r="AD351" i="2"/>
  <c r="K1279" i="9" s="1"/>
  <c r="AC351" i="2"/>
  <c r="G1279" i="9" s="1"/>
  <c r="AB351" i="2"/>
  <c r="F1279" i="9" s="1"/>
  <c r="AA351" i="2"/>
  <c r="E1279" i="9" s="1"/>
  <c r="Y351" i="2"/>
  <c r="W351" i="2"/>
  <c r="V351" i="2"/>
  <c r="T351" i="2"/>
  <c r="Q351" i="2"/>
  <c r="X351" i="2" s="1"/>
  <c r="D351" i="2"/>
  <c r="AA195" i="9" s="1"/>
  <c r="AD350" i="2"/>
  <c r="K1278" i="9" s="1"/>
  <c r="AC350" i="2"/>
  <c r="G1278" i="9" s="1"/>
  <c r="AB350" i="2"/>
  <c r="F1278" i="9" s="1"/>
  <c r="AA350" i="2"/>
  <c r="E1278" i="9" s="1"/>
  <c r="Y350" i="2"/>
  <c r="X350" i="2"/>
  <c r="W350" i="2"/>
  <c r="V350" i="2"/>
  <c r="T350" i="2"/>
  <c r="Q350" i="2"/>
  <c r="D350" i="2"/>
  <c r="AA194" i="9" s="1"/>
  <c r="AD349" i="2"/>
  <c r="K1277" i="9" s="1"/>
  <c r="AC349" i="2"/>
  <c r="G1277" i="9" s="1"/>
  <c r="AB349" i="2"/>
  <c r="F1277" i="9" s="1"/>
  <c r="AA349" i="2"/>
  <c r="E1277" i="9" s="1"/>
  <c r="Y349" i="2"/>
  <c r="W349" i="2"/>
  <c r="V349" i="2"/>
  <c r="T349" i="2"/>
  <c r="Q349" i="2"/>
  <c r="X349" i="2" s="1"/>
  <c r="D349" i="2"/>
  <c r="AD348" i="2"/>
  <c r="K1276" i="9" s="1"/>
  <c r="AC348" i="2"/>
  <c r="G1276" i="9" s="1"/>
  <c r="AB348" i="2"/>
  <c r="F1276" i="9" s="1"/>
  <c r="AA348" i="2"/>
  <c r="E1276" i="9" s="1"/>
  <c r="Y348" i="2"/>
  <c r="W348" i="2"/>
  <c r="V348" i="2"/>
  <c r="T348" i="2"/>
  <c r="AF411" i="2" s="1"/>
  <c r="I1332" i="9" s="1"/>
  <c r="Q348" i="2"/>
  <c r="X348" i="2" s="1"/>
  <c r="D348" i="2"/>
  <c r="AA192" i="9" s="1"/>
  <c r="AD347" i="2"/>
  <c r="AC347" i="2"/>
  <c r="AB347" i="2"/>
  <c r="AA347" i="2"/>
  <c r="Z347" i="2"/>
  <c r="Y347" i="2"/>
  <c r="AG410" i="2" s="1"/>
  <c r="W347" i="2"/>
  <c r="Z410" i="2" s="1"/>
  <c r="V347" i="2"/>
  <c r="T347" i="2"/>
  <c r="AF410" i="2" s="1"/>
  <c r="Q347" i="2"/>
  <c r="X347" i="2" s="1"/>
  <c r="AE410" i="2" s="1"/>
  <c r="D347" i="2"/>
  <c r="AD346" i="2"/>
  <c r="K1275" i="9" s="1"/>
  <c r="AC346" i="2"/>
  <c r="G1275" i="9" s="1"/>
  <c r="AB346" i="2"/>
  <c r="F1275" i="9" s="1"/>
  <c r="AA346" i="2"/>
  <c r="E1275" i="9" s="1"/>
  <c r="Y346" i="2"/>
  <c r="AG409" i="2" s="1"/>
  <c r="J1331" i="9" s="1"/>
  <c r="W346" i="2"/>
  <c r="V346" i="2"/>
  <c r="T346" i="2"/>
  <c r="AF409" i="2" s="1"/>
  <c r="I1331" i="9" s="1"/>
  <c r="Q346" i="2"/>
  <c r="X346" i="2" s="1"/>
  <c r="D346" i="2"/>
  <c r="AA191" i="9" s="1"/>
  <c r="AD345" i="2"/>
  <c r="K1274" i="9" s="1"/>
  <c r="AC345" i="2"/>
  <c r="G1274" i="9" s="1"/>
  <c r="AB345" i="2"/>
  <c r="F1274" i="9" s="1"/>
  <c r="AA345" i="2"/>
  <c r="E1274" i="9" s="1"/>
  <c r="Y345" i="2"/>
  <c r="W345" i="2"/>
  <c r="V345" i="2"/>
  <c r="T345" i="2"/>
  <c r="Q345" i="2"/>
  <c r="X345" i="2" s="1"/>
  <c r="D345" i="2"/>
  <c r="AD344" i="2"/>
  <c r="K1273" i="9" s="1"/>
  <c r="AC344" i="2"/>
  <c r="G1273" i="9" s="1"/>
  <c r="AB344" i="2"/>
  <c r="F1273" i="9" s="1"/>
  <c r="AA344" i="2"/>
  <c r="E1273" i="9" s="1"/>
  <c r="Y344" i="2"/>
  <c r="AG407" i="2" s="1"/>
  <c r="J1329" i="9" s="1"/>
  <c r="W344" i="2"/>
  <c r="V344" i="2"/>
  <c r="T344" i="2"/>
  <c r="AF407" i="2" s="1"/>
  <c r="I1329" i="9" s="1"/>
  <c r="Q344" i="2"/>
  <c r="X344" i="2" s="1"/>
  <c r="D344" i="2"/>
  <c r="AA189" i="9" s="1"/>
  <c r="AF343" i="2"/>
  <c r="I1272" i="9" s="1"/>
  <c r="AD343" i="2"/>
  <c r="K1272" i="9" s="1"/>
  <c r="AC343" i="2"/>
  <c r="G1272" i="9" s="1"/>
  <c r="AB343" i="2"/>
  <c r="F1272" i="9" s="1"/>
  <c r="AA343" i="2"/>
  <c r="E1272" i="9" s="1"/>
  <c r="Y343" i="2"/>
  <c r="W343" i="2"/>
  <c r="V343" i="2"/>
  <c r="T343" i="2"/>
  <c r="Q343" i="2"/>
  <c r="X343" i="2" s="1"/>
  <c r="D343" i="2"/>
  <c r="AA188" i="9" s="1"/>
  <c r="AD342" i="2"/>
  <c r="K1271" i="9" s="1"/>
  <c r="AC342" i="2"/>
  <c r="G1271" i="9" s="1"/>
  <c r="AB342" i="2"/>
  <c r="F1271" i="9" s="1"/>
  <c r="AA342" i="2"/>
  <c r="E1271" i="9" s="1"/>
  <c r="Y342" i="2"/>
  <c r="AG405" i="2" s="1"/>
  <c r="J1327" i="9" s="1"/>
  <c r="W342" i="2"/>
  <c r="V342" i="2"/>
  <c r="T342" i="2"/>
  <c r="Q342" i="2"/>
  <c r="X342" i="2" s="1"/>
  <c r="D342" i="2"/>
  <c r="AA187" i="9" s="1"/>
  <c r="AD341" i="2"/>
  <c r="K1270" i="9" s="1"/>
  <c r="AC341" i="2"/>
  <c r="G1270" i="9" s="1"/>
  <c r="AB341" i="2"/>
  <c r="F1270" i="9" s="1"/>
  <c r="AA341" i="2"/>
  <c r="E1270" i="9" s="1"/>
  <c r="Y341" i="2"/>
  <c r="W341" i="2"/>
  <c r="V341" i="2"/>
  <c r="T341" i="2"/>
  <c r="Q341" i="2"/>
  <c r="X341" i="2" s="1"/>
  <c r="D341" i="2"/>
  <c r="AD340" i="2"/>
  <c r="K1269" i="9" s="1"/>
  <c r="AC340" i="2"/>
  <c r="G1269" i="9" s="1"/>
  <c r="AB340" i="2"/>
  <c r="F1269" i="9" s="1"/>
  <c r="AA340" i="2"/>
  <c r="E1269" i="9" s="1"/>
  <c r="Y340" i="2"/>
  <c r="W340" i="2"/>
  <c r="Z403" i="2" s="1"/>
  <c r="D1325" i="9" s="1"/>
  <c r="V340" i="2"/>
  <c r="T340" i="2"/>
  <c r="AF403" i="2" s="1"/>
  <c r="I1325" i="9" s="1"/>
  <c r="Q340" i="2"/>
  <c r="X340" i="2" s="1"/>
  <c r="D340" i="2"/>
  <c r="AA185" i="9" s="1"/>
  <c r="AF339" i="2"/>
  <c r="I1268" i="9" s="1"/>
  <c r="AD339" i="2"/>
  <c r="K1268" i="9" s="1"/>
  <c r="AC339" i="2"/>
  <c r="G1268" i="9" s="1"/>
  <c r="AB339" i="2"/>
  <c r="F1268" i="9" s="1"/>
  <c r="AA339" i="2"/>
  <c r="E1268" i="9" s="1"/>
  <c r="Y339" i="2"/>
  <c r="W339" i="2"/>
  <c r="V339" i="2"/>
  <c r="T339" i="2"/>
  <c r="Q339" i="2"/>
  <c r="X339" i="2" s="1"/>
  <c r="D339" i="2"/>
  <c r="AA184" i="9" s="1"/>
  <c r="AD338" i="2"/>
  <c r="K1267" i="9" s="1"/>
  <c r="AC338" i="2"/>
  <c r="G1267" i="9" s="1"/>
  <c r="AB338" i="2"/>
  <c r="F1267" i="9" s="1"/>
  <c r="AA338" i="2"/>
  <c r="E1267" i="9" s="1"/>
  <c r="Y338" i="2"/>
  <c r="AG401" i="2" s="1"/>
  <c r="J1323" i="9" s="1"/>
  <c r="W338" i="2"/>
  <c r="V338" i="2"/>
  <c r="T338" i="2"/>
  <c r="AF401" i="2" s="1"/>
  <c r="I1323" i="9" s="1"/>
  <c r="Q338" i="2"/>
  <c r="X338" i="2" s="1"/>
  <c r="D338" i="2"/>
  <c r="AA183" i="9" s="1"/>
  <c r="AD337" i="2"/>
  <c r="K1266" i="9" s="1"/>
  <c r="AC337" i="2"/>
  <c r="G1266" i="9" s="1"/>
  <c r="AB337" i="2"/>
  <c r="F1266" i="9" s="1"/>
  <c r="AA337" i="2"/>
  <c r="E1266" i="9" s="1"/>
  <c r="Y337" i="2"/>
  <c r="W337" i="2"/>
  <c r="V337" i="2"/>
  <c r="T337" i="2"/>
  <c r="Q337" i="2"/>
  <c r="X337" i="2" s="1"/>
  <c r="D337" i="2"/>
  <c r="AD336" i="2"/>
  <c r="K1265" i="9" s="1"/>
  <c r="AC336" i="2"/>
  <c r="G1265" i="9" s="1"/>
  <c r="AB336" i="2"/>
  <c r="F1265" i="9" s="1"/>
  <c r="AA336" i="2"/>
  <c r="E1265" i="9" s="1"/>
  <c r="Y336" i="2"/>
  <c r="AG399" i="2" s="1"/>
  <c r="J1321" i="9" s="1"/>
  <c r="X336" i="2"/>
  <c r="W336" i="2"/>
  <c r="V336" i="2"/>
  <c r="T336" i="2"/>
  <c r="AF399" i="2" s="1"/>
  <c r="I1321" i="9" s="1"/>
  <c r="Q336" i="2"/>
  <c r="D336" i="2"/>
  <c r="AA181" i="9" s="1"/>
  <c r="AD335" i="2"/>
  <c r="AC335" i="2"/>
  <c r="AB335" i="2"/>
  <c r="AA335" i="2"/>
  <c r="Y335" i="2"/>
  <c r="AG398" i="2" s="1"/>
  <c r="W335" i="2"/>
  <c r="Z398" i="2" s="1"/>
  <c r="V335" i="2"/>
  <c r="T335" i="2"/>
  <c r="AF398" i="2" s="1"/>
  <c r="Q335" i="2"/>
  <c r="X335" i="2" s="1"/>
  <c r="AE398" i="2" s="1"/>
  <c r="D335" i="2"/>
  <c r="AD334" i="2"/>
  <c r="K1264" i="9" s="1"/>
  <c r="AC334" i="2"/>
  <c r="G1264" i="9" s="1"/>
  <c r="AB334" i="2"/>
  <c r="F1264" i="9" s="1"/>
  <c r="AA334" i="2"/>
  <c r="E1264" i="9" s="1"/>
  <c r="Y334" i="2"/>
  <c r="AG397" i="2" s="1"/>
  <c r="J1320" i="9" s="1"/>
  <c r="X334" i="2"/>
  <c r="W334" i="2"/>
  <c r="V334" i="2"/>
  <c r="T334" i="2"/>
  <c r="AF397" i="2" s="1"/>
  <c r="I1320" i="9" s="1"/>
  <c r="Q334" i="2"/>
  <c r="D334" i="2"/>
  <c r="AD333" i="2"/>
  <c r="K1263" i="9" s="1"/>
  <c r="AC333" i="2"/>
  <c r="G1263" i="9" s="1"/>
  <c r="AB333" i="2"/>
  <c r="F1263" i="9" s="1"/>
  <c r="AA333" i="2"/>
  <c r="E1263" i="9" s="1"/>
  <c r="Y333" i="2"/>
  <c r="X333" i="2"/>
  <c r="W333" i="2"/>
  <c r="V333" i="2"/>
  <c r="T333" i="2"/>
  <c r="Q333" i="2"/>
  <c r="D333" i="2"/>
  <c r="AA179" i="9" s="1"/>
  <c r="AD332" i="2"/>
  <c r="K1262" i="9" s="1"/>
  <c r="AC332" i="2"/>
  <c r="G1262" i="9" s="1"/>
  <c r="AB332" i="2"/>
  <c r="F1262" i="9" s="1"/>
  <c r="AA332" i="2"/>
  <c r="E1262" i="9" s="1"/>
  <c r="Y332" i="2"/>
  <c r="W332" i="2"/>
  <c r="Z395" i="2" s="1"/>
  <c r="D1318" i="9" s="1"/>
  <c r="V332" i="2"/>
  <c r="T332" i="2"/>
  <c r="AF395" i="2" s="1"/>
  <c r="I1318" i="9" s="1"/>
  <c r="Q332" i="2"/>
  <c r="X332" i="2" s="1"/>
  <c r="D332" i="2"/>
  <c r="AA178" i="9" s="1"/>
  <c r="AD331" i="2"/>
  <c r="AC331" i="2"/>
  <c r="AB331" i="2"/>
  <c r="AA331" i="2"/>
  <c r="Y331" i="2"/>
  <c r="AG394" i="2" s="1"/>
  <c r="W331" i="2"/>
  <c r="Z394" i="2" s="1"/>
  <c r="V331" i="2"/>
  <c r="T331" i="2"/>
  <c r="AF394" i="2" s="1"/>
  <c r="Q331" i="2"/>
  <c r="X331" i="2" s="1"/>
  <c r="AE394" i="2" s="1"/>
  <c r="D331" i="2"/>
  <c r="AD330" i="2"/>
  <c r="K1261" i="9" s="1"/>
  <c r="AC330" i="2"/>
  <c r="G1261" i="9" s="1"/>
  <c r="AB330" i="2"/>
  <c r="F1261" i="9" s="1"/>
  <c r="AA330" i="2"/>
  <c r="E1261" i="9" s="1"/>
  <c r="Y330" i="2"/>
  <c r="AG393" i="2" s="1"/>
  <c r="J1317" i="9" s="1"/>
  <c r="W330" i="2"/>
  <c r="V330" i="2"/>
  <c r="T330" i="2"/>
  <c r="AF393" i="2" s="1"/>
  <c r="I1317" i="9" s="1"/>
  <c r="Q330" i="2"/>
  <c r="X330" i="2" s="1"/>
  <c r="AE393" i="2" s="1"/>
  <c r="H1317" i="9" s="1"/>
  <c r="D330" i="2"/>
  <c r="AD329" i="2"/>
  <c r="K1260" i="9" s="1"/>
  <c r="AC329" i="2"/>
  <c r="G1260" i="9" s="1"/>
  <c r="AB329" i="2"/>
  <c r="F1260" i="9" s="1"/>
  <c r="AA329" i="2"/>
  <c r="E1260" i="9" s="1"/>
  <c r="Y329" i="2"/>
  <c r="W329" i="2"/>
  <c r="V329" i="2"/>
  <c r="T329" i="2"/>
  <c r="Q329" i="2"/>
  <c r="X329" i="2" s="1"/>
  <c r="D329" i="2"/>
  <c r="AD328" i="2"/>
  <c r="K1259" i="9" s="1"/>
  <c r="AC328" i="2"/>
  <c r="G1259" i="9" s="1"/>
  <c r="AB328" i="2"/>
  <c r="F1259" i="9" s="1"/>
  <c r="AA328" i="2"/>
  <c r="E1259" i="9" s="1"/>
  <c r="Y328" i="2"/>
  <c r="W328" i="2"/>
  <c r="Z391" i="2" s="1"/>
  <c r="D1315" i="9" s="1"/>
  <c r="V328" i="2"/>
  <c r="T328" i="2"/>
  <c r="Q328" i="2"/>
  <c r="X328" i="2" s="1"/>
  <c r="D328" i="2"/>
  <c r="AA175" i="9" s="1"/>
  <c r="AD327" i="2"/>
  <c r="K1258" i="9" s="1"/>
  <c r="AC327" i="2"/>
  <c r="G1258" i="9" s="1"/>
  <c r="AB327" i="2"/>
  <c r="F1258" i="9" s="1"/>
  <c r="AA327" i="2"/>
  <c r="E1258" i="9" s="1"/>
  <c r="Y327" i="2"/>
  <c r="W327" i="2"/>
  <c r="V327" i="2"/>
  <c r="T327" i="2"/>
  <c r="Q327" i="2"/>
  <c r="X327" i="2" s="1"/>
  <c r="D327" i="2"/>
  <c r="AA174" i="9" s="1"/>
  <c r="AD326" i="2"/>
  <c r="AC326" i="2"/>
  <c r="AB326" i="2"/>
  <c r="AA326" i="2"/>
  <c r="Y326" i="2"/>
  <c r="AG389" i="2" s="1"/>
  <c r="J1313" i="9" s="1"/>
  <c r="W326" i="2"/>
  <c r="Z389" i="2" s="1"/>
  <c r="D1313" i="9" s="1"/>
  <c r="V326" i="2"/>
  <c r="T326" i="2"/>
  <c r="AF389" i="2" s="1"/>
  <c r="I1313" i="9" s="1"/>
  <c r="Q326" i="2"/>
  <c r="X326" i="2" s="1"/>
  <c r="AE389" i="2" s="1"/>
  <c r="H1313" i="9" s="1"/>
  <c r="D326" i="2"/>
  <c r="AG325" i="2"/>
  <c r="J1257" i="9" s="1"/>
  <c r="AD325" i="2"/>
  <c r="K1257" i="9" s="1"/>
  <c r="AC325" i="2"/>
  <c r="G1257" i="9" s="1"/>
  <c r="AB325" i="2"/>
  <c r="F1257" i="9" s="1"/>
  <c r="AA325" i="2"/>
  <c r="E1257" i="9" s="1"/>
  <c r="Y325" i="2"/>
  <c r="W325" i="2"/>
  <c r="V325" i="2"/>
  <c r="T325" i="2"/>
  <c r="Q325" i="2"/>
  <c r="X325" i="2" s="1"/>
  <c r="D325" i="2"/>
  <c r="AD324" i="2"/>
  <c r="K1256" i="9" s="1"/>
  <c r="AC324" i="2"/>
  <c r="G1256" i="9" s="1"/>
  <c r="AB324" i="2"/>
  <c r="F1256" i="9" s="1"/>
  <c r="AA324" i="2"/>
  <c r="E1256" i="9" s="1"/>
  <c r="Y324" i="2"/>
  <c r="W324" i="2"/>
  <c r="V324" i="2"/>
  <c r="T324" i="2"/>
  <c r="AF387" i="2" s="1"/>
  <c r="I1311" i="9" s="1"/>
  <c r="Q324" i="2"/>
  <c r="X324" i="2" s="1"/>
  <c r="D324" i="2"/>
  <c r="AA172" i="9" s="1"/>
  <c r="AD323" i="2"/>
  <c r="K1255" i="9" s="1"/>
  <c r="AC323" i="2"/>
  <c r="G1255" i="9" s="1"/>
  <c r="AB323" i="2"/>
  <c r="F1255" i="9" s="1"/>
  <c r="AA323" i="2"/>
  <c r="E1255" i="9" s="1"/>
  <c r="Y323" i="2"/>
  <c r="W323" i="2"/>
  <c r="V323" i="2"/>
  <c r="T323" i="2"/>
  <c r="Q323" i="2"/>
  <c r="X323" i="2" s="1"/>
  <c r="D323" i="2"/>
  <c r="AA171" i="9" s="1"/>
  <c r="AD322" i="2"/>
  <c r="K1254" i="9" s="1"/>
  <c r="AC322" i="2"/>
  <c r="G1254" i="9" s="1"/>
  <c r="AB322" i="2"/>
  <c r="F1254" i="9" s="1"/>
  <c r="AA322" i="2"/>
  <c r="E1254" i="9" s="1"/>
  <c r="Y322" i="2"/>
  <c r="AG385" i="2" s="1"/>
  <c r="J1309" i="9" s="1"/>
  <c r="X322" i="2"/>
  <c r="W322" i="2"/>
  <c r="V322" i="2"/>
  <c r="T322" i="2"/>
  <c r="AF385" i="2" s="1"/>
  <c r="I1309" i="9" s="1"/>
  <c r="Q322" i="2"/>
  <c r="D322" i="2"/>
  <c r="AD321" i="2"/>
  <c r="K1253" i="9" s="1"/>
  <c r="AC321" i="2"/>
  <c r="G1253" i="9" s="1"/>
  <c r="AB321" i="2"/>
  <c r="F1253" i="9" s="1"/>
  <c r="AA321" i="2"/>
  <c r="E1253" i="9" s="1"/>
  <c r="Y321" i="2"/>
  <c r="X321" i="2"/>
  <c r="W321" i="2"/>
  <c r="V321" i="2"/>
  <c r="T321" i="2"/>
  <c r="Q321" i="2"/>
  <c r="D321" i="2"/>
  <c r="AD320" i="2"/>
  <c r="K1252" i="9" s="1"/>
  <c r="AC320" i="2"/>
  <c r="G1252" i="9" s="1"/>
  <c r="AB320" i="2"/>
  <c r="F1252" i="9" s="1"/>
  <c r="AA320" i="2"/>
  <c r="E1252" i="9" s="1"/>
  <c r="Y320" i="2"/>
  <c r="X320" i="2"/>
  <c r="W320" i="2"/>
  <c r="Z383" i="2" s="1"/>
  <c r="D1307" i="9" s="1"/>
  <c r="V320" i="2"/>
  <c r="T320" i="2"/>
  <c r="Q320" i="2"/>
  <c r="D320" i="2"/>
  <c r="AA168" i="9" s="1"/>
  <c r="AG319" i="2"/>
  <c r="J1251" i="9" s="1"/>
  <c r="AD319" i="2"/>
  <c r="K1251" i="9" s="1"/>
  <c r="AC319" i="2"/>
  <c r="G1251" i="9" s="1"/>
  <c r="AB319" i="2"/>
  <c r="F1251" i="9" s="1"/>
  <c r="AA319" i="2"/>
  <c r="E1251" i="9" s="1"/>
  <c r="Z319" i="2"/>
  <c r="D1251" i="9" s="1"/>
  <c r="Y319" i="2"/>
  <c r="W319" i="2"/>
  <c r="V319" i="2"/>
  <c r="T319" i="2"/>
  <c r="Q319" i="2"/>
  <c r="X319" i="2" s="1"/>
  <c r="D319" i="2"/>
  <c r="AA167" i="9" s="1"/>
  <c r="AG318" i="2"/>
  <c r="J1250" i="9" s="1"/>
  <c r="AD318" i="2"/>
  <c r="K1250" i="9" s="1"/>
  <c r="AC318" i="2"/>
  <c r="G1250" i="9" s="1"/>
  <c r="AB318" i="2"/>
  <c r="F1250" i="9" s="1"/>
  <c r="AA318" i="2"/>
  <c r="E1250" i="9" s="1"/>
  <c r="Y318" i="2"/>
  <c r="AG381" i="2" s="1"/>
  <c r="J1305" i="9" s="1"/>
  <c r="X318" i="2"/>
  <c r="W318" i="2"/>
  <c r="Z381" i="2" s="1"/>
  <c r="D1305" i="9" s="1"/>
  <c r="V318" i="2"/>
  <c r="T318" i="2"/>
  <c r="Q318" i="2"/>
  <c r="D318" i="2"/>
  <c r="AD317" i="2"/>
  <c r="K1249" i="9" s="1"/>
  <c r="AC317" i="2"/>
  <c r="G1249" i="9" s="1"/>
  <c r="AB317" i="2"/>
  <c r="F1249" i="9" s="1"/>
  <c r="AA317" i="2"/>
  <c r="E1249" i="9" s="1"/>
  <c r="Z317" i="2"/>
  <c r="D1249" i="9" s="1"/>
  <c r="Y317" i="2"/>
  <c r="W317" i="2"/>
  <c r="V317" i="2"/>
  <c r="T317" i="2"/>
  <c r="Q317" i="2"/>
  <c r="X317" i="2" s="1"/>
  <c r="D317" i="2"/>
  <c r="AD316" i="2"/>
  <c r="K1248" i="9" s="1"/>
  <c r="AC316" i="2"/>
  <c r="G1248" i="9" s="1"/>
  <c r="AB316" i="2"/>
  <c r="F1248" i="9" s="1"/>
  <c r="AA316" i="2"/>
  <c r="E1248" i="9" s="1"/>
  <c r="Y316" i="2"/>
  <c r="X316" i="2"/>
  <c r="W316" i="2"/>
  <c r="Z379" i="2" s="1"/>
  <c r="D1303" i="9" s="1"/>
  <c r="V316" i="2"/>
  <c r="T316" i="2"/>
  <c r="AF379" i="2" s="1"/>
  <c r="I1303" i="9" s="1"/>
  <c r="Q316" i="2"/>
  <c r="D316" i="2"/>
  <c r="AA164" i="9" s="1"/>
  <c r="AD315" i="2"/>
  <c r="K1247" i="9" s="1"/>
  <c r="AC315" i="2"/>
  <c r="G1247" i="9" s="1"/>
  <c r="AB315" i="2"/>
  <c r="F1247" i="9" s="1"/>
  <c r="AA315" i="2"/>
  <c r="E1247" i="9" s="1"/>
  <c r="Y315" i="2"/>
  <c r="W315" i="2"/>
  <c r="V315" i="2"/>
  <c r="T315" i="2"/>
  <c r="Q315" i="2"/>
  <c r="X315" i="2" s="1"/>
  <c r="D315" i="2"/>
  <c r="AA163" i="9" s="1"/>
  <c r="AD314" i="2"/>
  <c r="AC314" i="2"/>
  <c r="AB314" i="2"/>
  <c r="AA314" i="2"/>
  <c r="Y314" i="2"/>
  <c r="AG377" i="2" s="1"/>
  <c r="W314" i="2"/>
  <c r="Z377" i="2" s="1"/>
  <c r="V314" i="2"/>
  <c r="T314" i="2"/>
  <c r="AF377" i="2" s="1"/>
  <c r="Q314" i="2"/>
  <c r="X314" i="2" s="1"/>
  <c r="AE377" i="2" s="1"/>
  <c r="D314" i="2"/>
  <c r="AG313" i="2"/>
  <c r="J1246" i="9" s="1"/>
  <c r="AD313" i="2"/>
  <c r="K1246" i="9" s="1"/>
  <c r="AC313" i="2"/>
  <c r="G1246" i="9" s="1"/>
  <c r="AB313" i="2"/>
  <c r="F1246" i="9" s="1"/>
  <c r="AA313" i="2"/>
  <c r="E1246" i="9" s="1"/>
  <c r="Y313" i="2"/>
  <c r="W313" i="2"/>
  <c r="V313" i="2"/>
  <c r="T313" i="2"/>
  <c r="Q313" i="2"/>
  <c r="X313" i="2" s="1"/>
  <c r="D313" i="2"/>
  <c r="AD312" i="2"/>
  <c r="K1245" i="9" s="1"/>
  <c r="AC312" i="2"/>
  <c r="G1245" i="9" s="1"/>
  <c r="AB312" i="2"/>
  <c r="F1245" i="9" s="1"/>
  <c r="AA312" i="2"/>
  <c r="E1245" i="9" s="1"/>
  <c r="Y312" i="2"/>
  <c r="W312" i="2"/>
  <c r="V312" i="2"/>
  <c r="T312" i="2"/>
  <c r="AF375" i="2" s="1"/>
  <c r="I1300" i="9" s="1"/>
  <c r="Q312" i="2"/>
  <c r="X312" i="2" s="1"/>
  <c r="D312" i="2"/>
  <c r="AA161" i="9" s="1"/>
  <c r="AD311" i="2"/>
  <c r="K1244" i="9" s="1"/>
  <c r="AC311" i="2"/>
  <c r="G1244" i="9" s="1"/>
  <c r="AB311" i="2"/>
  <c r="F1244" i="9" s="1"/>
  <c r="AA311" i="2"/>
  <c r="E1244" i="9" s="1"/>
  <c r="Y311" i="2"/>
  <c r="W311" i="2"/>
  <c r="V311" i="2"/>
  <c r="T311" i="2"/>
  <c r="Q311" i="2"/>
  <c r="X311" i="2" s="1"/>
  <c r="D311" i="2"/>
  <c r="AA160" i="9" s="1"/>
  <c r="AD310" i="2"/>
  <c r="K1243" i="9" s="1"/>
  <c r="AC310" i="2"/>
  <c r="G1243" i="9" s="1"/>
  <c r="AB310" i="2"/>
  <c r="F1243" i="9" s="1"/>
  <c r="AA310" i="2"/>
  <c r="E1243" i="9" s="1"/>
  <c r="Y310" i="2"/>
  <c r="AG373" i="2" s="1"/>
  <c r="J1298" i="9" s="1"/>
  <c r="W310" i="2"/>
  <c r="V310" i="2"/>
  <c r="T310" i="2"/>
  <c r="AF373" i="2" s="1"/>
  <c r="I1298" i="9" s="1"/>
  <c r="Q310" i="2"/>
  <c r="X310" i="2" s="1"/>
  <c r="D310" i="2"/>
  <c r="AA159" i="9" s="1"/>
  <c r="AD309" i="2"/>
  <c r="K1242" i="9" s="1"/>
  <c r="AC309" i="2"/>
  <c r="G1242" i="9" s="1"/>
  <c r="AB309" i="2"/>
  <c r="F1242" i="9" s="1"/>
  <c r="AA309" i="2"/>
  <c r="E1242" i="9" s="1"/>
  <c r="Y309" i="2"/>
  <c r="W309" i="2"/>
  <c r="V309" i="2"/>
  <c r="T309" i="2"/>
  <c r="Q309" i="2"/>
  <c r="X309" i="2" s="1"/>
  <c r="D309" i="2"/>
  <c r="AD308" i="2"/>
  <c r="K1241" i="9" s="1"/>
  <c r="AC308" i="2"/>
  <c r="G1241" i="9" s="1"/>
  <c r="AB308" i="2"/>
  <c r="F1241" i="9" s="1"/>
  <c r="AA308" i="2"/>
  <c r="E1241" i="9" s="1"/>
  <c r="Y308" i="2"/>
  <c r="X308" i="2"/>
  <c r="W308" i="2"/>
  <c r="Z371" i="2" s="1"/>
  <c r="D1296" i="9" s="1"/>
  <c r="V308" i="2"/>
  <c r="T308" i="2"/>
  <c r="Q308" i="2"/>
  <c r="D308" i="2"/>
  <c r="AA157" i="9" s="1"/>
  <c r="AD307" i="2"/>
  <c r="K1240" i="9" s="1"/>
  <c r="AC307" i="2"/>
  <c r="G1240" i="9" s="1"/>
  <c r="AB307" i="2"/>
  <c r="F1240" i="9" s="1"/>
  <c r="AA307" i="2"/>
  <c r="E1240" i="9" s="1"/>
  <c r="Z307" i="2"/>
  <c r="D1240" i="9" s="1"/>
  <c r="Y307" i="2"/>
  <c r="AG370" i="2" s="1"/>
  <c r="J1295" i="9" s="1"/>
  <c r="W307" i="2"/>
  <c r="V307" i="2"/>
  <c r="T307" i="2"/>
  <c r="Q307" i="2"/>
  <c r="X307" i="2" s="1"/>
  <c r="D307" i="2"/>
  <c r="AA156" i="9" s="1"/>
  <c r="AD306" i="2"/>
  <c r="AC306" i="2"/>
  <c r="AB306" i="2"/>
  <c r="AA306" i="2"/>
  <c r="Y306" i="2"/>
  <c r="AG369" i="2" s="1"/>
  <c r="X306" i="2"/>
  <c r="W306" i="2"/>
  <c r="H124" i="8" s="1"/>
  <c r="P124" i="8" s="1"/>
  <c r="V306" i="2"/>
  <c r="T306" i="2"/>
  <c r="Q306" i="2"/>
  <c r="D306" i="2"/>
  <c r="K265" i="4" s="1"/>
  <c r="AD305" i="2"/>
  <c r="K1239" i="9" s="1"/>
  <c r="AC305" i="2"/>
  <c r="G1239" i="9" s="1"/>
  <c r="AB305" i="2"/>
  <c r="F1239" i="9" s="1"/>
  <c r="AA305" i="2"/>
  <c r="E1239" i="9" s="1"/>
  <c r="Z305" i="2"/>
  <c r="D1239" i="9" s="1"/>
  <c r="Y305" i="2"/>
  <c r="W305" i="2"/>
  <c r="V305" i="2"/>
  <c r="T305" i="2"/>
  <c r="Q305" i="2"/>
  <c r="X305" i="2" s="1"/>
  <c r="D305" i="2"/>
  <c r="AD304" i="2"/>
  <c r="K1238" i="9" s="1"/>
  <c r="AC304" i="2"/>
  <c r="G1238" i="9" s="1"/>
  <c r="AB304" i="2"/>
  <c r="F1238" i="9" s="1"/>
  <c r="AA304" i="2"/>
  <c r="E1238" i="9" s="1"/>
  <c r="Y304" i="2"/>
  <c r="AG367" i="2" s="1"/>
  <c r="J1293" i="9" s="1"/>
  <c r="X304" i="2"/>
  <c r="W304" i="2"/>
  <c r="Z367" i="2" s="1"/>
  <c r="D1293" i="9" s="1"/>
  <c r="V304" i="2"/>
  <c r="T304" i="2"/>
  <c r="AF367" i="2" s="1"/>
  <c r="I1293" i="9" s="1"/>
  <c r="Q304" i="2"/>
  <c r="D304" i="2"/>
  <c r="AA154" i="9" s="1"/>
  <c r="AD303" i="2"/>
  <c r="K1237" i="9" s="1"/>
  <c r="AC303" i="2"/>
  <c r="G1237" i="9" s="1"/>
  <c r="AB303" i="2"/>
  <c r="F1237" i="9" s="1"/>
  <c r="AA303" i="2"/>
  <c r="E1237" i="9" s="1"/>
  <c r="Y303" i="2"/>
  <c r="W303" i="2"/>
  <c r="V303" i="2"/>
  <c r="T303" i="2"/>
  <c r="Q303" i="2"/>
  <c r="X303" i="2" s="1"/>
  <c r="D303" i="2"/>
  <c r="AA153" i="9" s="1"/>
  <c r="AD302" i="2"/>
  <c r="K1236" i="9" s="1"/>
  <c r="AC302" i="2"/>
  <c r="G1236" i="9" s="1"/>
  <c r="AB302" i="2"/>
  <c r="F1236" i="9" s="1"/>
  <c r="AA302" i="2"/>
  <c r="E1236" i="9" s="1"/>
  <c r="Y302" i="2"/>
  <c r="AG365" i="2" s="1"/>
  <c r="J1291" i="9" s="1"/>
  <c r="W302" i="2"/>
  <c r="Z365" i="2" s="1"/>
  <c r="D1291" i="9" s="1"/>
  <c r="V302" i="2"/>
  <c r="T302" i="2"/>
  <c r="Q302" i="2"/>
  <c r="X302" i="2" s="1"/>
  <c r="D302" i="2"/>
  <c r="AA152" i="9" s="1"/>
  <c r="AD301" i="2"/>
  <c r="AC301" i="2"/>
  <c r="AB301" i="2"/>
  <c r="AA301" i="2"/>
  <c r="Y301" i="2"/>
  <c r="AG364" i="2" s="1"/>
  <c r="W301" i="2"/>
  <c r="Z364" i="2" s="1"/>
  <c r="V301" i="2"/>
  <c r="T301" i="2"/>
  <c r="AF364" i="2" s="1"/>
  <c r="Q301" i="2"/>
  <c r="X301" i="2" s="1"/>
  <c r="AE364" i="2" s="1"/>
  <c r="D301" i="2"/>
  <c r="AD300" i="2"/>
  <c r="AC300" i="2"/>
  <c r="AB300" i="2"/>
  <c r="AA300" i="2"/>
  <c r="Y300" i="2"/>
  <c r="AG363" i="2" s="1"/>
  <c r="W300" i="2"/>
  <c r="V300" i="2"/>
  <c r="T300" i="2"/>
  <c r="AF363" i="2" s="1"/>
  <c r="Q300" i="2"/>
  <c r="X300" i="2" s="1"/>
  <c r="AE363" i="2" s="1"/>
  <c r="D300" i="2"/>
  <c r="AD299" i="2"/>
  <c r="K1235" i="9" s="1"/>
  <c r="AC299" i="2"/>
  <c r="G1235" i="9" s="1"/>
  <c r="AB299" i="2"/>
  <c r="F1235" i="9" s="1"/>
  <c r="AA299" i="2"/>
  <c r="E1235" i="9" s="1"/>
  <c r="Y299" i="2"/>
  <c r="W299" i="2"/>
  <c r="V299" i="2"/>
  <c r="T299" i="2"/>
  <c r="Q299" i="2"/>
  <c r="X299" i="2" s="1"/>
  <c r="D299" i="2"/>
  <c r="AA151" i="9" s="1"/>
  <c r="AD298" i="2"/>
  <c r="K1234" i="9" s="1"/>
  <c r="AC298" i="2"/>
  <c r="G1234" i="9" s="1"/>
  <c r="AB298" i="2"/>
  <c r="F1234" i="9" s="1"/>
  <c r="AA298" i="2"/>
  <c r="E1234" i="9" s="1"/>
  <c r="Y298" i="2"/>
  <c r="W298" i="2"/>
  <c r="V298" i="2"/>
  <c r="T298" i="2"/>
  <c r="AF361" i="2" s="1"/>
  <c r="I1289" i="9" s="1"/>
  <c r="Q298" i="2"/>
  <c r="X298" i="2" s="1"/>
  <c r="D298" i="2"/>
  <c r="AF297" i="2"/>
  <c r="I1233" i="9" s="1"/>
  <c r="AD297" i="2"/>
  <c r="K1233" i="9" s="1"/>
  <c r="AC297" i="2"/>
  <c r="G1233" i="9" s="1"/>
  <c r="AB297" i="2"/>
  <c r="F1233" i="9" s="1"/>
  <c r="AA297" i="2"/>
  <c r="E1233" i="9" s="1"/>
  <c r="Y297" i="2"/>
  <c r="W297" i="2"/>
  <c r="V297" i="2"/>
  <c r="T297" i="2"/>
  <c r="Q297" i="2"/>
  <c r="X297" i="2" s="1"/>
  <c r="D297" i="2"/>
  <c r="AD296" i="2"/>
  <c r="K1232" i="9" s="1"/>
  <c r="AC296" i="2"/>
  <c r="G1232" i="9" s="1"/>
  <c r="AB296" i="2"/>
  <c r="F1232" i="9" s="1"/>
  <c r="AA296" i="2"/>
  <c r="E1232" i="9" s="1"/>
  <c r="Y296" i="2"/>
  <c r="AG359" i="2" s="1"/>
  <c r="J1287" i="9" s="1"/>
  <c r="W296" i="2"/>
  <c r="V296" i="2"/>
  <c r="T296" i="2"/>
  <c r="AF359" i="2" s="1"/>
  <c r="I1287" i="9" s="1"/>
  <c r="Q296" i="2"/>
  <c r="X296" i="2" s="1"/>
  <c r="D296" i="2"/>
  <c r="AA148" i="9" s="1"/>
  <c r="AD295" i="2"/>
  <c r="K1231" i="9" s="1"/>
  <c r="AC295" i="2"/>
  <c r="G1231" i="9" s="1"/>
  <c r="AB295" i="2"/>
  <c r="F1231" i="9" s="1"/>
  <c r="AA295" i="2"/>
  <c r="E1231" i="9" s="1"/>
  <c r="Y295" i="2"/>
  <c r="AG358" i="2" s="1"/>
  <c r="J1286" i="9" s="1"/>
  <c r="W295" i="2"/>
  <c r="V295" i="2"/>
  <c r="T295" i="2"/>
  <c r="Q295" i="2"/>
  <c r="X295" i="2" s="1"/>
  <c r="D295" i="2"/>
  <c r="AA147" i="9" s="1"/>
  <c r="AD294" i="2"/>
  <c r="K1230" i="9" s="1"/>
  <c r="AC294" i="2"/>
  <c r="G1230" i="9" s="1"/>
  <c r="AB294" i="2"/>
  <c r="F1230" i="9" s="1"/>
  <c r="AA294" i="2"/>
  <c r="E1230" i="9" s="1"/>
  <c r="Y294" i="2"/>
  <c r="X294" i="2"/>
  <c r="AE357" i="2" s="1"/>
  <c r="H1285" i="9" s="1"/>
  <c r="W294" i="2"/>
  <c r="Z357" i="2" s="1"/>
  <c r="D1285" i="9" s="1"/>
  <c r="V294" i="2"/>
  <c r="T294" i="2"/>
  <c r="AF357" i="2" s="1"/>
  <c r="I1285" i="9" s="1"/>
  <c r="Q294" i="2"/>
  <c r="D294" i="2"/>
  <c r="AD293" i="2"/>
  <c r="K1229" i="9" s="1"/>
  <c r="AC293" i="2"/>
  <c r="G1229" i="9" s="1"/>
  <c r="AB293" i="2"/>
  <c r="F1229" i="9" s="1"/>
  <c r="AA293" i="2"/>
  <c r="E1229" i="9" s="1"/>
  <c r="Y293" i="2"/>
  <c r="X293" i="2"/>
  <c r="W293" i="2"/>
  <c r="V293" i="2"/>
  <c r="T293" i="2"/>
  <c r="Q293" i="2"/>
  <c r="D293" i="2"/>
  <c r="AD292" i="2"/>
  <c r="K1228" i="9" s="1"/>
  <c r="AC292" i="2"/>
  <c r="G1228" i="9" s="1"/>
  <c r="AB292" i="2"/>
  <c r="F1228" i="9" s="1"/>
  <c r="AA292" i="2"/>
  <c r="E1228" i="9" s="1"/>
  <c r="Y292" i="2"/>
  <c r="AG355" i="2" s="1"/>
  <c r="J1283" i="9" s="1"/>
  <c r="X292" i="2"/>
  <c r="W292" i="2"/>
  <c r="Z355" i="2" s="1"/>
  <c r="D1283" i="9" s="1"/>
  <c r="V292" i="2"/>
  <c r="T292" i="2"/>
  <c r="AF355" i="2" s="1"/>
  <c r="I1283" i="9" s="1"/>
  <c r="Q292" i="2"/>
  <c r="D292" i="2"/>
  <c r="AA144" i="9" s="1"/>
  <c r="AD291" i="2"/>
  <c r="K1227" i="9" s="1"/>
  <c r="AC291" i="2"/>
  <c r="G1227" i="9" s="1"/>
  <c r="AB291" i="2"/>
  <c r="F1227" i="9" s="1"/>
  <c r="AA291" i="2"/>
  <c r="E1227" i="9" s="1"/>
  <c r="Y291" i="2"/>
  <c r="AG354" i="2" s="1"/>
  <c r="J1282" i="9" s="1"/>
  <c r="W291" i="2"/>
  <c r="V291" i="2"/>
  <c r="T291" i="2"/>
  <c r="Q291" i="2"/>
  <c r="X291" i="2" s="1"/>
  <c r="D291" i="2"/>
  <c r="AA143" i="9" s="1"/>
  <c r="AD290" i="2"/>
  <c r="K1226" i="9" s="1"/>
  <c r="AC290" i="2"/>
  <c r="G1226" i="9" s="1"/>
  <c r="AB290" i="2"/>
  <c r="F1226" i="9" s="1"/>
  <c r="AA290" i="2"/>
  <c r="E1226" i="9" s="1"/>
  <c r="Y290" i="2"/>
  <c r="AG353" i="2" s="1"/>
  <c r="J1281" i="9" s="1"/>
  <c r="W290" i="2"/>
  <c r="V290" i="2"/>
  <c r="T290" i="2"/>
  <c r="AF353" i="2" s="1"/>
  <c r="I1281" i="9" s="1"/>
  <c r="Q290" i="2"/>
  <c r="X290" i="2" s="1"/>
  <c r="D290" i="2"/>
  <c r="AD289" i="2"/>
  <c r="K1225" i="9" s="1"/>
  <c r="AC289" i="2"/>
  <c r="G1225" i="9" s="1"/>
  <c r="AB289" i="2"/>
  <c r="F1225" i="9" s="1"/>
  <c r="AA289" i="2"/>
  <c r="E1225" i="9" s="1"/>
  <c r="Y289" i="2"/>
  <c r="W289" i="2"/>
  <c r="V289" i="2"/>
  <c r="T289" i="2"/>
  <c r="Q289" i="2"/>
  <c r="X289" i="2" s="1"/>
  <c r="D289" i="2"/>
  <c r="AD288" i="2"/>
  <c r="K1224" i="9" s="1"/>
  <c r="AC288" i="2"/>
  <c r="G1224" i="9" s="1"/>
  <c r="AB288" i="2"/>
  <c r="F1224" i="9" s="1"/>
  <c r="AA288" i="2"/>
  <c r="E1224" i="9" s="1"/>
  <c r="Y288" i="2"/>
  <c r="AG351" i="2" s="1"/>
  <c r="J1279" i="9" s="1"/>
  <c r="W288" i="2"/>
  <c r="Z351" i="2" s="1"/>
  <c r="D1279" i="9" s="1"/>
  <c r="V288" i="2"/>
  <c r="T288" i="2"/>
  <c r="AF351" i="2" s="1"/>
  <c r="I1279" i="9" s="1"/>
  <c r="Q288" i="2"/>
  <c r="X288" i="2" s="1"/>
  <c r="D288" i="2"/>
  <c r="AA140" i="9" s="1"/>
  <c r="AD287" i="2"/>
  <c r="K1223" i="9" s="1"/>
  <c r="AC287" i="2"/>
  <c r="G1223" i="9" s="1"/>
  <c r="AB287" i="2"/>
  <c r="F1223" i="9" s="1"/>
  <c r="AA287" i="2"/>
  <c r="E1223" i="9" s="1"/>
  <c r="Y287" i="2"/>
  <c r="W287" i="2"/>
  <c r="V287" i="2"/>
  <c r="T287" i="2"/>
  <c r="Q287" i="2"/>
  <c r="X287" i="2" s="1"/>
  <c r="D287" i="2"/>
  <c r="AD286" i="2"/>
  <c r="K1222" i="9" s="1"/>
  <c r="AC286" i="2"/>
  <c r="G1222" i="9" s="1"/>
  <c r="AB286" i="2"/>
  <c r="F1222" i="9" s="1"/>
  <c r="AA286" i="2"/>
  <c r="E1222" i="9" s="1"/>
  <c r="Y286" i="2"/>
  <c r="W286" i="2"/>
  <c r="Z349" i="2" s="1"/>
  <c r="D1277" i="9" s="1"/>
  <c r="V286" i="2"/>
  <c r="T286" i="2"/>
  <c r="Q286" i="2"/>
  <c r="X286" i="2" s="1"/>
  <c r="AE349" i="2" s="1"/>
  <c r="H1277" i="9" s="1"/>
  <c r="D286" i="2"/>
  <c r="AF285" i="2"/>
  <c r="I1221" i="9" s="1"/>
  <c r="AD285" i="2"/>
  <c r="K1221" i="9" s="1"/>
  <c r="AC285" i="2"/>
  <c r="G1221" i="9" s="1"/>
  <c r="AB285" i="2"/>
  <c r="F1221" i="9" s="1"/>
  <c r="AA285" i="2"/>
  <c r="E1221" i="9" s="1"/>
  <c r="Y285" i="2"/>
  <c r="W285" i="2"/>
  <c r="V285" i="2"/>
  <c r="T285" i="2"/>
  <c r="Q285" i="2"/>
  <c r="X285" i="2" s="1"/>
  <c r="D285" i="2"/>
  <c r="AD284" i="2"/>
  <c r="AC284" i="2"/>
  <c r="AB284" i="2"/>
  <c r="AA284" i="2"/>
  <c r="Y284" i="2"/>
  <c r="AG347" i="2" s="1"/>
  <c r="W284" i="2"/>
  <c r="V284" i="2"/>
  <c r="T284" i="2"/>
  <c r="AF347" i="2" s="1"/>
  <c r="Q284" i="2"/>
  <c r="X284" i="2" s="1"/>
  <c r="AE347" i="2" s="1"/>
  <c r="D284" i="2"/>
  <c r="AD283" i="2"/>
  <c r="K1220" i="9" s="1"/>
  <c r="AC283" i="2"/>
  <c r="G1220" i="9" s="1"/>
  <c r="AB283" i="2"/>
  <c r="F1220" i="9" s="1"/>
  <c r="AA283" i="2"/>
  <c r="E1220" i="9" s="1"/>
  <c r="Y283" i="2"/>
  <c r="W283" i="2"/>
  <c r="V283" i="2"/>
  <c r="T283" i="2"/>
  <c r="Q283" i="2"/>
  <c r="X283" i="2" s="1"/>
  <c r="D283" i="2"/>
  <c r="AA136" i="9" s="1"/>
  <c r="AD282" i="2"/>
  <c r="K1219" i="9" s="1"/>
  <c r="AC282" i="2"/>
  <c r="G1219" i="9" s="1"/>
  <c r="AB282" i="2"/>
  <c r="F1219" i="9" s="1"/>
  <c r="AA282" i="2"/>
  <c r="E1219" i="9" s="1"/>
  <c r="Y282" i="2"/>
  <c r="X282" i="2"/>
  <c r="W282" i="2"/>
  <c r="Z345" i="2" s="1"/>
  <c r="D1274" i="9" s="1"/>
  <c r="V282" i="2"/>
  <c r="T282" i="2"/>
  <c r="Q282" i="2"/>
  <c r="D282" i="2"/>
  <c r="AD281" i="2"/>
  <c r="K1218" i="9" s="1"/>
  <c r="AC281" i="2"/>
  <c r="G1218" i="9" s="1"/>
  <c r="AB281" i="2"/>
  <c r="F1218" i="9" s="1"/>
  <c r="AA281" i="2"/>
  <c r="E1218" i="9" s="1"/>
  <c r="Y281" i="2"/>
  <c r="X281" i="2"/>
  <c r="W281" i="2"/>
  <c r="V281" i="2"/>
  <c r="T281" i="2"/>
  <c r="Q281" i="2"/>
  <c r="D281" i="2"/>
  <c r="AD280" i="2"/>
  <c r="K1217" i="9" s="1"/>
  <c r="AC280" i="2"/>
  <c r="G1217" i="9" s="1"/>
  <c r="AB280" i="2"/>
  <c r="F1217" i="9" s="1"/>
  <c r="AA280" i="2"/>
  <c r="E1217" i="9" s="1"/>
  <c r="Y280" i="2"/>
  <c r="AG343" i="2" s="1"/>
  <c r="J1272" i="9" s="1"/>
  <c r="X280" i="2"/>
  <c r="W280" i="2"/>
  <c r="V280" i="2"/>
  <c r="T280" i="2"/>
  <c r="Q280" i="2"/>
  <c r="D280" i="2"/>
  <c r="AD279" i="2"/>
  <c r="K1216" i="9" s="1"/>
  <c r="AC279" i="2"/>
  <c r="G1216" i="9" s="1"/>
  <c r="AB279" i="2"/>
  <c r="F1216" i="9" s="1"/>
  <c r="AA279" i="2"/>
  <c r="E1216" i="9" s="1"/>
  <c r="Y279" i="2"/>
  <c r="AG342" i="2" s="1"/>
  <c r="J1271" i="9" s="1"/>
  <c r="W279" i="2"/>
  <c r="V279" i="2"/>
  <c r="T279" i="2"/>
  <c r="Q279" i="2"/>
  <c r="X279" i="2" s="1"/>
  <c r="D279" i="2"/>
  <c r="AA132" i="9" s="1"/>
  <c r="AD278" i="2"/>
  <c r="K1215" i="9" s="1"/>
  <c r="AC278" i="2"/>
  <c r="G1215" i="9" s="1"/>
  <c r="AB278" i="2"/>
  <c r="F1215" i="9" s="1"/>
  <c r="AA278" i="2"/>
  <c r="E1215" i="9" s="1"/>
  <c r="Y278" i="2"/>
  <c r="AG341" i="2" s="1"/>
  <c r="J1270" i="9" s="1"/>
  <c r="X278" i="2"/>
  <c r="AE341" i="2" s="1"/>
  <c r="H1270" i="9" s="1"/>
  <c r="W278" i="2"/>
  <c r="V278" i="2"/>
  <c r="T278" i="2"/>
  <c r="AF341" i="2" s="1"/>
  <c r="I1270" i="9" s="1"/>
  <c r="Q278" i="2"/>
  <c r="D278" i="2"/>
  <c r="AD277" i="2"/>
  <c r="K1214" i="9" s="1"/>
  <c r="AC277" i="2"/>
  <c r="G1214" i="9" s="1"/>
  <c r="AB277" i="2"/>
  <c r="F1214" i="9" s="1"/>
  <c r="AA277" i="2"/>
  <c r="E1214" i="9" s="1"/>
  <c r="Y277" i="2"/>
  <c r="X277" i="2"/>
  <c r="W277" i="2"/>
  <c r="V277" i="2"/>
  <c r="T277" i="2"/>
  <c r="Q277" i="2"/>
  <c r="D277" i="2"/>
  <c r="AD276" i="2"/>
  <c r="K1213" i="9" s="1"/>
  <c r="AC276" i="2"/>
  <c r="G1213" i="9" s="1"/>
  <c r="AB276" i="2"/>
  <c r="F1213" i="9" s="1"/>
  <c r="AA276" i="2"/>
  <c r="E1213" i="9" s="1"/>
  <c r="Y276" i="2"/>
  <c r="AG339" i="2" s="1"/>
  <c r="J1268" i="9" s="1"/>
  <c r="X276" i="2"/>
  <c r="W276" i="2"/>
  <c r="Z339" i="2" s="1"/>
  <c r="D1268" i="9" s="1"/>
  <c r="V276" i="2"/>
  <c r="T276" i="2"/>
  <c r="Q276" i="2"/>
  <c r="D276" i="2"/>
  <c r="AD275" i="2"/>
  <c r="K1212" i="9" s="1"/>
  <c r="AC275" i="2"/>
  <c r="G1212" i="9" s="1"/>
  <c r="AB275" i="2"/>
  <c r="F1212" i="9" s="1"/>
  <c r="AA275" i="2"/>
  <c r="E1212" i="9" s="1"/>
  <c r="Y275" i="2"/>
  <c r="AG338" i="2" s="1"/>
  <c r="J1267" i="9" s="1"/>
  <c r="W275" i="2"/>
  <c r="V275" i="2"/>
  <c r="T275" i="2"/>
  <c r="Q275" i="2"/>
  <c r="X275" i="2" s="1"/>
  <c r="AE338" i="2" s="1"/>
  <c r="H1267" i="9" s="1"/>
  <c r="D275" i="2"/>
  <c r="AA128" i="9" s="1"/>
  <c r="AD274" i="2"/>
  <c r="K1211" i="9" s="1"/>
  <c r="AC274" i="2"/>
  <c r="G1211" i="9" s="1"/>
  <c r="AB274" i="2"/>
  <c r="F1211" i="9" s="1"/>
  <c r="AA274" i="2"/>
  <c r="E1211" i="9" s="1"/>
  <c r="Y274" i="2"/>
  <c r="AG337" i="2" s="1"/>
  <c r="J1266" i="9" s="1"/>
  <c r="W274" i="2"/>
  <c r="V274" i="2"/>
  <c r="T274" i="2"/>
  <c r="Q274" i="2"/>
  <c r="X274" i="2" s="1"/>
  <c r="D274" i="2"/>
  <c r="AD273" i="2"/>
  <c r="K1210" i="9" s="1"/>
  <c r="AC273" i="2"/>
  <c r="G1210" i="9" s="1"/>
  <c r="AB273" i="2"/>
  <c r="F1210" i="9" s="1"/>
  <c r="AA273" i="2"/>
  <c r="E1210" i="9" s="1"/>
  <c r="Y273" i="2"/>
  <c r="W273" i="2"/>
  <c r="V273" i="2"/>
  <c r="T273" i="2"/>
  <c r="Q273" i="2"/>
  <c r="X273" i="2" s="1"/>
  <c r="D273" i="2"/>
  <c r="AD272" i="2"/>
  <c r="AC272" i="2"/>
  <c r="AB272" i="2"/>
  <c r="AA272" i="2"/>
  <c r="Y272" i="2"/>
  <c r="AG335" i="2" s="1"/>
  <c r="W272" i="2"/>
  <c r="Z335" i="2" s="1"/>
  <c r="V272" i="2"/>
  <c r="T272" i="2"/>
  <c r="AF335" i="2" s="1"/>
  <c r="Q272" i="2"/>
  <c r="X272" i="2" s="1"/>
  <c r="AE335" i="2" s="1"/>
  <c r="D272" i="2"/>
  <c r="AG271" i="2"/>
  <c r="J1209" i="9" s="1"/>
  <c r="AD271" i="2"/>
  <c r="K1209" i="9" s="1"/>
  <c r="AC271" i="2"/>
  <c r="G1209" i="9" s="1"/>
  <c r="AB271" i="2"/>
  <c r="F1209" i="9" s="1"/>
  <c r="AA271" i="2"/>
  <c r="E1209" i="9" s="1"/>
  <c r="Y271" i="2"/>
  <c r="W271" i="2"/>
  <c r="V271" i="2"/>
  <c r="T271" i="2"/>
  <c r="Q271" i="2"/>
  <c r="X271" i="2" s="1"/>
  <c r="D271" i="2"/>
  <c r="AG270" i="2"/>
  <c r="J1208" i="9" s="1"/>
  <c r="AD270" i="2"/>
  <c r="K1208" i="9" s="1"/>
  <c r="AC270" i="2"/>
  <c r="G1208" i="9" s="1"/>
  <c r="AB270" i="2"/>
  <c r="F1208" i="9" s="1"/>
  <c r="AA270" i="2"/>
  <c r="E1208" i="9" s="1"/>
  <c r="Y270" i="2"/>
  <c r="W270" i="2"/>
  <c r="Z333" i="2" s="1"/>
  <c r="D1263" i="9" s="1"/>
  <c r="V270" i="2"/>
  <c r="T270" i="2"/>
  <c r="Q270" i="2"/>
  <c r="X270" i="2" s="1"/>
  <c r="AE333" i="2" s="1"/>
  <c r="H1263" i="9" s="1"/>
  <c r="D270" i="2"/>
  <c r="AA124" i="9" s="1"/>
  <c r="AF269" i="2"/>
  <c r="I1207" i="9" s="1"/>
  <c r="AD269" i="2"/>
  <c r="K1207" i="9" s="1"/>
  <c r="AC269" i="2"/>
  <c r="G1207" i="9" s="1"/>
  <c r="AB269" i="2"/>
  <c r="F1207" i="9" s="1"/>
  <c r="AA269" i="2"/>
  <c r="E1207" i="9" s="1"/>
  <c r="Y269" i="2"/>
  <c r="W269" i="2"/>
  <c r="V269" i="2"/>
  <c r="T269" i="2"/>
  <c r="Q269" i="2"/>
  <c r="X269" i="2" s="1"/>
  <c r="D269" i="2"/>
  <c r="AD268" i="2"/>
  <c r="AC268" i="2"/>
  <c r="AB268" i="2"/>
  <c r="AA268" i="2"/>
  <c r="Y268" i="2"/>
  <c r="AG331" i="2" s="1"/>
  <c r="W268" i="2"/>
  <c r="Z331" i="2" s="1"/>
  <c r="V268" i="2"/>
  <c r="T268" i="2"/>
  <c r="AF331" i="2" s="1"/>
  <c r="Q268" i="2"/>
  <c r="X268" i="2" s="1"/>
  <c r="AE331" i="2" s="1"/>
  <c r="D268" i="2"/>
  <c r="AD267" i="2"/>
  <c r="K1206" i="9" s="1"/>
  <c r="AC267" i="2"/>
  <c r="G1206" i="9" s="1"/>
  <c r="AB267" i="2"/>
  <c r="F1206" i="9" s="1"/>
  <c r="AA267" i="2"/>
  <c r="E1206" i="9" s="1"/>
  <c r="Y267" i="2"/>
  <c r="AG330" i="2" s="1"/>
  <c r="J1261" i="9" s="1"/>
  <c r="W267" i="2"/>
  <c r="V267" i="2"/>
  <c r="T267" i="2"/>
  <c r="Q267" i="2"/>
  <c r="X267" i="2" s="1"/>
  <c r="D267" i="2"/>
  <c r="AG266" i="2"/>
  <c r="J1205" i="9" s="1"/>
  <c r="AD266" i="2"/>
  <c r="K1205" i="9" s="1"/>
  <c r="AC266" i="2"/>
  <c r="G1205" i="9" s="1"/>
  <c r="AB266" i="2"/>
  <c r="F1205" i="9" s="1"/>
  <c r="AA266" i="2"/>
  <c r="E1205" i="9" s="1"/>
  <c r="Y266" i="2"/>
  <c r="AG329" i="2" s="1"/>
  <c r="J1260" i="9" s="1"/>
  <c r="W266" i="2"/>
  <c r="Z329" i="2" s="1"/>
  <c r="D1260" i="9" s="1"/>
  <c r="V266" i="2"/>
  <c r="T266" i="2"/>
  <c r="AF329" i="2" s="1"/>
  <c r="I1260" i="9" s="1"/>
  <c r="Q266" i="2"/>
  <c r="X266" i="2" s="1"/>
  <c r="AE329" i="2" s="1"/>
  <c r="H1260" i="9" s="1"/>
  <c r="D266" i="2"/>
  <c r="AG265" i="2"/>
  <c r="J1204" i="9" s="1"/>
  <c r="AD265" i="2"/>
  <c r="K1204" i="9" s="1"/>
  <c r="AC265" i="2"/>
  <c r="G1204" i="9" s="1"/>
  <c r="AB265" i="2"/>
  <c r="F1204" i="9" s="1"/>
  <c r="AA265" i="2"/>
  <c r="E1204" i="9" s="1"/>
  <c r="Y265" i="2"/>
  <c r="W265" i="2"/>
  <c r="V265" i="2"/>
  <c r="T265" i="2"/>
  <c r="Q265" i="2"/>
  <c r="X265" i="2" s="1"/>
  <c r="D265" i="2"/>
  <c r="AA120" i="9" s="1"/>
  <c r="AG264" i="2"/>
  <c r="J1203" i="9" s="1"/>
  <c r="AD264" i="2"/>
  <c r="K1203" i="9" s="1"/>
  <c r="AC264" i="2"/>
  <c r="G1203" i="9" s="1"/>
  <c r="AB264" i="2"/>
  <c r="F1203" i="9" s="1"/>
  <c r="AA264" i="2"/>
  <c r="E1203" i="9" s="1"/>
  <c r="Y264" i="2"/>
  <c r="AG327" i="2" s="1"/>
  <c r="J1258" i="9" s="1"/>
  <c r="W264" i="2"/>
  <c r="V264" i="2"/>
  <c r="T264" i="2"/>
  <c r="AF327" i="2" s="1"/>
  <c r="I1258" i="9" s="1"/>
  <c r="Q264" i="2"/>
  <c r="X264" i="2" s="1"/>
  <c r="D264" i="2"/>
  <c r="AF263" i="2"/>
  <c r="AD263" i="2"/>
  <c r="AC263" i="2"/>
  <c r="AB263" i="2"/>
  <c r="AA263" i="2"/>
  <c r="Y263" i="2"/>
  <c r="AG326" i="2" s="1"/>
  <c r="W263" i="2"/>
  <c r="Z326" i="2" s="1"/>
  <c r="V263" i="2"/>
  <c r="T263" i="2"/>
  <c r="AF326" i="2" s="1"/>
  <c r="Q263" i="2"/>
  <c r="X263" i="2" s="1"/>
  <c r="AE326" i="2" s="1"/>
  <c r="D263" i="2"/>
  <c r="AD262" i="2"/>
  <c r="K1202" i="9" s="1"/>
  <c r="AC262" i="2"/>
  <c r="G1202" i="9" s="1"/>
  <c r="AB262" i="2"/>
  <c r="F1202" i="9" s="1"/>
  <c r="AA262" i="2"/>
  <c r="E1202" i="9" s="1"/>
  <c r="Y262" i="2"/>
  <c r="W262" i="2"/>
  <c r="V262" i="2"/>
  <c r="T262" i="2"/>
  <c r="Q262" i="2"/>
  <c r="X262" i="2" s="1"/>
  <c r="D262" i="2"/>
  <c r="AF261" i="2"/>
  <c r="I1201" i="9" s="1"/>
  <c r="AD261" i="2"/>
  <c r="K1201" i="9" s="1"/>
  <c r="AC261" i="2"/>
  <c r="G1201" i="9" s="1"/>
  <c r="AB261" i="2"/>
  <c r="F1201" i="9" s="1"/>
  <c r="AA261" i="2"/>
  <c r="E1201" i="9" s="1"/>
  <c r="Y261" i="2"/>
  <c r="W261" i="2"/>
  <c r="V261" i="2"/>
  <c r="T261" i="2"/>
  <c r="Q261" i="2"/>
  <c r="X261" i="2" s="1"/>
  <c r="D261" i="2"/>
  <c r="AD260" i="2"/>
  <c r="K1200" i="9" s="1"/>
  <c r="AC260" i="2"/>
  <c r="G1200" i="9" s="1"/>
  <c r="AB260" i="2"/>
  <c r="F1200" i="9" s="1"/>
  <c r="AA260" i="2"/>
  <c r="E1200" i="9" s="1"/>
  <c r="Y260" i="2"/>
  <c r="W260" i="2"/>
  <c r="Z323" i="2" s="1"/>
  <c r="D1255" i="9" s="1"/>
  <c r="V260" i="2"/>
  <c r="T260" i="2"/>
  <c r="Q260" i="2"/>
  <c r="X260" i="2" s="1"/>
  <c r="D260" i="2"/>
  <c r="AA116" i="9" s="1"/>
  <c r="AG259" i="2"/>
  <c r="J1199" i="9" s="1"/>
  <c r="AD259" i="2"/>
  <c r="K1199" i="9" s="1"/>
  <c r="AC259" i="2"/>
  <c r="G1199" i="9" s="1"/>
  <c r="AB259" i="2"/>
  <c r="F1199" i="9" s="1"/>
  <c r="AA259" i="2"/>
  <c r="E1199" i="9" s="1"/>
  <c r="Y259" i="2"/>
  <c r="W259" i="2"/>
  <c r="V259" i="2"/>
  <c r="T259" i="2"/>
  <c r="Q259" i="2"/>
  <c r="X259" i="2" s="1"/>
  <c r="D259" i="2"/>
  <c r="AG258" i="2"/>
  <c r="J1198" i="9" s="1"/>
  <c r="AD258" i="2"/>
  <c r="K1198" i="9" s="1"/>
  <c r="AC258" i="2"/>
  <c r="G1198" i="9" s="1"/>
  <c r="AB258" i="2"/>
  <c r="F1198" i="9" s="1"/>
  <c r="AA258" i="2"/>
  <c r="E1198" i="9" s="1"/>
  <c r="Y258" i="2"/>
  <c r="W258" i="2"/>
  <c r="Z321" i="2" s="1"/>
  <c r="D1253" i="9" s="1"/>
  <c r="V258" i="2"/>
  <c r="T258" i="2"/>
  <c r="Q258" i="2"/>
  <c r="X258" i="2" s="1"/>
  <c r="AE321" i="2" s="1"/>
  <c r="H1253" i="9" s="1"/>
  <c r="D258" i="2"/>
  <c r="AF257" i="2"/>
  <c r="I1197" i="9" s="1"/>
  <c r="AD257" i="2"/>
  <c r="K1197" i="9" s="1"/>
  <c r="AC257" i="2"/>
  <c r="G1197" i="9" s="1"/>
  <c r="AB257" i="2"/>
  <c r="F1197" i="9" s="1"/>
  <c r="AA257" i="2"/>
  <c r="E1197" i="9" s="1"/>
  <c r="Y257" i="2"/>
  <c r="W257" i="2"/>
  <c r="V257" i="2"/>
  <c r="T257" i="2"/>
  <c r="Q257" i="2"/>
  <c r="X257" i="2" s="1"/>
  <c r="D257" i="2"/>
  <c r="AD256" i="2"/>
  <c r="K1196" i="9" s="1"/>
  <c r="AC256" i="2"/>
  <c r="G1196" i="9" s="1"/>
  <c r="AB256" i="2"/>
  <c r="F1196" i="9" s="1"/>
  <c r="AA256" i="2"/>
  <c r="E1196" i="9" s="1"/>
  <c r="Y256" i="2"/>
  <c r="W256" i="2"/>
  <c r="V256" i="2"/>
  <c r="T256" i="2"/>
  <c r="Q256" i="2"/>
  <c r="X256" i="2" s="1"/>
  <c r="D256" i="2"/>
  <c r="AA112" i="9" s="1"/>
  <c r="AF255" i="2"/>
  <c r="I1195" i="9" s="1"/>
  <c r="AD255" i="2"/>
  <c r="K1195" i="9" s="1"/>
  <c r="AC255" i="2"/>
  <c r="G1195" i="9" s="1"/>
  <c r="AB255" i="2"/>
  <c r="F1195" i="9" s="1"/>
  <c r="AA255" i="2"/>
  <c r="E1195" i="9" s="1"/>
  <c r="Y255" i="2"/>
  <c r="W255" i="2"/>
  <c r="V255" i="2"/>
  <c r="T255" i="2"/>
  <c r="Q255" i="2"/>
  <c r="X255" i="2" s="1"/>
  <c r="D255" i="2"/>
  <c r="AG254" i="2"/>
  <c r="J1194" i="9" s="1"/>
  <c r="AD254" i="2"/>
  <c r="K1194" i="9" s="1"/>
  <c r="AC254" i="2"/>
  <c r="G1194" i="9" s="1"/>
  <c r="AB254" i="2"/>
  <c r="F1194" i="9" s="1"/>
  <c r="AA254" i="2"/>
  <c r="E1194" i="9" s="1"/>
  <c r="Y254" i="2"/>
  <c r="W254" i="2"/>
  <c r="V254" i="2"/>
  <c r="T254" i="2"/>
  <c r="AF317" i="2" s="1"/>
  <c r="I1249" i="9" s="1"/>
  <c r="Q254" i="2"/>
  <c r="X254" i="2" s="1"/>
  <c r="AE317" i="2" s="1"/>
  <c r="H1249" i="9" s="1"/>
  <c r="D254" i="2"/>
  <c r="AD253" i="2"/>
  <c r="K1193" i="9" s="1"/>
  <c r="AC253" i="2"/>
  <c r="G1193" i="9" s="1"/>
  <c r="AB253" i="2"/>
  <c r="F1193" i="9" s="1"/>
  <c r="AA253" i="2"/>
  <c r="E1193" i="9" s="1"/>
  <c r="Y253" i="2"/>
  <c r="W253" i="2"/>
  <c r="V253" i="2"/>
  <c r="T253" i="2"/>
  <c r="Q253" i="2"/>
  <c r="X253" i="2" s="1"/>
  <c r="D253" i="2"/>
  <c r="AD252" i="2"/>
  <c r="K1192" i="9" s="1"/>
  <c r="AC252" i="2"/>
  <c r="G1192" i="9" s="1"/>
  <c r="AB252" i="2"/>
  <c r="F1192" i="9" s="1"/>
  <c r="AA252" i="2"/>
  <c r="E1192" i="9" s="1"/>
  <c r="Y252" i="2"/>
  <c r="AG315" i="2" s="1"/>
  <c r="J1247" i="9" s="1"/>
  <c r="W252" i="2"/>
  <c r="V252" i="2"/>
  <c r="T252" i="2"/>
  <c r="AF315" i="2" s="1"/>
  <c r="I1247" i="9" s="1"/>
  <c r="Q252" i="2"/>
  <c r="X252" i="2" s="1"/>
  <c r="D252" i="2"/>
  <c r="AA108" i="9" s="1"/>
  <c r="AF251" i="2"/>
  <c r="AD251" i="2"/>
  <c r="AC251" i="2"/>
  <c r="AB251" i="2"/>
  <c r="AA251" i="2"/>
  <c r="Y251" i="2"/>
  <c r="AG314" i="2" s="1"/>
  <c r="W251" i="2"/>
  <c r="Z314" i="2" s="1"/>
  <c r="V251" i="2"/>
  <c r="T251" i="2"/>
  <c r="AF314" i="2" s="1"/>
  <c r="Q251" i="2"/>
  <c r="X251" i="2" s="1"/>
  <c r="AE314" i="2" s="1"/>
  <c r="D251" i="2"/>
  <c r="AD250" i="2"/>
  <c r="K1191" i="9" s="1"/>
  <c r="AC250" i="2"/>
  <c r="G1191" i="9" s="1"/>
  <c r="AB250" i="2"/>
  <c r="F1191" i="9" s="1"/>
  <c r="AA250" i="2"/>
  <c r="E1191" i="9" s="1"/>
  <c r="Y250" i="2"/>
  <c r="W250" i="2"/>
  <c r="V250" i="2"/>
  <c r="T250" i="2"/>
  <c r="Q250" i="2"/>
  <c r="X250" i="2" s="1"/>
  <c r="D250" i="2"/>
  <c r="AF249" i="2"/>
  <c r="I1190" i="9" s="1"/>
  <c r="AD249" i="2"/>
  <c r="K1190" i="9" s="1"/>
  <c r="AC249" i="2"/>
  <c r="G1190" i="9" s="1"/>
  <c r="AB249" i="2"/>
  <c r="F1190" i="9" s="1"/>
  <c r="AA249" i="2"/>
  <c r="E1190" i="9" s="1"/>
  <c r="Y249" i="2"/>
  <c r="W249" i="2"/>
  <c r="V249" i="2"/>
  <c r="T249" i="2"/>
  <c r="Q249" i="2"/>
  <c r="X249" i="2" s="1"/>
  <c r="D249" i="2"/>
  <c r="AD248" i="2"/>
  <c r="K1189" i="9" s="1"/>
  <c r="AC248" i="2"/>
  <c r="G1189" i="9" s="1"/>
  <c r="AB248" i="2"/>
  <c r="F1189" i="9" s="1"/>
  <c r="AA248" i="2"/>
  <c r="E1189" i="9" s="1"/>
  <c r="Y248" i="2"/>
  <c r="W248" i="2"/>
  <c r="Z311" i="2" s="1"/>
  <c r="D1244" i="9" s="1"/>
  <c r="V248" i="2"/>
  <c r="T248" i="2"/>
  <c r="Q248" i="2"/>
  <c r="X248" i="2" s="1"/>
  <c r="D248" i="2"/>
  <c r="AD247" i="2"/>
  <c r="K1188" i="9" s="1"/>
  <c r="AC247" i="2"/>
  <c r="G1188" i="9" s="1"/>
  <c r="AB247" i="2"/>
  <c r="F1188" i="9" s="1"/>
  <c r="AA247" i="2"/>
  <c r="E1188" i="9" s="1"/>
  <c r="Y247" i="2"/>
  <c r="W247" i="2"/>
  <c r="V247" i="2"/>
  <c r="T247" i="2"/>
  <c r="Q247" i="2"/>
  <c r="X247" i="2" s="1"/>
  <c r="D247" i="2"/>
  <c r="AA104" i="9" s="1"/>
  <c r="AD246" i="2"/>
  <c r="K1187" i="9" s="1"/>
  <c r="AC246" i="2"/>
  <c r="G1187" i="9" s="1"/>
  <c r="AB246" i="2"/>
  <c r="F1187" i="9" s="1"/>
  <c r="AA246" i="2"/>
  <c r="E1187" i="9" s="1"/>
  <c r="Y246" i="2"/>
  <c r="W246" i="2"/>
  <c r="Z309" i="2" s="1"/>
  <c r="D1242" i="9" s="1"/>
  <c r="V246" i="2"/>
  <c r="T246" i="2"/>
  <c r="Q246" i="2"/>
  <c r="X246" i="2" s="1"/>
  <c r="AE309" i="2" s="1"/>
  <c r="H1242" i="9" s="1"/>
  <c r="D246" i="2"/>
  <c r="AF245" i="2"/>
  <c r="I1186" i="9" s="1"/>
  <c r="AD245" i="2"/>
  <c r="K1186" i="9" s="1"/>
  <c r="AC245" i="2"/>
  <c r="G1186" i="9" s="1"/>
  <c r="AB245" i="2"/>
  <c r="F1186" i="9" s="1"/>
  <c r="AA245" i="2"/>
  <c r="E1186" i="9" s="1"/>
  <c r="Y245" i="2"/>
  <c r="W245" i="2"/>
  <c r="V245" i="2"/>
  <c r="T245" i="2"/>
  <c r="Q245" i="2"/>
  <c r="X245" i="2" s="1"/>
  <c r="D245" i="2"/>
  <c r="AD244" i="2"/>
  <c r="K1185" i="9" s="1"/>
  <c r="AC244" i="2"/>
  <c r="G1185" i="9" s="1"/>
  <c r="AB244" i="2"/>
  <c r="F1185" i="9" s="1"/>
  <c r="AA244" i="2"/>
  <c r="E1185" i="9" s="1"/>
  <c r="Y244" i="2"/>
  <c r="AG307" i="2" s="1"/>
  <c r="J1240" i="9" s="1"/>
  <c r="W244" i="2"/>
  <c r="V244" i="2"/>
  <c r="T244" i="2"/>
  <c r="Q244" i="2"/>
  <c r="X244" i="2" s="1"/>
  <c r="D244" i="2"/>
  <c r="AD243" i="2"/>
  <c r="AC243" i="2"/>
  <c r="AB243" i="2"/>
  <c r="AA243" i="2"/>
  <c r="Y243" i="2"/>
  <c r="AG306" i="2" s="1"/>
  <c r="W243" i="2"/>
  <c r="Z306" i="2" s="1"/>
  <c r="V243" i="2"/>
  <c r="T243" i="2"/>
  <c r="AF306" i="2" s="1"/>
  <c r="Q243" i="2"/>
  <c r="X243" i="2" s="1"/>
  <c r="AE306" i="2" s="1"/>
  <c r="D243" i="2"/>
  <c r="K209" i="4" s="1"/>
  <c r="AD242" i="2"/>
  <c r="K1184" i="9" s="1"/>
  <c r="AC242" i="2"/>
  <c r="G1184" i="9" s="1"/>
  <c r="AB242" i="2"/>
  <c r="F1184" i="9" s="1"/>
  <c r="AA242" i="2"/>
  <c r="E1184" i="9" s="1"/>
  <c r="Y242" i="2"/>
  <c r="W242" i="2"/>
  <c r="V242" i="2"/>
  <c r="T242" i="2"/>
  <c r="AF305" i="2" s="1"/>
  <c r="I1239" i="9" s="1"/>
  <c r="Q242" i="2"/>
  <c r="X242" i="2" s="1"/>
  <c r="AE305" i="2" s="1"/>
  <c r="H1239" i="9" s="1"/>
  <c r="D242" i="2"/>
  <c r="AD241" i="2"/>
  <c r="K1183" i="9" s="1"/>
  <c r="AC241" i="2"/>
  <c r="G1183" i="9" s="1"/>
  <c r="AB241" i="2"/>
  <c r="F1183" i="9" s="1"/>
  <c r="AA241" i="2"/>
  <c r="E1183" i="9" s="1"/>
  <c r="Y241" i="2"/>
  <c r="W241" i="2"/>
  <c r="V241" i="2"/>
  <c r="T241" i="2"/>
  <c r="Q241" i="2"/>
  <c r="X241" i="2" s="1"/>
  <c r="D241" i="2"/>
  <c r="AD240" i="2"/>
  <c r="K1182" i="9" s="1"/>
  <c r="AC240" i="2"/>
  <c r="G1182" i="9" s="1"/>
  <c r="AB240" i="2"/>
  <c r="F1182" i="9" s="1"/>
  <c r="AA240" i="2"/>
  <c r="E1182" i="9" s="1"/>
  <c r="Y240" i="2"/>
  <c r="AG303" i="2" s="1"/>
  <c r="J1237" i="9" s="1"/>
  <c r="W240" i="2"/>
  <c r="V240" i="2"/>
  <c r="T240" i="2"/>
  <c r="AF303" i="2" s="1"/>
  <c r="I1237" i="9" s="1"/>
  <c r="Q240" i="2"/>
  <c r="X240" i="2" s="1"/>
  <c r="D240" i="2"/>
  <c r="AD239" i="2"/>
  <c r="K1181" i="9" s="1"/>
  <c r="AC239" i="2"/>
  <c r="G1181" i="9" s="1"/>
  <c r="AB239" i="2"/>
  <c r="F1181" i="9" s="1"/>
  <c r="AA239" i="2"/>
  <c r="E1181" i="9" s="1"/>
  <c r="Y239" i="2"/>
  <c r="AG302" i="2" s="1"/>
  <c r="J1236" i="9" s="1"/>
  <c r="W239" i="2"/>
  <c r="V239" i="2"/>
  <c r="T239" i="2"/>
  <c r="Q239" i="2"/>
  <c r="X239" i="2" s="1"/>
  <c r="D239" i="2"/>
  <c r="AA97" i="9" s="1"/>
  <c r="AD238" i="2"/>
  <c r="AC238" i="2"/>
  <c r="AB238" i="2"/>
  <c r="AA238" i="2"/>
  <c r="Y238" i="2"/>
  <c r="AG301" i="2" s="1"/>
  <c r="X238" i="2"/>
  <c r="AE301" i="2" s="1"/>
  <c r="W238" i="2"/>
  <c r="Z301" i="2" s="1"/>
  <c r="V238" i="2"/>
  <c r="T238" i="2"/>
  <c r="AF301" i="2" s="1"/>
  <c r="Q238" i="2"/>
  <c r="D238" i="2"/>
  <c r="AD237" i="2"/>
  <c r="AC237" i="2"/>
  <c r="AB237" i="2"/>
  <c r="AA237" i="2"/>
  <c r="Y237" i="2"/>
  <c r="AG300" i="2" s="1"/>
  <c r="X237" i="2"/>
  <c r="AE300" i="2" s="1"/>
  <c r="W237" i="2"/>
  <c r="Z300" i="2" s="1"/>
  <c r="V237" i="2"/>
  <c r="T237" i="2"/>
  <c r="AF300" i="2" s="1"/>
  <c r="Q237" i="2"/>
  <c r="D237" i="2"/>
  <c r="AD236" i="2"/>
  <c r="K1180" i="9" s="1"/>
  <c r="AC236" i="2"/>
  <c r="G1180" i="9" s="1"/>
  <c r="AB236" i="2"/>
  <c r="F1180" i="9" s="1"/>
  <c r="AA236" i="2"/>
  <c r="E1180" i="9" s="1"/>
  <c r="Y236" i="2"/>
  <c r="X236" i="2"/>
  <c r="W236" i="2"/>
  <c r="Z299" i="2" s="1"/>
  <c r="D1235" i="9" s="1"/>
  <c r="V236" i="2"/>
  <c r="T236" i="2"/>
  <c r="Q236" i="2"/>
  <c r="D236" i="2"/>
  <c r="AD235" i="2"/>
  <c r="K1179" i="9" s="1"/>
  <c r="AC235" i="2"/>
  <c r="G1179" i="9" s="1"/>
  <c r="AB235" i="2"/>
  <c r="F1179" i="9" s="1"/>
  <c r="AA235" i="2"/>
  <c r="E1179" i="9" s="1"/>
  <c r="Y235" i="2"/>
  <c r="AG298" i="2" s="1"/>
  <c r="J1234" i="9" s="1"/>
  <c r="X235" i="2"/>
  <c r="AE298" i="2" s="1"/>
  <c r="H1234" i="9" s="1"/>
  <c r="W235" i="2"/>
  <c r="V235" i="2"/>
  <c r="T235" i="2"/>
  <c r="Q235" i="2"/>
  <c r="D235" i="2"/>
  <c r="AD234" i="2"/>
  <c r="K1178" i="9" s="1"/>
  <c r="AC234" i="2"/>
  <c r="G1178" i="9" s="1"/>
  <c r="AB234" i="2"/>
  <c r="F1178" i="9" s="1"/>
  <c r="AA234" i="2"/>
  <c r="E1178" i="9" s="1"/>
  <c r="Y234" i="2"/>
  <c r="AG297" i="2" s="1"/>
  <c r="J1233" i="9" s="1"/>
  <c r="X234" i="2"/>
  <c r="AE297" i="2" s="1"/>
  <c r="H1233" i="9" s="1"/>
  <c r="W234" i="2"/>
  <c r="Z297" i="2" s="1"/>
  <c r="D1233" i="9" s="1"/>
  <c r="V234" i="2"/>
  <c r="T234" i="2"/>
  <c r="Q234" i="2"/>
  <c r="D234" i="2"/>
  <c r="AD233" i="2"/>
  <c r="K1177" i="9" s="1"/>
  <c r="AC233" i="2"/>
  <c r="G1177" i="9" s="1"/>
  <c r="AB233" i="2"/>
  <c r="F1177" i="9" s="1"/>
  <c r="AA233" i="2"/>
  <c r="E1177" i="9" s="1"/>
  <c r="Z233" i="2"/>
  <c r="D1177" i="9" s="1"/>
  <c r="Y233" i="2"/>
  <c r="W233" i="2"/>
  <c r="V233" i="2"/>
  <c r="T233" i="2"/>
  <c r="Q233" i="2"/>
  <c r="X233" i="2" s="1"/>
  <c r="D233" i="2"/>
  <c r="AA93" i="9" s="1"/>
  <c r="AD232" i="2"/>
  <c r="K1176" i="9" s="1"/>
  <c r="AC232" i="2"/>
  <c r="G1176" i="9" s="1"/>
  <c r="AB232" i="2"/>
  <c r="F1176" i="9" s="1"/>
  <c r="AA232" i="2"/>
  <c r="E1176" i="9" s="1"/>
  <c r="Y232" i="2"/>
  <c r="X232" i="2"/>
  <c r="W232" i="2"/>
  <c r="V232" i="2"/>
  <c r="T232" i="2"/>
  <c r="Q232" i="2"/>
  <c r="D232" i="2"/>
  <c r="AD231" i="2"/>
  <c r="K1175" i="9" s="1"/>
  <c r="AC231" i="2"/>
  <c r="G1175" i="9" s="1"/>
  <c r="AB231" i="2"/>
  <c r="F1175" i="9" s="1"/>
  <c r="AA231" i="2"/>
  <c r="E1175" i="9" s="1"/>
  <c r="Y231" i="2"/>
  <c r="X231" i="2"/>
  <c r="AE294" i="2" s="1"/>
  <c r="H1230" i="9" s="1"/>
  <c r="W231" i="2"/>
  <c r="V231" i="2"/>
  <c r="T231" i="2"/>
  <c r="Q231" i="2"/>
  <c r="D231" i="2"/>
  <c r="AD230" i="2"/>
  <c r="K1174" i="9" s="1"/>
  <c r="AC230" i="2"/>
  <c r="G1174" i="9" s="1"/>
  <c r="AB230" i="2"/>
  <c r="F1174" i="9" s="1"/>
  <c r="AA230" i="2"/>
  <c r="E1174" i="9" s="1"/>
  <c r="Y230" i="2"/>
  <c r="AG293" i="2" s="1"/>
  <c r="J1229" i="9" s="1"/>
  <c r="X230" i="2"/>
  <c r="AE293" i="2" s="1"/>
  <c r="H1229" i="9" s="1"/>
  <c r="W230" i="2"/>
  <c r="Z293" i="2" s="1"/>
  <c r="D1229" i="9" s="1"/>
  <c r="V230" i="2"/>
  <c r="T230" i="2"/>
  <c r="AF293" i="2" s="1"/>
  <c r="I1229" i="9" s="1"/>
  <c r="Q230" i="2"/>
  <c r="D230" i="2"/>
  <c r="AG229" i="2"/>
  <c r="J1173" i="9" s="1"/>
  <c r="AD229" i="2"/>
  <c r="K1173" i="9" s="1"/>
  <c r="AC229" i="2"/>
  <c r="G1173" i="9" s="1"/>
  <c r="AB229" i="2"/>
  <c r="F1173" i="9" s="1"/>
  <c r="AA229" i="2"/>
  <c r="E1173" i="9" s="1"/>
  <c r="Y229" i="2"/>
  <c r="X229" i="2"/>
  <c r="W229" i="2"/>
  <c r="V229" i="2"/>
  <c r="T229" i="2"/>
  <c r="Q229" i="2"/>
  <c r="D229" i="2"/>
  <c r="AA89" i="9" s="1"/>
  <c r="AG228" i="2"/>
  <c r="J1172" i="9" s="1"/>
  <c r="AD228" i="2"/>
  <c r="K1172" i="9" s="1"/>
  <c r="AC228" i="2"/>
  <c r="G1172" i="9" s="1"/>
  <c r="AB228" i="2"/>
  <c r="F1172" i="9" s="1"/>
  <c r="AA228" i="2"/>
  <c r="E1172" i="9" s="1"/>
  <c r="Y228" i="2"/>
  <c r="X228" i="2"/>
  <c r="W228" i="2"/>
  <c r="Z291" i="2" s="1"/>
  <c r="D1227" i="9" s="1"/>
  <c r="V228" i="2"/>
  <c r="T228" i="2"/>
  <c r="Q228" i="2"/>
  <c r="D228" i="2"/>
  <c r="AD227" i="2"/>
  <c r="K1171" i="9" s="1"/>
  <c r="AC227" i="2"/>
  <c r="G1171" i="9" s="1"/>
  <c r="AB227" i="2"/>
  <c r="F1171" i="9" s="1"/>
  <c r="AA227" i="2"/>
  <c r="E1171" i="9" s="1"/>
  <c r="Z227" i="2"/>
  <c r="D1171" i="9" s="1"/>
  <c r="Y227" i="2"/>
  <c r="W227" i="2"/>
  <c r="V227" i="2"/>
  <c r="T227" i="2"/>
  <c r="Q227" i="2"/>
  <c r="X227" i="2" s="1"/>
  <c r="D227" i="2"/>
  <c r="AD226" i="2"/>
  <c r="K1170" i="9" s="1"/>
  <c r="AC226" i="2"/>
  <c r="G1170" i="9" s="1"/>
  <c r="AB226" i="2"/>
  <c r="F1170" i="9" s="1"/>
  <c r="AA226" i="2"/>
  <c r="E1170" i="9" s="1"/>
  <c r="Y226" i="2"/>
  <c r="AG289" i="2" s="1"/>
  <c r="J1225" i="9" s="1"/>
  <c r="X226" i="2"/>
  <c r="W226" i="2"/>
  <c r="V226" i="2"/>
  <c r="T226" i="2"/>
  <c r="Q226" i="2"/>
  <c r="D226" i="2"/>
  <c r="AD225" i="2"/>
  <c r="K1169" i="9" s="1"/>
  <c r="AC225" i="2"/>
  <c r="G1169" i="9" s="1"/>
  <c r="AB225" i="2"/>
  <c r="F1169" i="9" s="1"/>
  <c r="AA225" i="2"/>
  <c r="E1169" i="9" s="1"/>
  <c r="Z225" i="2"/>
  <c r="D1169" i="9" s="1"/>
  <c r="Y225" i="2"/>
  <c r="X225" i="2"/>
  <c r="W225" i="2"/>
  <c r="V225" i="2"/>
  <c r="T225" i="2"/>
  <c r="Q225" i="2"/>
  <c r="D225" i="2"/>
  <c r="AA85" i="9" s="1"/>
  <c r="AD224" i="2"/>
  <c r="K1168" i="9" s="1"/>
  <c r="AC224" i="2"/>
  <c r="G1168" i="9" s="1"/>
  <c r="AB224" i="2"/>
  <c r="F1168" i="9" s="1"/>
  <c r="AA224" i="2"/>
  <c r="E1168" i="9" s="1"/>
  <c r="Y224" i="2"/>
  <c r="X224" i="2"/>
  <c r="AE287" i="2" s="1"/>
  <c r="H1223" i="9" s="1"/>
  <c r="W224" i="2"/>
  <c r="V224" i="2"/>
  <c r="T224" i="2"/>
  <c r="AF287" i="2" s="1"/>
  <c r="I1223" i="9" s="1"/>
  <c r="Q224" i="2"/>
  <c r="D224" i="2"/>
  <c r="AD223" i="2"/>
  <c r="K1167" i="9" s="1"/>
  <c r="AC223" i="2"/>
  <c r="G1167" i="9" s="1"/>
  <c r="AB223" i="2"/>
  <c r="F1167" i="9" s="1"/>
  <c r="AA223" i="2"/>
  <c r="E1167" i="9" s="1"/>
  <c r="Y223" i="2"/>
  <c r="AG286" i="2" s="1"/>
  <c r="J1222" i="9" s="1"/>
  <c r="X223" i="2"/>
  <c r="AE286" i="2" s="1"/>
  <c r="H1222" i="9" s="1"/>
  <c r="W223" i="2"/>
  <c r="V223" i="2"/>
  <c r="T223" i="2"/>
  <c r="Q223" i="2"/>
  <c r="D223" i="2"/>
  <c r="AD222" i="2"/>
  <c r="K1166" i="9" s="1"/>
  <c r="AC222" i="2"/>
  <c r="G1166" i="9" s="1"/>
  <c r="AB222" i="2"/>
  <c r="F1166" i="9" s="1"/>
  <c r="AA222" i="2"/>
  <c r="E1166" i="9" s="1"/>
  <c r="Y222" i="2"/>
  <c r="AG285" i="2" s="1"/>
  <c r="J1221" i="9" s="1"/>
  <c r="X222" i="2"/>
  <c r="AE285" i="2" s="1"/>
  <c r="H1221" i="9" s="1"/>
  <c r="W222" i="2"/>
  <c r="V222" i="2"/>
  <c r="T222" i="2"/>
  <c r="Q222" i="2"/>
  <c r="D222" i="2"/>
  <c r="AD221" i="2"/>
  <c r="AC221" i="2"/>
  <c r="AB221" i="2"/>
  <c r="AA221" i="2"/>
  <c r="Y221" i="2"/>
  <c r="AG284" i="2" s="1"/>
  <c r="W221" i="2"/>
  <c r="Z284" i="2" s="1"/>
  <c r="V221" i="2"/>
  <c r="T221" i="2"/>
  <c r="AF284" i="2" s="1"/>
  <c r="Q221" i="2"/>
  <c r="X221" i="2" s="1"/>
  <c r="AE284" i="2" s="1"/>
  <c r="D221" i="2"/>
  <c r="AD220" i="2"/>
  <c r="K1165" i="9" s="1"/>
  <c r="AC220" i="2"/>
  <c r="G1165" i="9" s="1"/>
  <c r="AB220" i="2"/>
  <c r="F1165" i="9" s="1"/>
  <c r="AA220" i="2"/>
  <c r="E1165" i="9" s="1"/>
  <c r="Y220" i="2"/>
  <c r="AG283" i="2" s="1"/>
  <c r="J1220" i="9" s="1"/>
  <c r="X220" i="2"/>
  <c r="W220" i="2"/>
  <c r="V220" i="2"/>
  <c r="T220" i="2"/>
  <c r="Q220" i="2"/>
  <c r="D220" i="2"/>
  <c r="AA81" i="9" s="1"/>
  <c r="AD219" i="2"/>
  <c r="K1164" i="9" s="1"/>
  <c r="AC219" i="2"/>
  <c r="G1164" i="9" s="1"/>
  <c r="AB219" i="2"/>
  <c r="F1164" i="9" s="1"/>
  <c r="AA219" i="2"/>
  <c r="E1164" i="9" s="1"/>
  <c r="Y219" i="2"/>
  <c r="X219" i="2"/>
  <c r="W219" i="2"/>
  <c r="V219" i="2"/>
  <c r="T219" i="2"/>
  <c r="Q219" i="2"/>
  <c r="D219" i="2"/>
  <c r="AG218" i="2"/>
  <c r="J1163" i="9" s="1"/>
  <c r="AD218" i="2"/>
  <c r="K1163" i="9" s="1"/>
  <c r="AC218" i="2"/>
  <c r="G1163" i="9" s="1"/>
  <c r="AB218" i="2"/>
  <c r="F1163" i="9" s="1"/>
  <c r="AA218" i="2"/>
  <c r="E1163" i="9" s="1"/>
  <c r="Y218" i="2"/>
  <c r="X218" i="2"/>
  <c r="AE281" i="2" s="1"/>
  <c r="H1218" i="9" s="1"/>
  <c r="W218" i="2"/>
  <c r="Z281" i="2" s="1"/>
  <c r="D1218" i="9" s="1"/>
  <c r="V218" i="2"/>
  <c r="T218" i="2"/>
  <c r="Q218" i="2"/>
  <c r="D218" i="2"/>
  <c r="AD217" i="2"/>
  <c r="AC217" i="2"/>
  <c r="AB217" i="2"/>
  <c r="AA217" i="2"/>
  <c r="Y217" i="2"/>
  <c r="AG280" i="2" s="1"/>
  <c r="J1217" i="9" s="1"/>
  <c r="X217" i="2"/>
  <c r="AE280" i="2" s="1"/>
  <c r="H1217" i="9" s="1"/>
  <c r="W217" i="2"/>
  <c r="Z280" i="2" s="1"/>
  <c r="D1217" i="9" s="1"/>
  <c r="V217" i="2"/>
  <c r="T217" i="2"/>
  <c r="AF280" i="2" s="1"/>
  <c r="I1217" i="9" s="1"/>
  <c r="Q217" i="2"/>
  <c r="D217" i="2"/>
  <c r="AG216" i="2"/>
  <c r="J1162" i="9" s="1"/>
  <c r="AD216" i="2"/>
  <c r="K1162" i="9" s="1"/>
  <c r="AC216" i="2"/>
  <c r="G1162" i="9" s="1"/>
  <c r="AB216" i="2"/>
  <c r="F1162" i="9" s="1"/>
  <c r="AA216" i="2"/>
  <c r="E1162" i="9" s="1"/>
  <c r="Y216" i="2"/>
  <c r="AG279" i="2" s="1"/>
  <c r="J1216" i="9" s="1"/>
  <c r="X216" i="2"/>
  <c r="AE279" i="2" s="1"/>
  <c r="H1216" i="9" s="1"/>
  <c r="W216" i="2"/>
  <c r="V216" i="2"/>
  <c r="T216" i="2"/>
  <c r="AF279" i="2" s="1"/>
  <c r="I1216" i="9" s="1"/>
  <c r="Q216" i="2"/>
  <c r="D216" i="2"/>
  <c r="AD215" i="2"/>
  <c r="K1161" i="9" s="1"/>
  <c r="AC215" i="2"/>
  <c r="G1161" i="9" s="1"/>
  <c r="AB215" i="2"/>
  <c r="F1161" i="9" s="1"/>
  <c r="AA215" i="2"/>
  <c r="E1161" i="9" s="1"/>
  <c r="Z215" i="2"/>
  <c r="D1161" i="9" s="1"/>
  <c r="Y215" i="2"/>
  <c r="AG278" i="2" s="1"/>
  <c r="J1215" i="9" s="1"/>
  <c r="W215" i="2"/>
  <c r="V215" i="2"/>
  <c r="T215" i="2"/>
  <c r="Q215" i="2"/>
  <c r="X215" i="2" s="1"/>
  <c r="D215" i="2"/>
  <c r="AA77" i="9" s="1"/>
  <c r="AD214" i="2"/>
  <c r="K1160" i="9" s="1"/>
  <c r="AC214" i="2"/>
  <c r="G1160" i="9" s="1"/>
  <c r="AB214" i="2"/>
  <c r="F1160" i="9" s="1"/>
  <c r="AA214" i="2"/>
  <c r="E1160" i="9" s="1"/>
  <c r="Y214" i="2"/>
  <c r="AG277" i="2" s="1"/>
  <c r="J1214" i="9" s="1"/>
  <c r="X214" i="2"/>
  <c r="AE277" i="2" s="1"/>
  <c r="H1214" i="9" s="1"/>
  <c r="W214" i="2"/>
  <c r="V214" i="2"/>
  <c r="T214" i="2"/>
  <c r="AF277" i="2" s="1"/>
  <c r="I1214" i="9" s="1"/>
  <c r="Q214" i="2"/>
  <c r="D214" i="2"/>
  <c r="AD213" i="2"/>
  <c r="K1159" i="9" s="1"/>
  <c r="AC213" i="2"/>
  <c r="G1159" i="9" s="1"/>
  <c r="AB213" i="2"/>
  <c r="F1159" i="9" s="1"/>
  <c r="AA213" i="2"/>
  <c r="E1159" i="9" s="1"/>
  <c r="Y213" i="2"/>
  <c r="W213" i="2"/>
  <c r="V213" i="2"/>
  <c r="T213" i="2"/>
  <c r="Q213" i="2"/>
  <c r="X213" i="2" s="1"/>
  <c r="D213" i="2"/>
  <c r="AD212" i="2"/>
  <c r="K1158" i="9" s="1"/>
  <c r="AC212" i="2"/>
  <c r="G1158" i="9" s="1"/>
  <c r="AB212" i="2"/>
  <c r="F1158" i="9" s="1"/>
  <c r="AA212" i="2"/>
  <c r="E1158" i="9" s="1"/>
  <c r="Y212" i="2"/>
  <c r="X212" i="2"/>
  <c r="AE275" i="2" s="1"/>
  <c r="H1212" i="9" s="1"/>
  <c r="W212" i="2"/>
  <c r="Z275" i="2" s="1"/>
  <c r="D1212" i="9" s="1"/>
  <c r="V212" i="2"/>
  <c r="T212" i="2"/>
  <c r="Q212" i="2"/>
  <c r="D212" i="2"/>
  <c r="AD211" i="2"/>
  <c r="K1157" i="9" s="1"/>
  <c r="AC211" i="2"/>
  <c r="G1157" i="9" s="1"/>
  <c r="AB211" i="2"/>
  <c r="F1157" i="9" s="1"/>
  <c r="AA211" i="2"/>
  <c r="E1157" i="9" s="1"/>
  <c r="Y211" i="2"/>
  <c r="X211" i="2"/>
  <c r="W211" i="2"/>
  <c r="V211" i="2"/>
  <c r="T211" i="2"/>
  <c r="Q211" i="2"/>
  <c r="D211" i="2"/>
  <c r="AA73" i="9" s="1"/>
  <c r="AD210" i="2"/>
  <c r="K1156" i="9" s="1"/>
  <c r="AC210" i="2"/>
  <c r="G1156" i="9" s="1"/>
  <c r="AB210" i="2"/>
  <c r="F1156" i="9" s="1"/>
  <c r="AA210" i="2"/>
  <c r="E1156" i="9" s="1"/>
  <c r="Y210" i="2"/>
  <c r="W210" i="2"/>
  <c r="Z273" i="2" s="1"/>
  <c r="D1210" i="9" s="1"/>
  <c r="V210" i="2"/>
  <c r="T210" i="2"/>
  <c r="AF273" i="2" s="1"/>
  <c r="I1210" i="9" s="1"/>
  <c r="Q210" i="2"/>
  <c r="X210" i="2" s="1"/>
  <c r="D210" i="2"/>
  <c r="AD209" i="2"/>
  <c r="AC209" i="2"/>
  <c r="AB209" i="2"/>
  <c r="AA209" i="2"/>
  <c r="Y209" i="2"/>
  <c r="AG272" i="2" s="1"/>
  <c r="W209" i="2"/>
  <c r="Z272" i="2" s="1"/>
  <c r="V209" i="2"/>
  <c r="T209" i="2"/>
  <c r="AF272" i="2" s="1"/>
  <c r="Q209" i="2"/>
  <c r="X209" i="2" s="1"/>
  <c r="AE272" i="2" s="1"/>
  <c r="D209" i="2"/>
  <c r="AD208" i="2"/>
  <c r="K1155" i="9" s="1"/>
  <c r="AC208" i="2"/>
  <c r="G1155" i="9" s="1"/>
  <c r="AB208" i="2"/>
  <c r="F1155" i="9" s="1"/>
  <c r="AA208" i="2"/>
  <c r="E1155" i="9" s="1"/>
  <c r="Y208" i="2"/>
  <c r="W208" i="2"/>
  <c r="V208" i="2"/>
  <c r="T208" i="2"/>
  <c r="AF271" i="2" s="1"/>
  <c r="I1209" i="9" s="1"/>
  <c r="Q208" i="2"/>
  <c r="X208" i="2" s="1"/>
  <c r="D208" i="2"/>
  <c r="AG207" i="2"/>
  <c r="J1154" i="9" s="1"/>
  <c r="AD207" i="2"/>
  <c r="K1154" i="9" s="1"/>
  <c r="AC207" i="2"/>
  <c r="G1154" i="9" s="1"/>
  <c r="AB207" i="2"/>
  <c r="F1154" i="9" s="1"/>
  <c r="AA207" i="2"/>
  <c r="E1154" i="9" s="1"/>
  <c r="Y207" i="2"/>
  <c r="W207" i="2"/>
  <c r="V207" i="2"/>
  <c r="T207" i="2"/>
  <c r="Q207" i="2"/>
  <c r="X207" i="2" s="1"/>
  <c r="AE270" i="2" s="1"/>
  <c r="H1208" i="9" s="1"/>
  <c r="D207" i="2"/>
  <c r="AD206" i="2"/>
  <c r="K1153" i="9" s="1"/>
  <c r="AC206" i="2"/>
  <c r="G1153" i="9" s="1"/>
  <c r="AB206" i="2"/>
  <c r="F1153" i="9" s="1"/>
  <c r="AA206" i="2"/>
  <c r="E1153" i="9" s="1"/>
  <c r="Y206" i="2"/>
  <c r="AG269" i="2" s="1"/>
  <c r="J1207" i="9" s="1"/>
  <c r="W206" i="2"/>
  <c r="Z269" i="2" s="1"/>
  <c r="D1207" i="9" s="1"/>
  <c r="V206" i="2"/>
  <c r="T206" i="2"/>
  <c r="Q206" i="2"/>
  <c r="X206" i="2" s="1"/>
  <c r="D206" i="2"/>
  <c r="AA69" i="9" s="1"/>
  <c r="AD205" i="2"/>
  <c r="AC205" i="2"/>
  <c r="AB205" i="2"/>
  <c r="AA205" i="2"/>
  <c r="Y205" i="2"/>
  <c r="AG268" i="2" s="1"/>
  <c r="W205" i="2"/>
  <c r="Z268" i="2" s="1"/>
  <c r="V205" i="2"/>
  <c r="T205" i="2"/>
  <c r="AF268" i="2" s="1"/>
  <c r="Q205" i="2"/>
  <c r="X205" i="2" s="1"/>
  <c r="AE268" i="2" s="1"/>
  <c r="D205" i="2"/>
  <c r="AD204" i="2"/>
  <c r="K1152" i="9" s="1"/>
  <c r="AC204" i="2"/>
  <c r="G1152" i="9" s="1"/>
  <c r="AB204" i="2"/>
  <c r="F1152" i="9" s="1"/>
  <c r="AA204" i="2"/>
  <c r="E1152" i="9" s="1"/>
  <c r="Y204" i="2"/>
  <c r="W204" i="2"/>
  <c r="Z267" i="2" s="1"/>
  <c r="D1206" i="9" s="1"/>
  <c r="V204" i="2"/>
  <c r="T204" i="2"/>
  <c r="AF267" i="2" s="1"/>
  <c r="I1206" i="9" s="1"/>
  <c r="Q204" i="2"/>
  <c r="X204" i="2" s="1"/>
  <c r="D204" i="2"/>
  <c r="AD203" i="2"/>
  <c r="K1151" i="9" s="1"/>
  <c r="AC203" i="2"/>
  <c r="G1151" i="9" s="1"/>
  <c r="AB203" i="2"/>
  <c r="F1151" i="9" s="1"/>
  <c r="AA203" i="2"/>
  <c r="E1151" i="9" s="1"/>
  <c r="Z203" i="2"/>
  <c r="D1151" i="9" s="1"/>
  <c r="Y203" i="2"/>
  <c r="W203" i="2"/>
  <c r="V203" i="2"/>
  <c r="T203" i="2"/>
  <c r="Q203" i="2"/>
  <c r="X203" i="2" s="1"/>
  <c r="D203" i="2"/>
  <c r="AD202" i="2"/>
  <c r="K1150" i="9" s="1"/>
  <c r="AC202" i="2"/>
  <c r="G1150" i="9" s="1"/>
  <c r="AB202" i="2"/>
  <c r="F1150" i="9" s="1"/>
  <c r="AA202" i="2"/>
  <c r="E1150" i="9" s="1"/>
  <c r="Y202" i="2"/>
  <c r="W202" i="2"/>
  <c r="V202" i="2"/>
  <c r="T202" i="2"/>
  <c r="AF265" i="2" s="1"/>
  <c r="I1204" i="9" s="1"/>
  <c r="Q202" i="2"/>
  <c r="X202" i="2" s="1"/>
  <c r="D202" i="2"/>
  <c r="AD201" i="2"/>
  <c r="K1149" i="9" s="1"/>
  <c r="AC201" i="2"/>
  <c r="G1149" i="9" s="1"/>
  <c r="AB201" i="2"/>
  <c r="F1149" i="9" s="1"/>
  <c r="AA201" i="2"/>
  <c r="E1149" i="9" s="1"/>
  <c r="Y201" i="2"/>
  <c r="W201" i="2"/>
  <c r="V201" i="2"/>
  <c r="T201" i="2"/>
  <c r="Q201" i="2"/>
  <c r="X201" i="2" s="1"/>
  <c r="AE264" i="2" s="1"/>
  <c r="H1203" i="9" s="1"/>
  <c r="D201" i="2"/>
  <c r="AA65" i="9" s="1"/>
  <c r="AD200" i="2"/>
  <c r="AC200" i="2"/>
  <c r="AB200" i="2"/>
  <c r="AA200" i="2"/>
  <c r="Y200" i="2"/>
  <c r="AG263" i="2" s="1"/>
  <c r="W200" i="2"/>
  <c r="Z263" i="2" s="1"/>
  <c r="V200" i="2"/>
  <c r="T200" i="2"/>
  <c r="Q200" i="2"/>
  <c r="X200" i="2" s="1"/>
  <c r="AE263" i="2" s="1"/>
  <c r="D200" i="2"/>
  <c r="AD199" i="2"/>
  <c r="K1148" i="9" s="1"/>
  <c r="AC199" i="2"/>
  <c r="G1148" i="9" s="1"/>
  <c r="AB199" i="2"/>
  <c r="F1148" i="9" s="1"/>
  <c r="AA199" i="2"/>
  <c r="E1148" i="9" s="1"/>
  <c r="Y199" i="2"/>
  <c r="W199" i="2"/>
  <c r="V199" i="2"/>
  <c r="T199" i="2"/>
  <c r="Q199" i="2"/>
  <c r="X199" i="2" s="1"/>
  <c r="D199" i="2"/>
  <c r="AD198" i="2"/>
  <c r="K1147" i="9" s="1"/>
  <c r="AC198" i="2"/>
  <c r="G1147" i="9" s="1"/>
  <c r="AB198" i="2"/>
  <c r="F1147" i="9" s="1"/>
  <c r="AA198" i="2"/>
  <c r="E1147" i="9" s="1"/>
  <c r="Y198" i="2"/>
  <c r="W198" i="2"/>
  <c r="Z261" i="2" s="1"/>
  <c r="D1201" i="9" s="1"/>
  <c r="V198" i="2"/>
  <c r="T198" i="2"/>
  <c r="Q198" i="2"/>
  <c r="X198" i="2" s="1"/>
  <c r="D198" i="2"/>
  <c r="AF197" i="2"/>
  <c r="I1146" i="9" s="1"/>
  <c r="AD197" i="2"/>
  <c r="K1146" i="9" s="1"/>
  <c r="AC197" i="2"/>
  <c r="G1146" i="9" s="1"/>
  <c r="AB197" i="2"/>
  <c r="F1146" i="9" s="1"/>
  <c r="AA197" i="2"/>
  <c r="E1146" i="9" s="1"/>
  <c r="Y197" i="2"/>
  <c r="AG260" i="2" s="1"/>
  <c r="J1200" i="9" s="1"/>
  <c r="W197" i="2"/>
  <c r="V197" i="2"/>
  <c r="T197" i="2"/>
  <c r="Q197" i="2"/>
  <c r="X197" i="2" s="1"/>
  <c r="D197" i="2"/>
  <c r="AD196" i="2"/>
  <c r="K1145" i="9" s="1"/>
  <c r="AC196" i="2"/>
  <c r="G1145" i="9" s="1"/>
  <c r="AB196" i="2"/>
  <c r="F1145" i="9" s="1"/>
  <c r="AA196" i="2"/>
  <c r="E1145" i="9" s="1"/>
  <c r="Y196" i="2"/>
  <c r="W196" i="2"/>
  <c r="V196" i="2"/>
  <c r="T196" i="2"/>
  <c r="Q196" i="2"/>
  <c r="X196" i="2" s="1"/>
  <c r="D196" i="2"/>
  <c r="AA61" i="9" s="1"/>
  <c r="AD195" i="2"/>
  <c r="K1144" i="9" s="1"/>
  <c r="AC195" i="2"/>
  <c r="G1144" i="9" s="1"/>
  <c r="AB195" i="2"/>
  <c r="F1144" i="9" s="1"/>
  <c r="AA195" i="2"/>
  <c r="E1144" i="9" s="1"/>
  <c r="Y195" i="2"/>
  <c r="W195" i="2"/>
  <c r="V195" i="2"/>
  <c r="T195" i="2"/>
  <c r="Q195" i="2"/>
  <c r="X195" i="2" s="1"/>
  <c r="AE258" i="2" s="1"/>
  <c r="H1198" i="9" s="1"/>
  <c r="D195" i="2"/>
  <c r="AG194" i="2"/>
  <c r="J1143" i="9" s="1"/>
  <c r="AD194" i="2"/>
  <c r="K1143" i="9" s="1"/>
  <c r="AC194" i="2"/>
  <c r="G1143" i="9" s="1"/>
  <c r="AB194" i="2"/>
  <c r="F1143" i="9" s="1"/>
  <c r="AA194" i="2"/>
  <c r="E1143" i="9" s="1"/>
  <c r="Y194" i="2"/>
  <c r="AG257" i="2" s="1"/>
  <c r="J1197" i="9" s="1"/>
  <c r="W194" i="2"/>
  <c r="Z257" i="2" s="1"/>
  <c r="D1197" i="9" s="1"/>
  <c r="V194" i="2"/>
  <c r="T194" i="2"/>
  <c r="Q194" i="2"/>
  <c r="X194" i="2" s="1"/>
  <c r="D194" i="2"/>
  <c r="AD193" i="2"/>
  <c r="AC193" i="2"/>
  <c r="AB193" i="2"/>
  <c r="AA193" i="2"/>
  <c r="Y193" i="2"/>
  <c r="W193" i="2"/>
  <c r="V193" i="2"/>
  <c r="T193" i="2"/>
  <c r="Q193" i="2"/>
  <c r="X193" i="2" s="1"/>
  <c r="D193" i="2"/>
  <c r="AG192" i="2"/>
  <c r="AD192" i="2"/>
  <c r="AC192" i="2"/>
  <c r="AB192" i="2"/>
  <c r="AA192" i="2"/>
  <c r="Y192" i="2"/>
  <c r="W192" i="2"/>
  <c r="Z255" i="2" s="1"/>
  <c r="D1195" i="9" s="1"/>
  <c r="V192" i="2"/>
  <c r="T192" i="2"/>
  <c r="Q192" i="2"/>
  <c r="X192" i="2" s="1"/>
  <c r="D192" i="2"/>
  <c r="AA57" i="9" s="1"/>
  <c r="AD191" i="2"/>
  <c r="AC191" i="2"/>
  <c r="AB191" i="2"/>
  <c r="AA191" i="2"/>
  <c r="Z191" i="2"/>
  <c r="Y191" i="2"/>
  <c r="W191" i="2"/>
  <c r="V191" i="2"/>
  <c r="T191" i="2"/>
  <c r="Q191" i="2"/>
  <c r="X191" i="2" s="1"/>
  <c r="D191" i="2"/>
  <c r="AD190" i="2"/>
  <c r="AC190" i="2"/>
  <c r="AB190" i="2"/>
  <c r="AA190" i="2"/>
  <c r="Y190" i="2"/>
  <c r="AG253" i="2" s="1"/>
  <c r="J1193" i="9" s="1"/>
  <c r="W190" i="2"/>
  <c r="V190" i="2"/>
  <c r="T190" i="2"/>
  <c r="AF253" i="2" s="1"/>
  <c r="I1193" i="9" s="1"/>
  <c r="Q190" i="2"/>
  <c r="X190" i="2" s="1"/>
  <c r="D190" i="2"/>
  <c r="AD189" i="2"/>
  <c r="AC189" i="2"/>
  <c r="AB189" i="2"/>
  <c r="AA189" i="2"/>
  <c r="Y189" i="2"/>
  <c r="AG252" i="2" s="1"/>
  <c r="J1192" i="9" s="1"/>
  <c r="W189" i="2"/>
  <c r="V189" i="2"/>
  <c r="T189" i="2"/>
  <c r="Q189" i="2"/>
  <c r="X189" i="2" s="1"/>
  <c r="AE252" i="2" s="1"/>
  <c r="H1192" i="9" s="1"/>
  <c r="D189" i="2"/>
  <c r="AD188" i="2"/>
  <c r="AC188" i="2"/>
  <c r="AB188" i="2"/>
  <c r="AA188" i="2"/>
  <c r="Y188" i="2"/>
  <c r="AG251" i="2" s="1"/>
  <c r="W188" i="2"/>
  <c r="Z251" i="2" s="1"/>
  <c r="V188" i="2"/>
  <c r="T188" i="2"/>
  <c r="Q188" i="2"/>
  <c r="X188" i="2" s="1"/>
  <c r="AE251" i="2" s="1"/>
  <c r="D188" i="2"/>
  <c r="AD187" i="2"/>
  <c r="AC187" i="2"/>
  <c r="AB187" i="2"/>
  <c r="AA187" i="2"/>
  <c r="Y187" i="2"/>
  <c r="X187" i="2"/>
  <c r="W187" i="2"/>
  <c r="V187" i="2"/>
  <c r="T187" i="2"/>
  <c r="Q187" i="2"/>
  <c r="D187" i="2"/>
  <c r="AA53" i="9" s="1"/>
  <c r="AG186" i="2"/>
  <c r="AD186" i="2"/>
  <c r="AC186" i="2"/>
  <c r="AB186" i="2"/>
  <c r="AA186" i="2"/>
  <c r="Y186" i="2"/>
  <c r="X186" i="2"/>
  <c r="W186" i="2"/>
  <c r="Z249" i="2" s="1"/>
  <c r="D1190" i="9" s="1"/>
  <c r="V186" i="2"/>
  <c r="T186" i="2"/>
  <c r="Q186" i="2"/>
  <c r="D186" i="2"/>
  <c r="AD185" i="2"/>
  <c r="AC185" i="2"/>
  <c r="AB185" i="2"/>
  <c r="AA185" i="2"/>
  <c r="Y185" i="2"/>
  <c r="AG248" i="2" s="1"/>
  <c r="J1189" i="9" s="1"/>
  <c r="W185" i="2"/>
  <c r="V185" i="2"/>
  <c r="T185" i="2"/>
  <c r="Q185" i="2"/>
  <c r="X185" i="2" s="1"/>
  <c r="D185" i="2"/>
  <c r="AD184" i="2"/>
  <c r="AC184" i="2"/>
  <c r="AB184" i="2"/>
  <c r="AA184" i="2"/>
  <c r="Y184" i="2"/>
  <c r="AG247" i="2" s="1"/>
  <c r="J1188" i="9" s="1"/>
  <c r="X184" i="2"/>
  <c r="W184" i="2"/>
  <c r="V184" i="2"/>
  <c r="T184" i="2"/>
  <c r="Q184" i="2"/>
  <c r="D184" i="2"/>
  <c r="AG183" i="2"/>
  <c r="AD183" i="2"/>
  <c r="AC183" i="2"/>
  <c r="AB183" i="2"/>
  <c r="AA183" i="2"/>
  <c r="Y183" i="2"/>
  <c r="AG246" i="2" s="1"/>
  <c r="J1187" i="9" s="1"/>
  <c r="X183" i="2"/>
  <c r="W183" i="2"/>
  <c r="V183" i="2"/>
  <c r="T183" i="2"/>
  <c r="Q183" i="2"/>
  <c r="D183" i="2"/>
  <c r="AA49" i="9" s="1"/>
  <c r="AG182" i="2"/>
  <c r="AD182" i="2"/>
  <c r="AC182" i="2"/>
  <c r="AB182" i="2"/>
  <c r="AA182" i="2"/>
  <c r="Y182" i="2"/>
  <c r="AG245" i="2" s="1"/>
  <c r="J1186" i="9" s="1"/>
  <c r="X182" i="2"/>
  <c r="W182" i="2"/>
  <c r="Z245" i="2" s="1"/>
  <c r="D1186" i="9" s="1"/>
  <c r="V182" i="2"/>
  <c r="T182" i="2"/>
  <c r="Q182" i="2"/>
  <c r="D182" i="2"/>
  <c r="AD181" i="2"/>
  <c r="AC181" i="2"/>
  <c r="AB181" i="2"/>
  <c r="AA181" i="2"/>
  <c r="Y181" i="2"/>
  <c r="X181" i="2"/>
  <c r="W181" i="2"/>
  <c r="V181" i="2"/>
  <c r="T181" i="2"/>
  <c r="Q181" i="2"/>
  <c r="D181" i="2"/>
  <c r="AD180" i="2"/>
  <c r="AC180" i="2"/>
  <c r="AB180" i="2"/>
  <c r="AA180" i="2"/>
  <c r="Y180" i="2"/>
  <c r="AG243" i="2" s="1"/>
  <c r="X180" i="2"/>
  <c r="AE243" i="2" s="1"/>
  <c r="W180" i="2"/>
  <c r="Z243" i="2" s="1"/>
  <c r="V180" i="2"/>
  <c r="T180" i="2"/>
  <c r="AF243" i="2" s="1"/>
  <c r="Q180" i="2"/>
  <c r="D180" i="2"/>
  <c r="K154" i="4" s="1"/>
  <c r="AD179" i="2"/>
  <c r="AC179" i="2"/>
  <c r="AB179" i="2"/>
  <c r="AA179" i="2"/>
  <c r="Z179" i="2"/>
  <c r="Y179" i="2"/>
  <c r="AG242" i="2" s="1"/>
  <c r="J1184" i="9" s="1"/>
  <c r="W179" i="2"/>
  <c r="V179" i="2"/>
  <c r="T179" i="2"/>
  <c r="Q179" i="2"/>
  <c r="X179" i="2" s="1"/>
  <c r="D179" i="2"/>
  <c r="AA46" i="9" s="1"/>
  <c r="AD178" i="2"/>
  <c r="AC178" i="2"/>
  <c r="AB178" i="2"/>
  <c r="AA178" i="2"/>
  <c r="Y178" i="2"/>
  <c r="AG241" i="2" s="1"/>
  <c r="J1183" i="9" s="1"/>
  <c r="X178" i="2"/>
  <c r="W178" i="2"/>
  <c r="V178" i="2"/>
  <c r="T178" i="2"/>
  <c r="AF241" i="2" s="1"/>
  <c r="I1183" i="9" s="1"/>
  <c r="Q178" i="2"/>
  <c r="D178" i="2"/>
  <c r="AD177" i="2"/>
  <c r="AC177" i="2"/>
  <c r="AB177" i="2"/>
  <c r="AA177" i="2"/>
  <c r="Y177" i="2"/>
  <c r="AG240" i="2" s="1"/>
  <c r="J1182" i="9" s="1"/>
  <c r="X177" i="2"/>
  <c r="W177" i="2"/>
  <c r="V177" i="2"/>
  <c r="T177" i="2"/>
  <c r="Q177" i="2"/>
  <c r="D177" i="2"/>
  <c r="AD176" i="2"/>
  <c r="AC176" i="2"/>
  <c r="AB176" i="2"/>
  <c r="AA176" i="2"/>
  <c r="Y176" i="2"/>
  <c r="AG239" i="2" s="1"/>
  <c r="J1181" i="9" s="1"/>
  <c r="X176" i="2"/>
  <c r="W176" i="2"/>
  <c r="Z239" i="2" s="1"/>
  <c r="D1181" i="9" s="1"/>
  <c r="V176" i="2"/>
  <c r="T176" i="2"/>
  <c r="AF239" i="2" s="1"/>
  <c r="I1181" i="9" s="1"/>
  <c r="Q176" i="2"/>
  <c r="D176" i="2"/>
  <c r="AD175" i="2"/>
  <c r="AC175" i="2"/>
  <c r="AB175" i="2"/>
  <c r="AA175" i="2"/>
  <c r="Y175" i="2"/>
  <c r="AG238" i="2" s="1"/>
  <c r="W175" i="2"/>
  <c r="Z238" i="2" s="1"/>
  <c r="V175" i="2"/>
  <c r="T175" i="2"/>
  <c r="AF238" i="2" s="1"/>
  <c r="Q175" i="2"/>
  <c r="X175" i="2" s="1"/>
  <c r="AE238" i="2" s="1"/>
  <c r="D175" i="2"/>
  <c r="AD174" i="2"/>
  <c r="AC174" i="2"/>
  <c r="AB174" i="2"/>
  <c r="AA174" i="2"/>
  <c r="Y174" i="2"/>
  <c r="AG237" i="2" s="1"/>
  <c r="W174" i="2"/>
  <c r="Z237" i="2" s="1"/>
  <c r="V174" i="2"/>
  <c r="T174" i="2"/>
  <c r="AF237" i="2" s="1"/>
  <c r="Q174" i="2"/>
  <c r="X174" i="2" s="1"/>
  <c r="AE237" i="2" s="1"/>
  <c r="D174" i="2"/>
  <c r="AD173" i="2"/>
  <c r="AC173" i="2"/>
  <c r="AB173" i="2"/>
  <c r="AA173" i="2"/>
  <c r="Y173" i="2"/>
  <c r="AG236" i="2" s="1"/>
  <c r="J1180" i="9" s="1"/>
  <c r="W173" i="2"/>
  <c r="V173" i="2"/>
  <c r="T173" i="2"/>
  <c r="Q173" i="2"/>
  <c r="X173" i="2" s="1"/>
  <c r="D173" i="2"/>
  <c r="AA42" i="9" s="1"/>
  <c r="AD172" i="2"/>
  <c r="AC172" i="2"/>
  <c r="AB172" i="2"/>
  <c r="AA172" i="2"/>
  <c r="Y172" i="2"/>
  <c r="AG235" i="2" s="1"/>
  <c r="J1179" i="9" s="1"/>
  <c r="W172" i="2"/>
  <c r="V172" i="2"/>
  <c r="T172" i="2"/>
  <c r="Q172" i="2"/>
  <c r="X172" i="2" s="1"/>
  <c r="D172" i="2"/>
  <c r="AD171" i="2"/>
  <c r="AC171" i="2"/>
  <c r="AB171" i="2"/>
  <c r="AA171" i="2"/>
  <c r="Y171" i="2"/>
  <c r="AG234" i="2" s="1"/>
  <c r="J1178" i="9" s="1"/>
  <c r="W171" i="2"/>
  <c r="V171" i="2"/>
  <c r="T171" i="2"/>
  <c r="Q171" i="2"/>
  <c r="X171" i="2" s="1"/>
  <c r="AE234" i="2" s="1"/>
  <c r="H1178" i="9" s="1"/>
  <c r="D171" i="2"/>
  <c r="AG170" i="2"/>
  <c r="AD170" i="2"/>
  <c r="AC170" i="2"/>
  <c r="AB170" i="2"/>
  <c r="AA170" i="2"/>
  <c r="Y170" i="2"/>
  <c r="AG233" i="2" s="1"/>
  <c r="J1177" i="9" s="1"/>
  <c r="W170" i="2"/>
  <c r="V170" i="2"/>
  <c r="T170" i="2"/>
  <c r="AF233" i="2" s="1"/>
  <c r="I1177" i="9" s="1"/>
  <c r="Q170" i="2"/>
  <c r="X170" i="2" s="1"/>
  <c r="D170" i="2"/>
  <c r="AD169" i="2"/>
  <c r="AC169" i="2"/>
  <c r="AB169" i="2"/>
  <c r="AA169" i="2"/>
  <c r="Y169" i="2"/>
  <c r="X169" i="2"/>
  <c r="W169" i="2"/>
  <c r="V169" i="2"/>
  <c r="T169" i="2"/>
  <c r="Q169" i="2"/>
  <c r="D169" i="2"/>
  <c r="AA38" i="9" s="1"/>
  <c r="AG168" i="2"/>
  <c r="AD168" i="2"/>
  <c r="AC168" i="2"/>
  <c r="AB168" i="2"/>
  <c r="AA168" i="2"/>
  <c r="Y168" i="2"/>
  <c r="X168" i="2"/>
  <c r="W168" i="2"/>
  <c r="Z231" i="2" s="1"/>
  <c r="D1175" i="9" s="1"/>
  <c r="V168" i="2"/>
  <c r="T168" i="2"/>
  <c r="AF231" i="2" s="1"/>
  <c r="I1175" i="9" s="1"/>
  <c r="Q168" i="2"/>
  <c r="D168" i="2"/>
  <c r="AD167" i="2"/>
  <c r="AC167" i="2"/>
  <c r="AB167" i="2"/>
  <c r="AA167" i="2"/>
  <c r="Y167" i="2"/>
  <c r="AG230" i="2" s="1"/>
  <c r="J1174" i="9" s="1"/>
  <c r="W167" i="2"/>
  <c r="V167" i="2"/>
  <c r="T167" i="2"/>
  <c r="Q167" i="2"/>
  <c r="X167" i="2" s="1"/>
  <c r="D167" i="2"/>
  <c r="AD166" i="2"/>
  <c r="AC166" i="2"/>
  <c r="AB166" i="2"/>
  <c r="AA166" i="2"/>
  <c r="Y166" i="2"/>
  <c r="W166" i="2"/>
  <c r="V166" i="2"/>
  <c r="T166" i="2"/>
  <c r="Q166" i="2"/>
  <c r="X166" i="2" s="1"/>
  <c r="D166" i="2"/>
  <c r="AD165" i="2"/>
  <c r="AC165" i="2"/>
  <c r="AB165" i="2"/>
  <c r="AA165" i="2"/>
  <c r="Y165" i="2"/>
  <c r="W165" i="2"/>
  <c r="V165" i="2"/>
  <c r="T165" i="2"/>
  <c r="Q165" i="2"/>
  <c r="X165" i="2" s="1"/>
  <c r="AE228" i="2" s="1"/>
  <c r="H1172" i="9" s="1"/>
  <c r="D165" i="2"/>
  <c r="AA34" i="9" s="1"/>
  <c r="AD164" i="2"/>
  <c r="AC164" i="2"/>
  <c r="AB164" i="2"/>
  <c r="AA164" i="2"/>
  <c r="Y164" i="2"/>
  <c r="AG227" i="2" s="1"/>
  <c r="J1171" i="9" s="1"/>
  <c r="W164" i="2"/>
  <c r="V164" i="2"/>
  <c r="T164" i="2"/>
  <c r="AF227" i="2" s="1"/>
  <c r="I1171" i="9" s="1"/>
  <c r="Q164" i="2"/>
  <c r="X164" i="2" s="1"/>
  <c r="D164" i="2"/>
  <c r="AD163" i="2"/>
  <c r="AC163" i="2"/>
  <c r="AB163" i="2"/>
  <c r="AA163" i="2"/>
  <c r="Y163" i="2"/>
  <c r="W163" i="2"/>
  <c r="V163" i="2"/>
  <c r="T163" i="2"/>
  <c r="Q163" i="2"/>
  <c r="X163" i="2" s="1"/>
  <c r="D163" i="2"/>
  <c r="AD162" i="2"/>
  <c r="AC162" i="2"/>
  <c r="AB162" i="2"/>
  <c r="AA162" i="2"/>
  <c r="Y162" i="2"/>
  <c r="AG225" i="2" s="1"/>
  <c r="J1169" i="9" s="1"/>
  <c r="W162" i="2"/>
  <c r="V162" i="2"/>
  <c r="T162" i="2"/>
  <c r="AF225" i="2" s="1"/>
  <c r="I1169" i="9" s="1"/>
  <c r="Q162" i="2"/>
  <c r="X162" i="2" s="1"/>
  <c r="D162" i="2"/>
  <c r="AD161" i="2"/>
  <c r="AC161" i="2"/>
  <c r="AB161" i="2"/>
  <c r="AA161" i="2"/>
  <c r="Y161" i="2"/>
  <c r="AG224" i="2" s="1"/>
  <c r="J1168" i="9" s="1"/>
  <c r="W161" i="2"/>
  <c r="V161" i="2"/>
  <c r="T161" i="2"/>
  <c r="Q161" i="2"/>
  <c r="X161" i="2" s="1"/>
  <c r="D161" i="2"/>
  <c r="AA30" i="9" s="1"/>
  <c r="AD160" i="2"/>
  <c r="AC160" i="2"/>
  <c r="AB160" i="2"/>
  <c r="AA160" i="2"/>
  <c r="Y160" i="2"/>
  <c r="X160" i="2"/>
  <c r="W160" i="2"/>
  <c r="V160" i="2"/>
  <c r="T160" i="2"/>
  <c r="AF223" i="2" s="1"/>
  <c r="I1167" i="9" s="1"/>
  <c r="Q160" i="2"/>
  <c r="D160" i="2"/>
  <c r="AD159" i="2"/>
  <c r="AC159" i="2"/>
  <c r="AB159" i="2"/>
  <c r="AA159" i="2"/>
  <c r="Z159" i="2"/>
  <c r="Y159" i="2"/>
  <c r="AG222" i="2" s="1"/>
  <c r="J1166" i="9" s="1"/>
  <c r="W159" i="2"/>
  <c r="V159" i="2"/>
  <c r="T159" i="2"/>
  <c r="Q159" i="2"/>
  <c r="X159" i="2" s="1"/>
  <c r="D159" i="2"/>
  <c r="AD158" i="2"/>
  <c r="AC158" i="2"/>
  <c r="AB158" i="2"/>
  <c r="AA158" i="2"/>
  <c r="Y158" i="2"/>
  <c r="AG221" i="2" s="1"/>
  <c r="X158" i="2"/>
  <c r="AE221" i="2" s="1"/>
  <c r="W158" i="2"/>
  <c r="Z221" i="2" s="1"/>
  <c r="V158" i="2"/>
  <c r="T158" i="2"/>
  <c r="AF221" i="2" s="1"/>
  <c r="Q158" i="2"/>
  <c r="D158" i="2"/>
  <c r="AD157" i="2"/>
  <c r="AC157" i="2"/>
  <c r="AB157" i="2"/>
  <c r="AA157" i="2"/>
  <c r="Y157" i="2"/>
  <c r="X157" i="2"/>
  <c r="AE220" i="2" s="1"/>
  <c r="H1165" i="9" s="1"/>
  <c r="W157" i="2"/>
  <c r="V157" i="2"/>
  <c r="T157" i="2"/>
  <c r="Q157" i="2"/>
  <c r="D157" i="2"/>
  <c r="AD156" i="2"/>
  <c r="AC156" i="2"/>
  <c r="AB156" i="2"/>
  <c r="AA156" i="2"/>
  <c r="Y156" i="2"/>
  <c r="AG219" i="2" s="1"/>
  <c r="J1164" i="9" s="1"/>
  <c r="W156" i="2"/>
  <c r="V156" i="2"/>
  <c r="T156" i="2"/>
  <c r="Q156" i="2"/>
  <c r="X156" i="2" s="1"/>
  <c r="D156" i="2"/>
  <c r="AA26" i="9" s="1"/>
  <c r="AD155" i="2"/>
  <c r="AC155" i="2"/>
  <c r="AB155" i="2"/>
  <c r="AA155" i="2"/>
  <c r="Y155" i="2"/>
  <c r="X155" i="2"/>
  <c r="W155" i="2"/>
  <c r="V155" i="2"/>
  <c r="T155" i="2"/>
  <c r="Q155" i="2"/>
  <c r="D155" i="2"/>
  <c r="AD154" i="2"/>
  <c r="AC154" i="2"/>
  <c r="AB154" i="2"/>
  <c r="AA154" i="2"/>
  <c r="Y154" i="2"/>
  <c r="AG217" i="2" s="1"/>
  <c r="X154" i="2"/>
  <c r="AE217" i="2" s="1"/>
  <c r="W154" i="2"/>
  <c r="Z217" i="2" s="1"/>
  <c r="V154" i="2"/>
  <c r="T154" i="2"/>
  <c r="AF217" i="2" s="1"/>
  <c r="Q154" i="2"/>
  <c r="D154" i="2"/>
  <c r="AD153" i="2"/>
  <c r="AC153" i="2"/>
  <c r="AB153" i="2"/>
  <c r="AA153" i="2"/>
  <c r="Y153" i="2"/>
  <c r="W153" i="2"/>
  <c r="V153" i="2"/>
  <c r="T153" i="2"/>
  <c r="Q153" i="2"/>
  <c r="X153" i="2" s="1"/>
  <c r="AE216" i="2" s="1"/>
  <c r="H1162" i="9" s="1"/>
  <c r="D153" i="2"/>
  <c r="AD152" i="2"/>
  <c r="AC152" i="2"/>
  <c r="AB152" i="2"/>
  <c r="AA152" i="2"/>
  <c r="Y152" i="2"/>
  <c r="AG215" i="2" s="1"/>
  <c r="J1161" i="9" s="1"/>
  <c r="W152" i="2"/>
  <c r="V152" i="2"/>
  <c r="T152" i="2"/>
  <c r="Q152" i="2"/>
  <c r="X152" i="2" s="1"/>
  <c r="D152" i="2"/>
  <c r="AD151" i="2"/>
  <c r="AC151" i="2"/>
  <c r="AB151" i="2"/>
  <c r="AA151" i="2"/>
  <c r="Y151" i="2"/>
  <c r="AG214" i="2" s="1"/>
  <c r="J1160" i="9" s="1"/>
  <c r="W151" i="2"/>
  <c r="V151" i="2"/>
  <c r="T151" i="2"/>
  <c r="Q151" i="2"/>
  <c r="X151" i="2" s="1"/>
  <c r="D151" i="2"/>
  <c r="AA22" i="9" s="1"/>
  <c r="AD150" i="2"/>
  <c r="AC150" i="2"/>
  <c r="AB150" i="2"/>
  <c r="AA150" i="2"/>
  <c r="Y150" i="2"/>
  <c r="AG213" i="2" s="1"/>
  <c r="J1159" i="9" s="1"/>
  <c r="W150" i="2"/>
  <c r="Z213" i="2" s="1"/>
  <c r="D1159" i="9" s="1"/>
  <c r="V150" i="2"/>
  <c r="T150" i="2"/>
  <c r="AF213" i="2" s="1"/>
  <c r="I1159" i="9" s="1"/>
  <c r="Q150" i="2"/>
  <c r="X150" i="2" s="1"/>
  <c r="AE213" i="2" s="1"/>
  <c r="H1159" i="9" s="1"/>
  <c r="D150" i="2"/>
  <c r="AD149" i="2"/>
  <c r="AC149" i="2"/>
  <c r="AB149" i="2"/>
  <c r="AA149" i="2"/>
  <c r="Y149" i="2"/>
  <c r="AG212" i="2" s="1"/>
  <c r="J1158" i="9" s="1"/>
  <c r="W149" i="2"/>
  <c r="V149" i="2"/>
  <c r="T149" i="2"/>
  <c r="Q149" i="2"/>
  <c r="X149" i="2" s="1"/>
  <c r="AE212" i="2" s="1"/>
  <c r="H1158" i="9" s="1"/>
  <c r="D149" i="2"/>
  <c r="AD148" i="2"/>
  <c r="AC148" i="2"/>
  <c r="AB148" i="2"/>
  <c r="AA148" i="2"/>
  <c r="Y148" i="2"/>
  <c r="AG211" i="2" s="1"/>
  <c r="J1157" i="9" s="1"/>
  <c r="W148" i="2"/>
  <c r="V148" i="2"/>
  <c r="T148" i="2"/>
  <c r="Q148" i="2"/>
  <c r="X148" i="2" s="1"/>
  <c r="D148" i="2"/>
  <c r="AD147" i="2"/>
  <c r="AC147" i="2"/>
  <c r="AB147" i="2"/>
  <c r="AA147" i="2"/>
  <c r="Y147" i="2"/>
  <c r="AG210" i="2" s="1"/>
  <c r="J1156" i="9" s="1"/>
  <c r="W147" i="2"/>
  <c r="V147" i="2"/>
  <c r="T147" i="2"/>
  <c r="Q147" i="2"/>
  <c r="X147" i="2" s="1"/>
  <c r="AE210" i="2" s="1"/>
  <c r="H1156" i="9" s="1"/>
  <c r="D147" i="2"/>
  <c r="AA18" i="9" s="1"/>
  <c r="AG146" i="2"/>
  <c r="AD146" i="2"/>
  <c r="AC146" i="2"/>
  <c r="AB146" i="2"/>
  <c r="AA146" i="2"/>
  <c r="Y146" i="2"/>
  <c r="AG209" i="2" s="1"/>
  <c r="W146" i="2"/>
  <c r="Z209" i="2" s="1"/>
  <c r="V146" i="2"/>
  <c r="T146" i="2"/>
  <c r="AF209" i="2" s="1"/>
  <c r="Q146" i="2"/>
  <c r="X146" i="2" s="1"/>
  <c r="AE209" i="2" s="1"/>
  <c r="D146" i="2"/>
  <c r="AD145" i="2"/>
  <c r="AC145" i="2"/>
  <c r="AB145" i="2"/>
  <c r="AA145" i="2"/>
  <c r="Y145" i="2"/>
  <c r="W145" i="2"/>
  <c r="V145" i="2"/>
  <c r="T145" i="2"/>
  <c r="Q145" i="2"/>
  <c r="X145" i="2" s="1"/>
  <c r="AE208" i="2" s="1"/>
  <c r="H1155" i="9" s="1"/>
  <c r="D145" i="2"/>
  <c r="AG144" i="2"/>
  <c r="AD144" i="2"/>
  <c r="AC144" i="2"/>
  <c r="AB144" i="2"/>
  <c r="AA144" i="2"/>
  <c r="Y144" i="2"/>
  <c r="W144" i="2"/>
  <c r="V144" i="2"/>
  <c r="T144" i="2"/>
  <c r="Q144" i="2"/>
  <c r="X144" i="2" s="1"/>
  <c r="D144" i="2"/>
  <c r="AG143" i="2"/>
  <c r="AD143" i="2"/>
  <c r="AC143" i="2"/>
  <c r="AB143" i="2"/>
  <c r="AA143" i="2"/>
  <c r="Y143" i="2"/>
  <c r="AG206" i="2" s="1"/>
  <c r="J1153" i="9" s="1"/>
  <c r="W143" i="2"/>
  <c r="Z206" i="2" s="1"/>
  <c r="D1153" i="9" s="1"/>
  <c r="V143" i="2"/>
  <c r="T143" i="2"/>
  <c r="AF206" i="2" s="1"/>
  <c r="I1153" i="9" s="1"/>
  <c r="Q143" i="2"/>
  <c r="X143" i="2" s="1"/>
  <c r="AE206" i="2" s="1"/>
  <c r="H1153" i="9" s="1"/>
  <c r="D143" i="2"/>
  <c r="AD142" i="2"/>
  <c r="AC142" i="2"/>
  <c r="AB142" i="2"/>
  <c r="AA142" i="2"/>
  <c r="Y142" i="2"/>
  <c r="AG205" i="2" s="1"/>
  <c r="W142" i="2"/>
  <c r="Z205" i="2" s="1"/>
  <c r="V142" i="2"/>
  <c r="T142" i="2"/>
  <c r="AF205" i="2" s="1"/>
  <c r="Q142" i="2"/>
  <c r="X142" i="2" s="1"/>
  <c r="AE205" i="2" s="1"/>
  <c r="D142" i="2"/>
  <c r="AD141" i="2"/>
  <c r="AC141" i="2"/>
  <c r="AB141" i="2"/>
  <c r="AA141" i="2"/>
  <c r="Y141" i="2"/>
  <c r="AG204" i="2" s="1"/>
  <c r="J1152" i="9" s="1"/>
  <c r="W141" i="2"/>
  <c r="V141" i="2"/>
  <c r="T141" i="2"/>
  <c r="Q141" i="2"/>
  <c r="X141" i="2" s="1"/>
  <c r="AE204" i="2" s="1"/>
  <c r="H1152" i="9" s="1"/>
  <c r="D141" i="2"/>
  <c r="AD140" i="2"/>
  <c r="AC140" i="2"/>
  <c r="AB140" i="2"/>
  <c r="AA140" i="2"/>
  <c r="Y140" i="2"/>
  <c r="AG203" i="2" s="1"/>
  <c r="J1151" i="9" s="1"/>
  <c r="W140" i="2"/>
  <c r="V140" i="2"/>
  <c r="T140" i="2"/>
  <c r="Q140" i="2"/>
  <c r="X140" i="2" s="1"/>
  <c r="D140" i="2"/>
  <c r="AA14" i="9" s="1"/>
  <c r="AD139" i="2"/>
  <c r="AC139" i="2"/>
  <c r="AB139" i="2"/>
  <c r="AA139" i="2"/>
  <c r="Y139" i="2"/>
  <c r="AG202" i="2" s="1"/>
  <c r="J1150" i="9" s="1"/>
  <c r="W139" i="2"/>
  <c r="V139" i="2"/>
  <c r="T139" i="2"/>
  <c r="Q139" i="2"/>
  <c r="X139" i="2" s="1"/>
  <c r="D139" i="2"/>
  <c r="AG138" i="2"/>
  <c r="AD138" i="2"/>
  <c r="AC138" i="2"/>
  <c r="AB138" i="2"/>
  <c r="AA138" i="2"/>
  <c r="Y138" i="2"/>
  <c r="AG201" i="2" s="1"/>
  <c r="J1149" i="9" s="1"/>
  <c r="W138" i="2"/>
  <c r="Z201" i="2" s="1"/>
  <c r="D1149" i="9" s="1"/>
  <c r="V138" i="2"/>
  <c r="T138" i="2"/>
  <c r="AF201" i="2" s="1"/>
  <c r="I1149" i="9" s="1"/>
  <c r="Q138" i="2"/>
  <c r="X138" i="2" s="1"/>
  <c r="AE201" i="2" s="1"/>
  <c r="H1149" i="9" s="1"/>
  <c r="D138" i="2"/>
  <c r="AD137" i="2"/>
  <c r="AC137" i="2"/>
  <c r="AB137" i="2"/>
  <c r="AA137" i="2"/>
  <c r="Y137" i="2"/>
  <c r="AG200" i="2" s="1"/>
  <c r="X137" i="2"/>
  <c r="AE200" i="2" s="1"/>
  <c r="W137" i="2"/>
  <c r="Z200" i="2" s="1"/>
  <c r="V137" i="2"/>
  <c r="T137" i="2"/>
  <c r="AF200" i="2" s="1"/>
  <c r="Q137" i="2"/>
  <c r="D137" i="2"/>
  <c r="AG136" i="2"/>
  <c r="AD136" i="2"/>
  <c r="AC136" i="2"/>
  <c r="AB136" i="2"/>
  <c r="AA136" i="2"/>
  <c r="Y136" i="2"/>
  <c r="AG199" i="2" s="1"/>
  <c r="J1148" i="9" s="1"/>
  <c r="W136" i="2"/>
  <c r="V136" i="2"/>
  <c r="T136" i="2"/>
  <c r="AF199" i="2" s="1"/>
  <c r="I1148" i="9" s="1"/>
  <c r="Q136" i="2"/>
  <c r="X136" i="2" s="1"/>
  <c r="D136" i="2"/>
  <c r="AG135" i="2"/>
  <c r="AD135" i="2"/>
  <c r="AC135" i="2"/>
  <c r="AB135" i="2"/>
  <c r="AA135" i="2"/>
  <c r="Y135" i="2"/>
  <c r="AG198" i="2" s="1"/>
  <c r="J1147" i="9" s="1"/>
  <c r="X135" i="2"/>
  <c r="AE198" i="2" s="1"/>
  <c r="H1147" i="9" s="1"/>
  <c r="W135" i="2"/>
  <c r="V135" i="2"/>
  <c r="T135" i="2"/>
  <c r="Q135" i="2"/>
  <c r="D135" i="2"/>
  <c r="AA10" i="9" s="1"/>
  <c r="AD134" i="2"/>
  <c r="AC134" i="2"/>
  <c r="AB134" i="2"/>
  <c r="AA134" i="2"/>
  <c r="Y134" i="2"/>
  <c r="AG197" i="2" s="1"/>
  <c r="J1146" i="9" s="1"/>
  <c r="X134" i="2"/>
  <c r="W134" i="2"/>
  <c r="Z197" i="2" s="1"/>
  <c r="D1146" i="9" s="1"/>
  <c r="V134" i="2"/>
  <c r="T134" i="2"/>
  <c r="Q134" i="2"/>
  <c r="D134" i="2"/>
  <c r="AD133" i="2"/>
  <c r="AC133" i="2"/>
  <c r="AB133" i="2"/>
  <c r="AA133" i="2"/>
  <c r="Y133" i="2"/>
  <c r="X133" i="2"/>
  <c r="AE196" i="2" s="1"/>
  <c r="H1145" i="9" s="1"/>
  <c r="W133" i="2"/>
  <c r="V133" i="2"/>
  <c r="T133" i="2"/>
  <c r="Q133" i="2"/>
  <c r="D133" i="2"/>
  <c r="AD132" i="2"/>
  <c r="AC132" i="2"/>
  <c r="AB132" i="2"/>
  <c r="AA132" i="2"/>
  <c r="Y132" i="2"/>
  <c r="AG195" i="2" s="1"/>
  <c r="J1144" i="9" s="1"/>
  <c r="W132" i="2"/>
  <c r="V132" i="2"/>
  <c r="T132" i="2"/>
  <c r="Q132" i="2"/>
  <c r="X132" i="2" s="1"/>
  <c r="D132" i="2"/>
  <c r="AD131" i="2"/>
  <c r="AC131" i="2"/>
  <c r="AB131" i="2"/>
  <c r="AA131" i="2"/>
  <c r="Y131" i="2"/>
  <c r="W131" i="2"/>
  <c r="V131" i="2"/>
  <c r="T131" i="2"/>
  <c r="Q131" i="2"/>
  <c r="X131" i="2" s="1"/>
  <c r="AE194" i="2" s="1"/>
  <c r="H1143" i="9" s="1"/>
  <c r="D131" i="2"/>
  <c r="AA6" i="9" s="1"/>
  <c r="AD130" i="2"/>
  <c r="AC130" i="2"/>
  <c r="AB130" i="2"/>
  <c r="AA130" i="2"/>
  <c r="Y130" i="2"/>
  <c r="J788" i="9" s="1"/>
  <c r="X130" i="2"/>
  <c r="H788" i="9" s="1"/>
  <c r="W130" i="2"/>
  <c r="V130" i="2"/>
  <c r="C788" i="9" s="1"/>
  <c r="T130" i="2"/>
  <c r="I788" i="9" s="1"/>
  <c r="Q130" i="2"/>
  <c r="D130" i="2"/>
  <c r="K112" i="4" s="1"/>
  <c r="AD129" i="2"/>
  <c r="AC129" i="2"/>
  <c r="AB129" i="2"/>
  <c r="AA129" i="2"/>
  <c r="Y129" i="2"/>
  <c r="J787" i="9" s="1"/>
  <c r="W129" i="2"/>
  <c r="V129" i="2"/>
  <c r="C787" i="9" s="1"/>
  <c r="T129" i="2"/>
  <c r="Q129" i="2"/>
  <c r="X129" i="2" s="1"/>
  <c r="H787" i="9" s="1"/>
  <c r="D129" i="2"/>
  <c r="K111" i="4" s="1"/>
  <c r="AD128" i="2"/>
  <c r="AC128" i="2"/>
  <c r="AB128" i="2"/>
  <c r="AA128" i="2"/>
  <c r="Y128" i="2"/>
  <c r="J786" i="9" s="1"/>
  <c r="W128" i="2"/>
  <c r="V128" i="2"/>
  <c r="C786" i="9" s="1"/>
  <c r="T128" i="2"/>
  <c r="I786" i="9" s="1"/>
  <c r="Q128" i="2"/>
  <c r="X128" i="2" s="1"/>
  <c r="D128" i="2"/>
  <c r="K110" i="4" s="1"/>
  <c r="AD127" i="2"/>
  <c r="AC127" i="2"/>
  <c r="AB127" i="2"/>
  <c r="AA127" i="2"/>
  <c r="Y127" i="2"/>
  <c r="W127" i="2"/>
  <c r="V127" i="2"/>
  <c r="C785" i="9" s="1"/>
  <c r="T127" i="2"/>
  <c r="Q127" i="2"/>
  <c r="X127" i="2" s="1"/>
  <c r="H785" i="9" s="1"/>
  <c r="D127" i="2"/>
  <c r="K109" i="4" s="1"/>
  <c r="AD126" i="2"/>
  <c r="AC126" i="2"/>
  <c r="AB126" i="2"/>
  <c r="AA126" i="2"/>
  <c r="Y126" i="2"/>
  <c r="J784" i="9" s="1"/>
  <c r="W126" i="2"/>
  <c r="Z189" i="2" s="1"/>
  <c r="V126" i="2"/>
  <c r="C784" i="9" s="1"/>
  <c r="T126" i="2"/>
  <c r="I784" i="9" s="1"/>
  <c r="Q126" i="2"/>
  <c r="X126" i="2" s="1"/>
  <c r="H784" i="9" s="1"/>
  <c r="D126" i="2"/>
  <c r="K108" i="4" s="1"/>
  <c r="AD125" i="2"/>
  <c r="AC125" i="2"/>
  <c r="AB125" i="2"/>
  <c r="AA125" i="2"/>
  <c r="Y125" i="2"/>
  <c r="AG188" i="2" s="1"/>
  <c r="W125" i="2"/>
  <c r="Z188" i="2" s="1"/>
  <c r="V125" i="2"/>
  <c r="T125" i="2"/>
  <c r="AF188" i="2" s="1"/>
  <c r="Q125" i="2"/>
  <c r="X125" i="2" s="1"/>
  <c r="AE188" i="2" s="1"/>
  <c r="D125" i="2"/>
  <c r="AG124" i="2"/>
  <c r="AD124" i="2"/>
  <c r="AC124" i="2"/>
  <c r="AB124" i="2"/>
  <c r="AA124" i="2"/>
  <c r="Y124" i="2"/>
  <c r="W124" i="2"/>
  <c r="V124" i="2"/>
  <c r="C783" i="9" s="1"/>
  <c r="T124" i="2"/>
  <c r="I783" i="9" s="1"/>
  <c r="Q124" i="2"/>
  <c r="X124" i="2" s="1"/>
  <c r="D124" i="2"/>
  <c r="K107" i="4" s="1"/>
  <c r="AG123" i="2"/>
  <c r="AD123" i="2"/>
  <c r="AC123" i="2"/>
  <c r="AB123" i="2"/>
  <c r="AA123" i="2"/>
  <c r="Y123" i="2"/>
  <c r="J782" i="9" s="1"/>
  <c r="W123" i="2"/>
  <c r="V123" i="2"/>
  <c r="C782" i="9" s="1"/>
  <c r="T123" i="2"/>
  <c r="Q123" i="2"/>
  <c r="X123" i="2" s="1"/>
  <c r="H782" i="9" s="1"/>
  <c r="D123" i="2"/>
  <c r="K106" i="4" s="1"/>
  <c r="AG122" i="2"/>
  <c r="AD122" i="2"/>
  <c r="AC122" i="2"/>
  <c r="AB122" i="2"/>
  <c r="AA122" i="2"/>
  <c r="Y122" i="2"/>
  <c r="J781" i="9" s="1"/>
  <c r="W122" i="2"/>
  <c r="D781" i="9" s="1"/>
  <c r="V122" i="2"/>
  <c r="C781" i="9" s="1"/>
  <c r="T122" i="2"/>
  <c r="I781" i="9" s="1"/>
  <c r="Q122" i="2"/>
  <c r="X122" i="2" s="1"/>
  <c r="H781" i="9" s="1"/>
  <c r="D122" i="2"/>
  <c r="K105" i="4" s="1"/>
  <c r="AD121" i="2"/>
  <c r="AC121" i="2"/>
  <c r="AB121" i="2"/>
  <c r="AA121" i="2"/>
  <c r="Y121" i="2"/>
  <c r="J780" i="9" s="1"/>
  <c r="W121" i="2"/>
  <c r="V121" i="2"/>
  <c r="C780" i="9" s="1"/>
  <c r="T121" i="2"/>
  <c r="Q121" i="2"/>
  <c r="X121" i="2" s="1"/>
  <c r="H780" i="9" s="1"/>
  <c r="D121" i="2"/>
  <c r="K104" i="4" s="1"/>
  <c r="AG120" i="2"/>
  <c r="AD120" i="2"/>
  <c r="AC120" i="2"/>
  <c r="AB120" i="2"/>
  <c r="AA120" i="2"/>
  <c r="Y120" i="2"/>
  <c r="J779" i="9" s="1"/>
  <c r="W120" i="2"/>
  <c r="V120" i="2"/>
  <c r="C779" i="9" s="1"/>
  <c r="T120" i="2"/>
  <c r="I779" i="9" s="1"/>
  <c r="Q120" i="2"/>
  <c r="X120" i="2" s="1"/>
  <c r="D120" i="2"/>
  <c r="K103" i="4" s="1"/>
  <c r="AD119" i="2"/>
  <c r="AC119" i="2"/>
  <c r="AB119" i="2"/>
  <c r="AA119" i="2"/>
  <c r="Y119" i="2"/>
  <c r="J778" i="9" s="1"/>
  <c r="W119" i="2"/>
  <c r="V119" i="2"/>
  <c r="C778" i="9" s="1"/>
  <c r="T119" i="2"/>
  <c r="Q119" i="2"/>
  <c r="X119" i="2" s="1"/>
  <c r="H778" i="9" s="1"/>
  <c r="D119" i="2"/>
  <c r="K102" i="4" s="1"/>
  <c r="AD118" i="2"/>
  <c r="AC118" i="2"/>
  <c r="AB118" i="2"/>
  <c r="AA118" i="2"/>
  <c r="Y118" i="2"/>
  <c r="J777" i="9" s="1"/>
  <c r="W118" i="2"/>
  <c r="V118" i="2"/>
  <c r="C777" i="9" s="1"/>
  <c r="T118" i="2"/>
  <c r="I777" i="9" s="1"/>
  <c r="Q118" i="2"/>
  <c r="X118" i="2" s="1"/>
  <c r="H777" i="9" s="1"/>
  <c r="D118" i="2"/>
  <c r="K101" i="4" s="1"/>
  <c r="AD117" i="2"/>
  <c r="AC117" i="2"/>
  <c r="AB117" i="2"/>
  <c r="AA117" i="2"/>
  <c r="Y117" i="2"/>
  <c r="AG180" i="2" s="1"/>
  <c r="W117" i="2"/>
  <c r="V117" i="2"/>
  <c r="T117" i="2"/>
  <c r="AF180" i="2" s="1"/>
  <c r="Q117" i="2"/>
  <c r="X117" i="2" s="1"/>
  <c r="AE180" i="2" s="1"/>
  <c r="D117" i="2"/>
  <c r="K100" i="4" s="1"/>
  <c r="AD116" i="2"/>
  <c r="AC116" i="2"/>
  <c r="AB116" i="2"/>
  <c r="AA116" i="2"/>
  <c r="Y116" i="2"/>
  <c r="J776" i="9" s="1"/>
  <c r="W116" i="2"/>
  <c r="V116" i="2"/>
  <c r="C776" i="9" s="1"/>
  <c r="T116" i="2"/>
  <c r="I776" i="9" s="1"/>
  <c r="Q116" i="2"/>
  <c r="X116" i="2" s="1"/>
  <c r="D116" i="2"/>
  <c r="K99" i="4" s="1"/>
  <c r="AD115" i="2"/>
  <c r="AC115" i="2"/>
  <c r="AB115" i="2"/>
  <c r="AA115" i="2"/>
  <c r="Y115" i="2"/>
  <c r="W115" i="2"/>
  <c r="V115" i="2"/>
  <c r="C775" i="9" s="1"/>
  <c r="T115" i="2"/>
  <c r="Q115" i="2"/>
  <c r="X115" i="2" s="1"/>
  <c r="H775" i="9" s="1"/>
  <c r="D115" i="2"/>
  <c r="K98" i="4" s="1"/>
  <c r="AD114" i="2"/>
  <c r="AC114" i="2"/>
  <c r="AB114" i="2"/>
  <c r="AA114" i="2"/>
  <c r="Y114" i="2"/>
  <c r="J774" i="9" s="1"/>
  <c r="W114" i="2"/>
  <c r="Z177" i="2" s="1"/>
  <c r="V114" i="2"/>
  <c r="C774" i="9" s="1"/>
  <c r="T114" i="2"/>
  <c r="I774" i="9" s="1"/>
  <c r="Q114" i="2"/>
  <c r="X114" i="2" s="1"/>
  <c r="H774" i="9" s="1"/>
  <c r="D114" i="2"/>
  <c r="K97" i="4" s="1"/>
  <c r="AD113" i="2"/>
  <c r="AC113" i="2"/>
  <c r="AB113" i="2"/>
  <c r="AA113" i="2"/>
  <c r="Y113" i="2"/>
  <c r="X113" i="2"/>
  <c r="H773" i="9" s="1"/>
  <c r="W113" i="2"/>
  <c r="V113" i="2"/>
  <c r="C773" i="9" s="1"/>
  <c r="T113" i="2"/>
  <c r="Q113" i="2"/>
  <c r="D113" i="2"/>
  <c r="K96" i="4" s="1"/>
  <c r="AG112" i="2"/>
  <c r="AD112" i="2"/>
  <c r="AC112" i="2"/>
  <c r="AB112" i="2"/>
  <c r="AA112" i="2"/>
  <c r="Y112" i="2"/>
  <c r="AG175" i="2" s="1"/>
  <c r="W112" i="2"/>
  <c r="Z175" i="2" s="1"/>
  <c r="V112" i="2"/>
  <c r="T112" i="2"/>
  <c r="AF175" i="2" s="1"/>
  <c r="Q112" i="2"/>
  <c r="X112" i="2" s="1"/>
  <c r="AE175" i="2" s="1"/>
  <c r="D112" i="2"/>
  <c r="AG111" i="2"/>
  <c r="AD111" i="2"/>
  <c r="AC111" i="2"/>
  <c r="AB111" i="2"/>
  <c r="AA111" i="2"/>
  <c r="Y111" i="2"/>
  <c r="AG174" i="2" s="1"/>
  <c r="X111" i="2"/>
  <c r="AE174" i="2" s="1"/>
  <c r="W111" i="2"/>
  <c r="Z174" i="2" s="1"/>
  <c r="V111" i="2"/>
  <c r="T111" i="2"/>
  <c r="AF174" i="2" s="1"/>
  <c r="Q111" i="2"/>
  <c r="D111" i="2"/>
  <c r="AD110" i="2"/>
  <c r="AC110" i="2"/>
  <c r="AB110" i="2"/>
  <c r="AA110" i="2"/>
  <c r="Y110" i="2"/>
  <c r="J772" i="9" s="1"/>
  <c r="X110" i="2"/>
  <c r="H772" i="9" s="1"/>
  <c r="W110" i="2"/>
  <c r="Z173" i="2" s="1"/>
  <c r="V110" i="2"/>
  <c r="C772" i="9" s="1"/>
  <c r="T110" i="2"/>
  <c r="I772" i="9" s="1"/>
  <c r="Q110" i="2"/>
  <c r="D110" i="2"/>
  <c r="K95" i="4" s="1"/>
  <c r="AD109" i="2"/>
  <c r="AC109" i="2"/>
  <c r="AB109" i="2"/>
  <c r="AA109" i="2"/>
  <c r="Y109" i="2"/>
  <c r="J771" i="9" s="1"/>
  <c r="X109" i="2"/>
  <c r="H771" i="9" s="1"/>
  <c r="W109" i="2"/>
  <c r="V109" i="2"/>
  <c r="C771" i="9" s="1"/>
  <c r="T109" i="2"/>
  <c r="Q109" i="2"/>
  <c r="D109" i="2"/>
  <c r="K94" i="4" s="1"/>
  <c r="AD108" i="2"/>
  <c r="AC108" i="2"/>
  <c r="AB108" i="2"/>
  <c r="AA108" i="2"/>
  <c r="Y108" i="2"/>
  <c r="J770" i="9" s="1"/>
  <c r="W108" i="2"/>
  <c r="V108" i="2"/>
  <c r="C770" i="9" s="1"/>
  <c r="T108" i="2"/>
  <c r="I770" i="9" s="1"/>
  <c r="Q108" i="2"/>
  <c r="X108" i="2" s="1"/>
  <c r="D108" i="2"/>
  <c r="K93" i="4" s="1"/>
  <c r="AD107" i="2"/>
  <c r="AC107" i="2"/>
  <c r="AB107" i="2"/>
  <c r="AA107" i="2"/>
  <c r="Y107" i="2"/>
  <c r="J769" i="9" s="1"/>
  <c r="W107" i="2"/>
  <c r="V107" i="2"/>
  <c r="C769" i="9" s="1"/>
  <c r="T107" i="2"/>
  <c r="Q107" i="2"/>
  <c r="X107" i="2" s="1"/>
  <c r="H769" i="9" s="1"/>
  <c r="D107" i="2"/>
  <c r="K92" i="4" s="1"/>
  <c r="AD106" i="2"/>
  <c r="AC106" i="2"/>
  <c r="AB106" i="2"/>
  <c r="AA106" i="2"/>
  <c r="Y106" i="2"/>
  <c r="J768" i="9" s="1"/>
  <c r="X106" i="2"/>
  <c r="H768" i="9" s="1"/>
  <c r="W106" i="2"/>
  <c r="V106" i="2"/>
  <c r="C768" i="9" s="1"/>
  <c r="T106" i="2"/>
  <c r="I768" i="9" s="1"/>
  <c r="Q106" i="2"/>
  <c r="D106" i="2"/>
  <c r="K91" i="4" s="1"/>
  <c r="AD105" i="2"/>
  <c r="AC105" i="2"/>
  <c r="AB105" i="2"/>
  <c r="AA105" i="2"/>
  <c r="Y105" i="2"/>
  <c r="J767" i="9" s="1"/>
  <c r="W105" i="2"/>
  <c r="V105" i="2"/>
  <c r="C767" i="9" s="1"/>
  <c r="T105" i="2"/>
  <c r="Q105" i="2"/>
  <c r="X105" i="2" s="1"/>
  <c r="H767" i="9" s="1"/>
  <c r="D105" i="2"/>
  <c r="K90" i="4" s="1"/>
  <c r="AG104" i="2"/>
  <c r="AD104" i="2"/>
  <c r="AC104" i="2"/>
  <c r="AB104" i="2"/>
  <c r="AA104" i="2"/>
  <c r="Y104" i="2"/>
  <c r="J766" i="9" s="1"/>
  <c r="W104" i="2"/>
  <c r="Z167" i="2" s="1"/>
  <c r="V104" i="2"/>
  <c r="C766" i="9" s="1"/>
  <c r="T104" i="2"/>
  <c r="I766" i="9" s="1"/>
  <c r="Q104" i="2"/>
  <c r="X104" i="2" s="1"/>
  <c r="D104" i="2"/>
  <c r="K89" i="4" s="1"/>
  <c r="AD103" i="2"/>
  <c r="AC103" i="2"/>
  <c r="AB103" i="2"/>
  <c r="AA103" i="2"/>
  <c r="Y103" i="2"/>
  <c r="J765" i="9" s="1"/>
  <c r="W103" i="2"/>
  <c r="V103" i="2"/>
  <c r="C765" i="9" s="1"/>
  <c r="T103" i="2"/>
  <c r="Q103" i="2"/>
  <c r="X103" i="2" s="1"/>
  <c r="H765" i="9" s="1"/>
  <c r="D103" i="2"/>
  <c r="K88" i="4" s="1"/>
  <c r="AD102" i="2"/>
  <c r="AC102" i="2"/>
  <c r="AB102" i="2"/>
  <c r="AA102" i="2"/>
  <c r="Y102" i="2"/>
  <c r="J764" i="9" s="1"/>
  <c r="W102" i="2"/>
  <c r="Z165" i="2" s="1"/>
  <c r="V102" i="2"/>
  <c r="C764" i="9" s="1"/>
  <c r="T102" i="2"/>
  <c r="I764" i="9" s="1"/>
  <c r="Q102" i="2"/>
  <c r="X102" i="2" s="1"/>
  <c r="H764" i="9" s="1"/>
  <c r="D102" i="2"/>
  <c r="K87" i="4" s="1"/>
  <c r="AD101" i="2"/>
  <c r="AC101" i="2"/>
  <c r="AB101" i="2"/>
  <c r="AA101" i="2"/>
  <c r="Y101" i="2"/>
  <c r="J763" i="9" s="1"/>
  <c r="W101" i="2"/>
  <c r="V101" i="2"/>
  <c r="C763" i="9" s="1"/>
  <c r="T101" i="2"/>
  <c r="Q101" i="2"/>
  <c r="X101" i="2" s="1"/>
  <c r="H763" i="9" s="1"/>
  <c r="D101" i="2"/>
  <c r="K86" i="4" s="1"/>
  <c r="AD100" i="2"/>
  <c r="AC100" i="2"/>
  <c r="AB100" i="2"/>
  <c r="AA100" i="2"/>
  <c r="Y100" i="2"/>
  <c r="J762" i="9" s="1"/>
  <c r="W100" i="2"/>
  <c r="V100" i="2"/>
  <c r="C762" i="9" s="1"/>
  <c r="T100" i="2"/>
  <c r="I762" i="9" s="1"/>
  <c r="Q100" i="2"/>
  <c r="X100" i="2" s="1"/>
  <c r="D100" i="2"/>
  <c r="K85" i="4" s="1"/>
  <c r="AD99" i="2"/>
  <c r="AC99" i="2"/>
  <c r="AB99" i="2"/>
  <c r="AA99" i="2"/>
  <c r="Y99" i="2"/>
  <c r="J761" i="9" s="1"/>
  <c r="X99" i="2"/>
  <c r="H761" i="9" s="1"/>
  <c r="W99" i="2"/>
  <c r="V99" i="2"/>
  <c r="C761" i="9" s="1"/>
  <c r="T99" i="2"/>
  <c r="I761" i="9" s="1"/>
  <c r="Q99" i="2"/>
  <c r="D99" i="2"/>
  <c r="K84" i="4" s="1"/>
  <c r="AD98" i="2"/>
  <c r="AC98" i="2"/>
  <c r="AB98" i="2"/>
  <c r="AA98" i="2"/>
  <c r="Y98" i="2"/>
  <c r="J760" i="9" s="1"/>
  <c r="X98" i="2"/>
  <c r="H760" i="9" s="1"/>
  <c r="W98" i="2"/>
  <c r="Z161" i="2" s="1"/>
  <c r="V98" i="2"/>
  <c r="C760" i="9" s="1"/>
  <c r="T98" i="2"/>
  <c r="I760" i="9" s="1"/>
  <c r="Q98" i="2"/>
  <c r="D98" i="2"/>
  <c r="K83" i="4" s="1"/>
  <c r="AD97" i="2"/>
  <c r="AC97" i="2"/>
  <c r="AB97" i="2"/>
  <c r="AA97" i="2"/>
  <c r="Y97" i="2"/>
  <c r="J759" i="9" s="1"/>
  <c r="W97" i="2"/>
  <c r="Z160" i="2" s="1"/>
  <c r="V97" i="2"/>
  <c r="C759" i="9" s="1"/>
  <c r="T97" i="2"/>
  <c r="Q97" i="2"/>
  <c r="X97" i="2" s="1"/>
  <c r="H759" i="9" s="1"/>
  <c r="D97" i="2"/>
  <c r="K82" i="4" s="1"/>
  <c r="AD96" i="2"/>
  <c r="AC96" i="2"/>
  <c r="AB96" i="2"/>
  <c r="AA96" i="2"/>
  <c r="Y96" i="2"/>
  <c r="J758" i="9" s="1"/>
  <c r="W96" i="2"/>
  <c r="V96" i="2"/>
  <c r="C758" i="9" s="1"/>
  <c r="T96" i="2"/>
  <c r="I758" i="9" s="1"/>
  <c r="Q96" i="2"/>
  <c r="X96" i="2" s="1"/>
  <c r="D96" i="2"/>
  <c r="K81" i="4" s="1"/>
  <c r="AG95" i="2"/>
  <c r="AD95" i="2"/>
  <c r="AC95" i="2"/>
  <c r="AB95" i="2"/>
  <c r="AA95" i="2"/>
  <c r="Y95" i="2"/>
  <c r="AG158" i="2" s="1"/>
  <c r="W95" i="2"/>
  <c r="Z158" i="2" s="1"/>
  <c r="V95" i="2"/>
  <c r="T95" i="2"/>
  <c r="AF158" i="2" s="1"/>
  <c r="Q95" i="2"/>
  <c r="X95" i="2" s="1"/>
  <c r="AE158" i="2" s="1"/>
  <c r="D95" i="2"/>
  <c r="AD94" i="2"/>
  <c r="AC94" i="2"/>
  <c r="AB94" i="2"/>
  <c r="AA94" i="2"/>
  <c r="Y94" i="2"/>
  <c r="J757" i="9" s="1"/>
  <c r="W94" i="2"/>
  <c r="Z157" i="2" s="1"/>
  <c r="V94" i="2"/>
  <c r="C757" i="9" s="1"/>
  <c r="T94" i="2"/>
  <c r="I757" i="9" s="1"/>
  <c r="Q94" i="2"/>
  <c r="X94" i="2" s="1"/>
  <c r="H757" i="9" s="1"/>
  <c r="D94" i="2"/>
  <c r="K80" i="4" s="1"/>
  <c r="AD93" i="2"/>
  <c r="AC93" i="2"/>
  <c r="AB93" i="2"/>
  <c r="AA93" i="2"/>
  <c r="Y93" i="2"/>
  <c r="J756" i="9" s="1"/>
  <c r="W93" i="2"/>
  <c r="V93" i="2"/>
  <c r="C756" i="9" s="1"/>
  <c r="T93" i="2"/>
  <c r="Q93" i="2"/>
  <c r="X93" i="2" s="1"/>
  <c r="H756" i="9" s="1"/>
  <c r="D93" i="2"/>
  <c r="K79" i="4" s="1"/>
  <c r="AD92" i="2"/>
  <c r="AC92" i="2"/>
  <c r="AB92" i="2"/>
  <c r="AA92" i="2"/>
  <c r="Y92" i="2"/>
  <c r="W92" i="2"/>
  <c r="V92" i="2"/>
  <c r="C755" i="9" s="1"/>
  <c r="T92" i="2"/>
  <c r="I755" i="9" s="1"/>
  <c r="Q92" i="2"/>
  <c r="X92" i="2" s="1"/>
  <c r="D92" i="2"/>
  <c r="K78" i="4" s="1"/>
  <c r="AG91" i="2"/>
  <c r="AD91" i="2"/>
  <c r="AC91" i="2"/>
  <c r="AB91" i="2"/>
  <c r="AA91" i="2"/>
  <c r="Y91" i="2"/>
  <c r="AG154" i="2" s="1"/>
  <c r="W91" i="2"/>
  <c r="Z154" i="2" s="1"/>
  <c r="V91" i="2"/>
  <c r="T91" i="2"/>
  <c r="AF154" i="2" s="1"/>
  <c r="Q91" i="2"/>
  <c r="X91" i="2" s="1"/>
  <c r="AE154" i="2" s="1"/>
  <c r="D91" i="2"/>
  <c r="AD90" i="2"/>
  <c r="AC90" i="2"/>
  <c r="AB90" i="2"/>
  <c r="AA90" i="2"/>
  <c r="Y90" i="2"/>
  <c r="J754" i="9" s="1"/>
  <c r="W90" i="2"/>
  <c r="V90" i="2"/>
  <c r="C754" i="9" s="1"/>
  <c r="T90" i="2"/>
  <c r="I754" i="9" s="1"/>
  <c r="Q90" i="2"/>
  <c r="X90" i="2" s="1"/>
  <c r="H754" i="9" s="1"/>
  <c r="D90" i="2"/>
  <c r="K77" i="4" s="1"/>
  <c r="AD89" i="2"/>
  <c r="AC89" i="2"/>
  <c r="AB89" i="2"/>
  <c r="AA89" i="2"/>
  <c r="Y89" i="2"/>
  <c r="X89" i="2"/>
  <c r="H753" i="9" s="1"/>
  <c r="W89" i="2"/>
  <c r="V89" i="2"/>
  <c r="C753" i="9" s="1"/>
  <c r="T89" i="2"/>
  <c r="I753" i="9" s="1"/>
  <c r="Q89" i="2"/>
  <c r="D89" i="2"/>
  <c r="K76" i="4" s="1"/>
  <c r="AG88" i="2"/>
  <c r="AD88" i="2"/>
  <c r="AC88" i="2"/>
  <c r="AB88" i="2"/>
  <c r="AA88" i="2"/>
  <c r="Y88" i="2"/>
  <c r="J752" i="9" s="1"/>
  <c r="W88" i="2"/>
  <c r="V88" i="2"/>
  <c r="C752" i="9" s="1"/>
  <c r="T88" i="2"/>
  <c r="I752" i="9" s="1"/>
  <c r="Q88" i="2"/>
  <c r="X88" i="2" s="1"/>
  <c r="D88" i="2"/>
  <c r="K75" i="4" s="1"/>
  <c r="AG87" i="2"/>
  <c r="AD87" i="2"/>
  <c r="AC87" i="2"/>
  <c r="AB87" i="2"/>
  <c r="AA87" i="2"/>
  <c r="Y87" i="2"/>
  <c r="J751" i="9" s="1"/>
  <c r="X87" i="2"/>
  <c r="H751" i="9" s="1"/>
  <c r="W87" i="2"/>
  <c r="V87" i="2"/>
  <c r="C751" i="9" s="1"/>
  <c r="T87" i="2"/>
  <c r="I751" i="9" s="1"/>
  <c r="Q87" i="2"/>
  <c r="D87" i="2"/>
  <c r="K74" i="4" s="1"/>
  <c r="AD86" i="2"/>
  <c r="AC86" i="2"/>
  <c r="AB86" i="2"/>
  <c r="AA86" i="2"/>
  <c r="Y86" i="2"/>
  <c r="J750" i="9" s="1"/>
  <c r="X86" i="2"/>
  <c r="H750" i="9" s="1"/>
  <c r="W86" i="2"/>
  <c r="V86" i="2"/>
  <c r="C750" i="9" s="1"/>
  <c r="T86" i="2"/>
  <c r="I750" i="9" s="1"/>
  <c r="Q86" i="2"/>
  <c r="D86" i="2"/>
  <c r="K73" i="4" s="1"/>
  <c r="AD85" i="2"/>
  <c r="AC85" i="2"/>
  <c r="AB85" i="2"/>
  <c r="AA85" i="2"/>
  <c r="Y85" i="2"/>
  <c r="J749" i="9" s="1"/>
  <c r="X85" i="2"/>
  <c r="H749" i="9" s="1"/>
  <c r="W85" i="2"/>
  <c r="V85" i="2"/>
  <c r="C749" i="9" s="1"/>
  <c r="T85" i="2"/>
  <c r="I749" i="9" s="1"/>
  <c r="Q85" i="2"/>
  <c r="D85" i="2"/>
  <c r="K72" i="4" s="1"/>
  <c r="AD84" i="2"/>
  <c r="AC84" i="2"/>
  <c r="AB84" i="2"/>
  <c r="AA84" i="2"/>
  <c r="Y84" i="2"/>
  <c r="J748" i="9" s="1"/>
  <c r="W84" i="2"/>
  <c r="Z147" i="2" s="1"/>
  <c r="V84" i="2"/>
  <c r="C748" i="9" s="1"/>
  <c r="T84" i="2"/>
  <c r="I748" i="9" s="1"/>
  <c r="Q84" i="2"/>
  <c r="X84" i="2" s="1"/>
  <c r="D84" i="2"/>
  <c r="K71" i="4" s="1"/>
  <c r="AD83" i="2"/>
  <c r="AC83" i="2"/>
  <c r="AB83" i="2"/>
  <c r="AA83" i="2"/>
  <c r="Y83" i="2"/>
  <c r="W83" i="2"/>
  <c r="Z146" i="2" s="1"/>
  <c r="V83" i="2"/>
  <c r="T83" i="2"/>
  <c r="AF146" i="2" s="1"/>
  <c r="Q83" i="2"/>
  <c r="X83" i="2" s="1"/>
  <c r="AE146" i="2" s="1"/>
  <c r="D83" i="2"/>
  <c r="AD82" i="2"/>
  <c r="AC82" i="2"/>
  <c r="AB82" i="2"/>
  <c r="AA82" i="2"/>
  <c r="Y82" i="2"/>
  <c r="J747" i="9" s="1"/>
  <c r="X82" i="2"/>
  <c r="H747" i="9" s="1"/>
  <c r="W82" i="2"/>
  <c r="V82" i="2"/>
  <c r="C747" i="9" s="1"/>
  <c r="T82" i="2"/>
  <c r="I747" i="9" s="1"/>
  <c r="Q82" i="2"/>
  <c r="D82" i="2"/>
  <c r="K70" i="4" s="1"/>
  <c r="AD81" i="2"/>
  <c r="AC81" i="2"/>
  <c r="AB81" i="2"/>
  <c r="AA81" i="2"/>
  <c r="Y81" i="2"/>
  <c r="J746" i="9" s="1"/>
  <c r="W81" i="2"/>
  <c r="V81" i="2"/>
  <c r="C746" i="9" s="1"/>
  <c r="T81" i="2"/>
  <c r="I746" i="9" s="1"/>
  <c r="Q81" i="2"/>
  <c r="X81" i="2" s="1"/>
  <c r="H746" i="9" s="1"/>
  <c r="D81" i="2"/>
  <c r="K69" i="4" s="1"/>
  <c r="AD80" i="2"/>
  <c r="AC80" i="2"/>
  <c r="AB80" i="2"/>
  <c r="AA80" i="2"/>
  <c r="Y80" i="2"/>
  <c r="W80" i="2"/>
  <c r="V80" i="2"/>
  <c r="T80" i="2"/>
  <c r="AF143" i="2" s="1"/>
  <c r="Q80" i="2"/>
  <c r="X80" i="2" s="1"/>
  <c r="AE143" i="2" s="1"/>
  <c r="D80" i="2"/>
  <c r="AG79" i="2"/>
  <c r="AD79" i="2"/>
  <c r="AC79" i="2"/>
  <c r="AB79" i="2"/>
  <c r="AA79" i="2"/>
  <c r="Y79" i="2"/>
  <c r="AG142" i="2" s="1"/>
  <c r="W79" i="2"/>
  <c r="Z142" i="2" s="1"/>
  <c r="V79" i="2"/>
  <c r="T79" i="2"/>
  <c r="AF142" i="2" s="1"/>
  <c r="Q79" i="2"/>
  <c r="X79" i="2" s="1"/>
  <c r="AE142" i="2" s="1"/>
  <c r="D79" i="2"/>
  <c r="AD78" i="2"/>
  <c r="AC78" i="2"/>
  <c r="AB78" i="2"/>
  <c r="AA78" i="2"/>
  <c r="Y78" i="2"/>
  <c r="J745" i="9" s="1"/>
  <c r="W78" i="2"/>
  <c r="V78" i="2"/>
  <c r="C745" i="9" s="1"/>
  <c r="T78" i="2"/>
  <c r="I745" i="9" s="1"/>
  <c r="Q78" i="2"/>
  <c r="X78" i="2" s="1"/>
  <c r="H745" i="9" s="1"/>
  <c r="D78" i="2"/>
  <c r="K68" i="4" s="1"/>
  <c r="AD77" i="2"/>
  <c r="AC77" i="2"/>
  <c r="AB77" i="2"/>
  <c r="AA77" i="2"/>
  <c r="Y77" i="2"/>
  <c r="W77" i="2"/>
  <c r="V77" i="2"/>
  <c r="C744" i="9" s="1"/>
  <c r="T77" i="2"/>
  <c r="I744" i="9" s="1"/>
  <c r="Q77" i="2"/>
  <c r="X77" i="2" s="1"/>
  <c r="H744" i="9" s="1"/>
  <c r="D77" i="2"/>
  <c r="K67" i="4" s="1"/>
  <c r="AG76" i="2"/>
  <c r="AD76" i="2"/>
  <c r="AC76" i="2"/>
  <c r="AB76" i="2"/>
  <c r="AA76" i="2"/>
  <c r="Y76" i="2"/>
  <c r="W76" i="2"/>
  <c r="V76" i="2"/>
  <c r="C743" i="9" s="1"/>
  <c r="T76" i="2"/>
  <c r="I743" i="9" s="1"/>
  <c r="Q76" i="2"/>
  <c r="X76" i="2" s="1"/>
  <c r="D76" i="2"/>
  <c r="K66" i="4" s="1"/>
  <c r="AG75" i="2"/>
  <c r="AD75" i="2"/>
  <c r="AC75" i="2"/>
  <c r="AB75" i="2"/>
  <c r="AA75" i="2"/>
  <c r="Y75" i="2"/>
  <c r="J742" i="9" s="1"/>
  <c r="X75" i="2"/>
  <c r="H742" i="9" s="1"/>
  <c r="W75" i="2"/>
  <c r="V75" i="2"/>
  <c r="C742" i="9" s="1"/>
  <c r="T75" i="2"/>
  <c r="I742" i="9" s="1"/>
  <c r="Q75" i="2"/>
  <c r="D75" i="2"/>
  <c r="K65" i="4" s="1"/>
  <c r="AD74" i="2"/>
  <c r="AC74" i="2"/>
  <c r="AB74" i="2"/>
  <c r="AA74" i="2"/>
  <c r="Y74" i="2"/>
  <c r="AG137" i="2" s="1"/>
  <c r="X74" i="2"/>
  <c r="AE137" i="2" s="1"/>
  <c r="W74" i="2"/>
  <c r="Z137" i="2" s="1"/>
  <c r="V74" i="2"/>
  <c r="T74" i="2"/>
  <c r="AF137" i="2" s="1"/>
  <c r="Q74" i="2"/>
  <c r="D74" i="2"/>
  <c r="AD73" i="2"/>
  <c r="AC73" i="2"/>
  <c r="AB73" i="2"/>
  <c r="AA73" i="2"/>
  <c r="Y73" i="2"/>
  <c r="J741" i="9" s="1"/>
  <c r="W73" i="2"/>
  <c r="V73" i="2"/>
  <c r="C741" i="9" s="1"/>
  <c r="T73" i="2"/>
  <c r="I741" i="9" s="1"/>
  <c r="Q73" i="2"/>
  <c r="X73" i="2" s="1"/>
  <c r="H741" i="9" s="1"/>
  <c r="D73" i="2"/>
  <c r="K64" i="4" s="1"/>
  <c r="AD72" i="2"/>
  <c r="AC72" i="2"/>
  <c r="AB72" i="2"/>
  <c r="AA72" i="2"/>
  <c r="Y72" i="2"/>
  <c r="J740" i="9" s="1"/>
  <c r="W72" i="2"/>
  <c r="Z135" i="2" s="1"/>
  <c r="V72" i="2"/>
  <c r="C740" i="9" s="1"/>
  <c r="T72" i="2"/>
  <c r="I740" i="9" s="1"/>
  <c r="Q72" i="2"/>
  <c r="X72" i="2" s="1"/>
  <c r="D72" i="2"/>
  <c r="K63" i="4" s="1"/>
  <c r="AG71" i="2"/>
  <c r="AD71" i="2"/>
  <c r="AC71" i="2"/>
  <c r="AB71" i="2"/>
  <c r="AA71" i="2"/>
  <c r="Y71" i="2"/>
  <c r="J739" i="9" s="1"/>
  <c r="W71" i="2"/>
  <c r="V71" i="2"/>
  <c r="C739" i="9" s="1"/>
  <c r="T71" i="2"/>
  <c r="I739" i="9" s="1"/>
  <c r="Q71" i="2"/>
  <c r="X71" i="2" s="1"/>
  <c r="H739" i="9" s="1"/>
  <c r="D71" i="2"/>
  <c r="K62" i="4" s="1"/>
  <c r="AD70" i="2"/>
  <c r="AC70" i="2"/>
  <c r="AB70" i="2"/>
  <c r="AA70" i="2"/>
  <c r="Y70" i="2"/>
  <c r="J738" i="9" s="1"/>
  <c r="W70" i="2"/>
  <c r="V70" i="2"/>
  <c r="C738" i="9" s="1"/>
  <c r="T70" i="2"/>
  <c r="I738" i="9" s="1"/>
  <c r="Q70" i="2"/>
  <c r="X70" i="2" s="1"/>
  <c r="H738" i="9" s="1"/>
  <c r="D70" i="2"/>
  <c r="K61" i="4" s="1"/>
  <c r="AD69" i="2"/>
  <c r="AC69" i="2"/>
  <c r="AB69" i="2"/>
  <c r="AA69" i="2"/>
  <c r="Y69" i="2"/>
  <c r="X69" i="2"/>
  <c r="H737" i="9" s="1"/>
  <c r="W69" i="2"/>
  <c r="V69" i="2"/>
  <c r="C737" i="9" s="1"/>
  <c r="T69" i="2"/>
  <c r="I737" i="9" s="1"/>
  <c r="Q69" i="2"/>
  <c r="D69" i="2"/>
  <c r="K60" i="4" s="1"/>
  <c r="AD68" i="2"/>
  <c r="AC68" i="2"/>
  <c r="AB68" i="2"/>
  <c r="AA68" i="2"/>
  <c r="Y68" i="2"/>
  <c r="W68" i="2"/>
  <c r="Z131" i="2" s="1"/>
  <c r="V68" i="2"/>
  <c r="C736" i="9" s="1"/>
  <c r="T68" i="2"/>
  <c r="I736" i="9" s="1"/>
  <c r="Q68" i="2"/>
  <c r="X68" i="2" s="1"/>
  <c r="D68" i="2"/>
  <c r="K59" i="4" s="1"/>
  <c r="AG67" i="2"/>
  <c r="AF67" i="2"/>
  <c r="AE67" i="2"/>
  <c r="AD67" i="2"/>
  <c r="AC67" i="2"/>
  <c r="AB67" i="2"/>
  <c r="AA67" i="2"/>
  <c r="Z67" i="2"/>
  <c r="Y67" i="2"/>
  <c r="AG130" i="2" s="1"/>
  <c r="W67" i="2"/>
  <c r="Z130" i="2" s="1"/>
  <c r="V67" i="2"/>
  <c r="T67" i="2"/>
  <c r="AF130" i="2" s="1"/>
  <c r="Q67" i="2"/>
  <c r="X67" i="2" s="1"/>
  <c r="AE130" i="2" s="1"/>
  <c r="D67" i="2"/>
  <c r="K58" i="4" s="1"/>
  <c r="AG66" i="2"/>
  <c r="AF66" i="2"/>
  <c r="AE66" i="2"/>
  <c r="AD66" i="2"/>
  <c r="AC66" i="2"/>
  <c r="AB66" i="2"/>
  <c r="AA66" i="2"/>
  <c r="Z66" i="2"/>
  <c r="Y66" i="2"/>
  <c r="AG129" i="2" s="1"/>
  <c r="W66" i="2"/>
  <c r="Z129" i="2" s="1"/>
  <c r="V66" i="2"/>
  <c r="T66" i="2"/>
  <c r="AF129" i="2" s="1"/>
  <c r="Q66" i="2"/>
  <c r="X66" i="2" s="1"/>
  <c r="AE129" i="2" s="1"/>
  <c r="D66" i="2"/>
  <c r="K57" i="4" s="1"/>
  <c r="AG65" i="2"/>
  <c r="AF65" i="2"/>
  <c r="AE65" i="2"/>
  <c r="AD65" i="2"/>
  <c r="AC65" i="2"/>
  <c r="AB65" i="2"/>
  <c r="AA65" i="2"/>
  <c r="Z65" i="2"/>
  <c r="Y65" i="2"/>
  <c r="AG128" i="2" s="1"/>
  <c r="X65" i="2"/>
  <c r="AE128" i="2" s="1"/>
  <c r="W65" i="2"/>
  <c r="Z128" i="2" s="1"/>
  <c r="V65" i="2"/>
  <c r="T65" i="2"/>
  <c r="AF128" i="2" s="1"/>
  <c r="Q65" i="2"/>
  <c r="D65" i="2"/>
  <c r="K56" i="4" s="1"/>
  <c r="AG64" i="2"/>
  <c r="AF64" i="2"/>
  <c r="AE64" i="2"/>
  <c r="AD64" i="2"/>
  <c r="AC64" i="2"/>
  <c r="AB64" i="2"/>
  <c r="AA64" i="2"/>
  <c r="Z64" i="2"/>
  <c r="Y64" i="2"/>
  <c r="AG127" i="2" s="1"/>
  <c r="W64" i="2"/>
  <c r="Z127" i="2" s="1"/>
  <c r="V64" i="2"/>
  <c r="T64" i="2"/>
  <c r="AF127" i="2" s="1"/>
  <c r="Q64" i="2"/>
  <c r="X64" i="2" s="1"/>
  <c r="AE127" i="2" s="1"/>
  <c r="D64" i="2"/>
  <c r="K55" i="4" s="1"/>
  <c r="AG63" i="2"/>
  <c r="AF63" i="2"/>
  <c r="AE63" i="2"/>
  <c r="AD63" i="2"/>
  <c r="AC63" i="2"/>
  <c r="AB63" i="2"/>
  <c r="AA63" i="2"/>
  <c r="Z63" i="2"/>
  <c r="Y63" i="2"/>
  <c r="AG126" i="2" s="1"/>
  <c r="W63" i="2"/>
  <c r="Z126" i="2" s="1"/>
  <c r="V63" i="2"/>
  <c r="T63" i="2"/>
  <c r="AF126" i="2" s="1"/>
  <c r="Q63" i="2"/>
  <c r="X63" i="2" s="1"/>
  <c r="AE126" i="2" s="1"/>
  <c r="D63" i="2"/>
  <c r="K54" i="4" s="1"/>
  <c r="AG62" i="2"/>
  <c r="AF62" i="2"/>
  <c r="AE62" i="2"/>
  <c r="AD62" i="2"/>
  <c r="AC62" i="2"/>
  <c r="AB62" i="2"/>
  <c r="AA62" i="2"/>
  <c r="Z62" i="2"/>
  <c r="Y62" i="2"/>
  <c r="AG125" i="2" s="1"/>
  <c r="X62" i="2"/>
  <c r="AE125" i="2" s="1"/>
  <c r="W62" i="2"/>
  <c r="Z125" i="2" s="1"/>
  <c r="V62" i="2"/>
  <c r="T62" i="2"/>
  <c r="AF125" i="2" s="1"/>
  <c r="Q62" i="2"/>
  <c r="D62" i="2"/>
  <c r="AG61" i="2"/>
  <c r="AF61" i="2"/>
  <c r="AE61" i="2"/>
  <c r="AD61" i="2"/>
  <c r="AC61" i="2"/>
  <c r="AB61" i="2"/>
  <c r="AA61" i="2"/>
  <c r="Z61" i="2"/>
  <c r="Y61" i="2"/>
  <c r="W61" i="2"/>
  <c r="Z124" i="2" s="1"/>
  <c r="V61" i="2"/>
  <c r="T61" i="2"/>
  <c r="AF124" i="2" s="1"/>
  <c r="Q61" i="2"/>
  <c r="X61" i="2" s="1"/>
  <c r="AE124" i="2" s="1"/>
  <c r="D61" i="2"/>
  <c r="K53" i="4" s="1"/>
  <c r="AG60" i="2"/>
  <c r="AF60" i="2"/>
  <c r="AE60" i="2"/>
  <c r="AD60" i="2"/>
  <c r="AC60" i="2"/>
  <c r="AB60" i="2"/>
  <c r="AA60" i="2"/>
  <c r="Z60" i="2"/>
  <c r="Y60" i="2"/>
  <c r="W60" i="2"/>
  <c r="Z123" i="2" s="1"/>
  <c r="V60" i="2"/>
  <c r="T60" i="2"/>
  <c r="AF123" i="2" s="1"/>
  <c r="Q60" i="2"/>
  <c r="X60" i="2" s="1"/>
  <c r="AE123" i="2" s="1"/>
  <c r="D60" i="2"/>
  <c r="K52" i="4" s="1"/>
  <c r="AG59" i="2"/>
  <c r="AF59" i="2"/>
  <c r="AE59" i="2"/>
  <c r="AD59" i="2"/>
  <c r="AC59" i="2"/>
  <c r="AB59" i="2"/>
  <c r="AA59" i="2"/>
  <c r="Z59" i="2"/>
  <c r="Y59" i="2"/>
  <c r="W59" i="2"/>
  <c r="Z122" i="2" s="1"/>
  <c r="V59" i="2"/>
  <c r="T59" i="2"/>
  <c r="AF122" i="2" s="1"/>
  <c r="Q59" i="2"/>
  <c r="X59" i="2" s="1"/>
  <c r="AE122" i="2" s="1"/>
  <c r="D59" i="2"/>
  <c r="AG58" i="2"/>
  <c r="AF58" i="2"/>
  <c r="AE58" i="2"/>
  <c r="AD58" i="2"/>
  <c r="AC58" i="2"/>
  <c r="AB58" i="2"/>
  <c r="AA58" i="2"/>
  <c r="Z58" i="2"/>
  <c r="Y58" i="2"/>
  <c r="AG121" i="2" s="1"/>
  <c r="X58" i="2"/>
  <c r="AE121" i="2" s="1"/>
  <c r="W58" i="2"/>
  <c r="Z121" i="2" s="1"/>
  <c r="V58" i="2"/>
  <c r="T58" i="2"/>
  <c r="AF121" i="2" s="1"/>
  <c r="Q58" i="2"/>
  <c r="D58" i="2"/>
  <c r="K51" i="4" s="1"/>
  <c r="AG57" i="2"/>
  <c r="AF57" i="2"/>
  <c r="AE57" i="2"/>
  <c r="AD57" i="2"/>
  <c r="AC57" i="2"/>
  <c r="AB57" i="2"/>
  <c r="AA57" i="2"/>
  <c r="Z57" i="2"/>
  <c r="Y57" i="2"/>
  <c r="W57" i="2"/>
  <c r="Z120" i="2" s="1"/>
  <c r="V57" i="2"/>
  <c r="T57" i="2"/>
  <c r="AF120" i="2" s="1"/>
  <c r="Q57" i="2"/>
  <c r="X57" i="2" s="1"/>
  <c r="AE120" i="2" s="1"/>
  <c r="D57" i="2"/>
  <c r="K50" i="4" s="1"/>
  <c r="AG56" i="2"/>
  <c r="AF56" i="2"/>
  <c r="AE56" i="2"/>
  <c r="AD56" i="2"/>
  <c r="AC56" i="2"/>
  <c r="AB56" i="2"/>
  <c r="AA56" i="2"/>
  <c r="Z56" i="2"/>
  <c r="Y56" i="2"/>
  <c r="AG119" i="2" s="1"/>
  <c r="W56" i="2"/>
  <c r="Z119" i="2" s="1"/>
  <c r="V56" i="2"/>
  <c r="T56" i="2"/>
  <c r="AF119" i="2" s="1"/>
  <c r="Q56" i="2"/>
  <c r="X56" i="2" s="1"/>
  <c r="AE119" i="2" s="1"/>
  <c r="D56" i="2"/>
  <c r="K49" i="4" s="1"/>
  <c r="AG55" i="2"/>
  <c r="AF55" i="2"/>
  <c r="AE55" i="2"/>
  <c r="AD55" i="2"/>
  <c r="AC55" i="2"/>
  <c r="AB55" i="2"/>
  <c r="AA55" i="2"/>
  <c r="Z55" i="2"/>
  <c r="Y55" i="2"/>
  <c r="AG118" i="2" s="1"/>
  <c r="X55" i="2"/>
  <c r="AE118" i="2" s="1"/>
  <c r="W55" i="2"/>
  <c r="Z118" i="2" s="1"/>
  <c r="V55" i="2"/>
  <c r="T55" i="2"/>
  <c r="AF118" i="2" s="1"/>
  <c r="Q55" i="2"/>
  <c r="D55" i="2"/>
  <c r="K48" i="4" s="1"/>
  <c r="AG54" i="2"/>
  <c r="AF54" i="2"/>
  <c r="AE54" i="2"/>
  <c r="AD54" i="2"/>
  <c r="AC54" i="2"/>
  <c r="AB54" i="2"/>
  <c r="AA54" i="2"/>
  <c r="Z54" i="2"/>
  <c r="Y54" i="2"/>
  <c r="AG117" i="2" s="1"/>
  <c r="W54" i="2"/>
  <c r="Z117" i="2" s="1"/>
  <c r="V54" i="2"/>
  <c r="T54" i="2"/>
  <c r="AF117" i="2" s="1"/>
  <c r="Q54" i="2"/>
  <c r="X54" i="2" s="1"/>
  <c r="AE117" i="2" s="1"/>
  <c r="D54" i="2"/>
  <c r="K47" i="4" s="1"/>
  <c r="AG53" i="2"/>
  <c r="AF53" i="2"/>
  <c r="AE53" i="2"/>
  <c r="AD53" i="2"/>
  <c r="AC53" i="2"/>
  <c r="AB53" i="2"/>
  <c r="AA53" i="2"/>
  <c r="Z53" i="2"/>
  <c r="Y53" i="2"/>
  <c r="AG116" i="2" s="1"/>
  <c r="X53" i="2"/>
  <c r="AE116" i="2" s="1"/>
  <c r="W53" i="2"/>
  <c r="Z116" i="2" s="1"/>
  <c r="V53" i="2"/>
  <c r="T53" i="2"/>
  <c r="AF116" i="2" s="1"/>
  <c r="Q53" i="2"/>
  <c r="D53" i="2"/>
  <c r="K46" i="4" s="1"/>
  <c r="AG52" i="2"/>
  <c r="AF52" i="2"/>
  <c r="AE52" i="2"/>
  <c r="AD52" i="2"/>
  <c r="AC52" i="2"/>
  <c r="AB52" i="2"/>
  <c r="AA52" i="2"/>
  <c r="Z52" i="2"/>
  <c r="Y52" i="2"/>
  <c r="AG115" i="2" s="1"/>
  <c r="W52" i="2"/>
  <c r="Z115" i="2" s="1"/>
  <c r="V52" i="2"/>
  <c r="T52" i="2"/>
  <c r="AF115" i="2" s="1"/>
  <c r="Q52" i="2"/>
  <c r="X52" i="2" s="1"/>
  <c r="AE115" i="2" s="1"/>
  <c r="D52" i="2"/>
  <c r="K45" i="4" s="1"/>
  <c r="AG51" i="2"/>
  <c r="AF51" i="2"/>
  <c r="AE51" i="2"/>
  <c r="AD51" i="2"/>
  <c r="AC51" i="2"/>
  <c r="AB51" i="2"/>
  <c r="AA51" i="2"/>
  <c r="Z51" i="2"/>
  <c r="Y51" i="2"/>
  <c r="AG114" i="2" s="1"/>
  <c r="X51" i="2"/>
  <c r="AE114" i="2" s="1"/>
  <c r="W51" i="2"/>
  <c r="Z114" i="2" s="1"/>
  <c r="V51" i="2"/>
  <c r="T51" i="2"/>
  <c r="AF114" i="2" s="1"/>
  <c r="Q51" i="2"/>
  <c r="D51" i="2"/>
  <c r="K44" i="4" s="1"/>
  <c r="AG50" i="2"/>
  <c r="AF50" i="2"/>
  <c r="AE50" i="2"/>
  <c r="AD50" i="2"/>
  <c r="AC50" i="2"/>
  <c r="AB50" i="2"/>
  <c r="AA50" i="2"/>
  <c r="Z50" i="2"/>
  <c r="Y50" i="2"/>
  <c r="AG113" i="2" s="1"/>
  <c r="W50" i="2"/>
  <c r="Z113" i="2" s="1"/>
  <c r="V50" i="2"/>
  <c r="T50" i="2"/>
  <c r="AF113" i="2" s="1"/>
  <c r="Q50" i="2"/>
  <c r="X50" i="2" s="1"/>
  <c r="AE113" i="2" s="1"/>
  <c r="D50" i="2"/>
  <c r="K43" i="4" s="1"/>
  <c r="AG49" i="2"/>
  <c r="AF49" i="2"/>
  <c r="AE49" i="2"/>
  <c r="AD49" i="2"/>
  <c r="AC49" i="2"/>
  <c r="AB49" i="2"/>
  <c r="AA49" i="2"/>
  <c r="Z49" i="2"/>
  <c r="Y49" i="2"/>
  <c r="W49" i="2"/>
  <c r="Z112" i="2" s="1"/>
  <c r="V49" i="2"/>
  <c r="T49" i="2"/>
  <c r="AF112" i="2" s="1"/>
  <c r="Q49" i="2"/>
  <c r="X49" i="2" s="1"/>
  <c r="AE112" i="2" s="1"/>
  <c r="D49" i="2"/>
  <c r="AG48" i="2"/>
  <c r="AF48" i="2"/>
  <c r="AE48" i="2"/>
  <c r="AD48" i="2"/>
  <c r="AC48" i="2"/>
  <c r="AB48" i="2"/>
  <c r="AA48" i="2"/>
  <c r="Z48" i="2"/>
  <c r="Y48" i="2"/>
  <c r="W48" i="2"/>
  <c r="Z111" i="2" s="1"/>
  <c r="V48" i="2"/>
  <c r="T48" i="2"/>
  <c r="AF111" i="2" s="1"/>
  <c r="Q48" i="2"/>
  <c r="X48" i="2" s="1"/>
  <c r="AE111" i="2" s="1"/>
  <c r="D48" i="2"/>
  <c r="AG47" i="2"/>
  <c r="AF47" i="2"/>
  <c r="AE47" i="2"/>
  <c r="AD47" i="2"/>
  <c r="AC47" i="2"/>
  <c r="AB47" i="2"/>
  <c r="AA47" i="2"/>
  <c r="Z47" i="2"/>
  <c r="Y47" i="2"/>
  <c r="AG110" i="2" s="1"/>
  <c r="X47" i="2"/>
  <c r="AE110" i="2" s="1"/>
  <c r="W47" i="2"/>
  <c r="Z110" i="2" s="1"/>
  <c r="V47" i="2"/>
  <c r="T47" i="2"/>
  <c r="AF110" i="2" s="1"/>
  <c r="Q47" i="2"/>
  <c r="D47" i="2"/>
  <c r="K42" i="4" s="1"/>
  <c r="AG46" i="2"/>
  <c r="AF46" i="2"/>
  <c r="AE46" i="2"/>
  <c r="AD46" i="2"/>
  <c r="AC46" i="2"/>
  <c r="AB46" i="2"/>
  <c r="AA46" i="2"/>
  <c r="Z46" i="2"/>
  <c r="Y46" i="2"/>
  <c r="AG109" i="2" s="1"/>
  <c r="X46" i="2"/>
  <c r="AE109" i="2" s="1"/>
  <c r="W46" i="2"/>
  <c r="Z109" i="2" s="1"/>
  <c r="V46" i="2"/>
  <c r="T46" i="2"/>
  <c r="AF109" i="2" s="1"/>
  <c r="Q46" i="2"/>
  <c r="D46" i="2"/>
  <c r="K41" i="4" s="1"/>
  <c r="AG45" i="2"/>
  <c r="AF45" i="2"/>
  <c r="AE45" i="2"/>
  <c r="AD45" i="2"/>
  <c r="AC45" i="2"/>
  <c r="AB45" i="2"/>
  <c r="AA45" i="2"/>
  <c r="Z45" i="2"/>
  <c r="Y45" i="2"/>
  <c r="AG108" i="2" s="1"/>
  <c r="W45" i="2"/>
  <c r="Z108" i="2" s="1"/>
  <c r="V45" i="2"/>
  <c r="T45" i="2"/>
  <c r="AF108" i="2" s="1"/>
  <c r="Q45" i="2"/>
  <c r="X45" i="2" s="1"/>
  <c r="AE108" i="2" s="1"/>
  <c r="D45" i="2"/>
  <c r="K40" i="4" s="1"/>
  <c r="AG44" i="2"/>
  <c r="AF44" i="2"/>
  <c r="AE44" i="2"/>
  <c r="AD44" i="2"/>
  <c r="AC44" i="2"/>
  <c r="AB44" i="2"/>
  <c r="AA44" i="2"/>
  <c r="Z44" i="2"/>
  <c r="Y44" i="2"/>
  <c r="AG107" i="2" s="1"/>
  <c r="W44" i="2"/>
  <c r="Z107" i="2" s="1"/>
  <c r="V44" i="2"/>
  <c r="T44" i="2"/>
  <c r="AF107" i="2" s="1"/>
  <c r="Q44" i="2"/>
  <c r="X44" i="2" s="1"/>
  <c r="AE107" i="2" s="1"/>
  <c r="D44" i="2"/>
  <c r="K39" i="4" s="1"/>
  <c r="AG43" i="2"/>
  <c r="AF43" i="2"/>
  <c r="AE43" i="2"/>
  <c r="AD43" i="2"/>
  <c r="AC43" i="2"/>
  <c r="AB43" i="2"/>
  <c r="AA43" i="2"/>
  <c r="Z43" i="2"/>
  <c r="Y43" i="2"/>
  <c r="AG106" i="2" s="1"/>
  <c r="X43" i="2"/>
  <c r="AE106" i="2" s="1"/>
  <c r="W43" i="2"/>
  <c r="Z106" i="2" s="1"/>
  <c r="V43" i="2"/>
  <c r="T43" i="2"/>
  <c r="AF106" i="2" s="1"/>
  <c r="Q43" i="2"/>
  <c r="D43" i="2"/>
  <c r="K38" i="4" s="1"/>
  <c r="AG42" i="2"/>
  <c r="AF42" i="2"/>
  <c r="AE42" i="2"/>
  <c r="AD42" i="2"/>
  <c r="AC42" i="2"/>
  <c r="AB42" i="2"/>
  <c r="AA42" i="2"/>
  <c r="Z42" i="2"/>
  <c r="Y42" i="2"/>
  <c r="AG105" i="2" s="1"/>
  <c r="X42" i="2"/>
  <c r="AE105" i="2" s="1"/>
  <c r="W42" i="2"/>
  <c r="Z105" i="2" s="1"/>
  <c r="V42" i="2"/>
  <c r="T42" i="2"/>
  <c r="AF105" i="2" s="1"/>
  <c r="Q42" i="2"/>
  <c r="D42" i="2"/>
  <c r="K37" i="4" s="1"/>
  <c r="AG41" i="2"/>
  <c r="AF41" i="2"/>
  <c r="AE41" i="2"/>
  <c r="AD41" i="2"/>
  <c r="AC41" i="2"/>
  <c r="AB41" i="2"/>
  <c r="AA41" i="2"/>
  <c r="Z41" i="2"/>
  <c r="Y41" i="2"/>
  <c r="W41" i="2"/>
  <c r="Z104" i="2" s="1"/>
  <c r="V41" i="2"/>
  <c r="T41" i="2"/>
  <c r="AF104" i="2" s="1"/>
  <c r="Q41" i="2"/>
  <c r="X41" i="2" s="1"/>
  <c r="AE104" i="2" s="1"/>
  <c r="D41" i="2"/>
  <c r="K36" i="4" s="1"/>
  <c r="AG40" i="2"/>
  <c r="AF40" i="2"/>
  <c r="AE40" i="2"/>
  <c r="AD40" i="2"/>
  <c r="AC40" i="2"/>
  <c r="AB40" i="2"/>
  <c r="AA40" i="2"/>
  <c r="Z40" i="2"/>
  <c r="Y40" i="2"/>
  <c r="AG103" i="2" s="1"/>
  <c r="W40" i="2"/>
  <c r="Z103" i="2" s="1"/>
  <c r="V40" i="2"/>
  <c r="T40" i="2"/>
  <c r="AF103" i="2" s="1"/>
  <c r="Q40" i="2"/>
  <c r="X40" i="2" s="1"/>
  <c r="AE103" i="2" s="1"/>
  <c r="D40" i="2"/>
  <c r="K35" i="4" s="1"/>
  <c r="AG39" i="2"/>
  <c r="AF39" i="2"/>
  <c r="AE39" i="2"/>
  <c r="AD39" i="2"/>
  <c r="AC39" i="2"/>
  <c r="AB39" i="2"/>
  <c r="AA39" i="2"/>
  <c r="Z39" i="2"/>
  <c r="Y39" i="2"/>
  <c r="AG102" i="2" s="1"/>
  <c r="X39" i="2"/>
  <c r="AE102" i="2" s="1"/>
  <c r="W39" i="2"/>
  <c r="Z102" i="2" s="1"/>
  <c r="V39" i="2"/>
  <c r="T39" i="2"/>
  <c r="AF102" i="2" s="1"/>
  <c r="Q39" i="2"/>
  <c r="D39" i="2"/>
  <c r="K34" i="4" s="1"/>
  <c r="AG38" i="2"/>
  <c r="AF38" i="2"/>
  <c r="AE38" i="2"/>
  <c r="AD38" i="2"/>
  <c r="AC38" i="2"/>
  <c r="AB38" i="2"/>
  <c r="AA38" i="2"/>
  <c r="Z38" i="2"/>
  <c r="Y38" i="2"/>
  <c r="AG101" i="2" s="1"/>
  <c r="X38" i="2"/>
  <c r="AE101" i="2" s="1"/>
  <c r="W38" i="2"/>
  <c r="Z101" i="2" s="1"/>
  <c r="V38" i="2"/>
  <c r="T38" i="2"/>
  <c r="AF101" i="2" s="1"/>
  <c r="Q38" i="2"/>
  <c r="D38" i="2"/>
  <c r="K33" i="4" s="1"/>
  <c r="AG37" i="2"/>
  <c r="AF37" i="2"/>
  <c r="AE37" i="2"/>
  <c r="AD37" i="2"/>
  <c r="AC37" i="2"/>
  <c r="AB37" i="2"/>
  <c r="AA37" i="2"/>
  <c r="Z37" i="2"/>
  <c r="Y37" i="2"/>
  <c r="AG100" i="2" s="1"/>
  <c r="W37" i="2"/>
  <c r="Z100" i="2" s="1"/>
  <c r="V37" i="2"/>
  <c r="T37" i="2"/>
  <c r="AF100" i="2" s="1"/>
  <c r="Q37" i="2"/>
  <c r="X37" i="2" s="1"/>
  <c r="AE100" i="2" s="1"/>
  <c r="D37" i="2"/>
  <c r="K32" i="4" s="1"/>
  <c r="AG36" i="2"/>
  <c r="AF36" i="2"/>
  <c r="AE36" i="2"/>
  <c r="AD36" i="2"/>
  <c r="AC36" i="2"/>
  <c r="AB36" i="2"/>
  <c r="AA36" i="2"/>
  <c r="Z36" i="2"/>
  <c r="Y36" i="2"/>
  <c r="AG99" i="2" s="1"/>
  <c r="W36" i="2"/>
  <c r="Z99" i="2" s="1"/>
  <c r="V36" i="2"/>
  <c r="T36" i="2"/>
  <c r="AF99" i="2" s="1"/>
  <c r="Q36" i="2"/>
  <c r="X36" i="2" s="1"/>
  <c r="AE99" i="2" s="1"/>
  <c r="D36" i="2"/>
  <c r="K31" i="4" s="1"/>
  <c r="AG35" i="2"/>
  <c r="AF35" i="2"/>
  <c r="AE35" i="2"/>
  <c r="AD35" i="2"/>
  <c r="AC35" i="2"/>
  <c r="AB35" i="2"/>
  <c r="AA35" i="2"/>
  <c r="Z35" i="2"/>
  <c r="Y35" i="2"/>
  <c r="AG98" i="2" s="1"/>
  <c r="W35" i="2"/>
  <c r="Z98" i="2" s="1"/>
  <c r="V35" i="2"/>
  <c r="T35" i="2"/>
  <c r="AF98" i="2" s="1"/>
  <c r="Q35" i="2"/>
  <c r="X35" i="2" s="1"/>
  <c r="AE98" i="2" s="1"/>
  <c r="D35" i="2"/>
  <c r="K30" i="4" s="1"/>
  <c r="AG34" i="2"/>
  <c r="AF34" i="2"/>
  <c r="AE34" i="2"/>
  <c r="AD34" i="2"/>
  <c r="AC34" i="2"/>
  <c r="AB34" i="2"/>
  <c r="AA34" i="2"/>
  <c r="Z34" i="2"/>
  <c r="Y34" i="2"/>
  <c r="AG97" i="2" s="1"/>
  <c r="X34" i="2"/>
  <c r="AE97" i="2" s="1"/>
  <c r="W34" i="2"/>
  <c r="Z97" i="2" s="1"/>
  <c r="V34" i="2"/>
  <c r="T34" i="2"/>
  <c r="AF97" i="2" s="1"/>
  <c r="Q34" i="2"/>
  <c r="D34" i="2"/>
  <c r="K29" i="4" s="1"/>
  <c r="AG33" i="2"/>
  <c r="AF33" i="2"/>
  <c r="AE33" i="2"/>
  <c r="AD33" i="2"/>
  <c r="AC33" i="2"/>
  <c r="AB33" i="2"/>
  <c r="AA33" i="2"/>
  <c r="Z33" i="2"/>
  <c r="Y33" i="2"/>
  <c r="AG96" i="2" s="1"/>
  <c r="X33" i="2"/>
  <c r="AE96" i="2" s="1"/>
  <c r="W33" i="2"/>
  <c r="Z96" i="2" s="1"/>
  <c r="V33" i="2"/>
  <c r="T33" i="2"/>
  <c r="AF96" i="2" s="1"/>
  <c r="Q33" i="2"/>
  <c r="D33" i="2"/>
  <c r="K28" i="4" s="1"/>
  <c r="AG32" i="2"/>
  <c r="AF32" i="2"/>
  <c r="AE32" i="2"/>
  <c r="AD32" i="2"/>
  <c r="AC32" i="2"/>
  <c r="AB32" i="2"/>
  <c r="AA32" i="2"/>
  <c r="Z32" i="2"/>
  <c r="Y32" i="2"/>
  <c r="X32" i="2"/>
  <c r="AE95" i="2" s="1"/>
  <c r="W32" i="2"/>
  <c r="Z95" i="2" s="1"/>
  <c r="V32" i="2"/>
  <c r="T32" i="2"/>
  <c r="AF95" i="2" s="1"/>
  <c r="Q32" i="2"/>
  <c r="D32" i="2"/>
  <c r="AG31" i="2"/>
  <c r="AF31" i="2"/>
  <c r="AE31" i="2"/>
  <c r="AD31" i="2"/>
  <c r="AC31" i="2"/>
  <c r="AB31" i="2"/>
  <c r="AA31" i="2"/>
  <c r="Z31" i="2"/>
  <c r="Y31" i="2"/>
  <c r="AG94" i="2" s="1"/>
  <c r="W31" i="2"/>
  <c r="Z94" i="2" s="1"/>
  <c r="V31" i="2"/>
  <c r="T31" i="2"/>
  <c r="AF94" i="2" s="1"/>
  <c r="Q31" i="2"/>
  <c r="X31" i="2" s="1"/>
  <c r="AE94" i="2" s="1"/>
  <c r="D31" i="2"/>
  <c r="K27" i="4" s="1"/>
  <c r="AG30" i="2"/>
  <c r="AF30" i="2"/>
  <c r="AE30" i="2"/>
  <c r="AD30" i="2"/>
  <c r="AC30" i="2"/>
  <c r="AB30" i="2"/>
  <c r="AA30" i="2"/>
  <c r="Z30" i="2"/>
  <c r="Y30" i="2"/>
  <c r="AG93" i="2" s="1"/>
  <c r="X30" i="2"/>
  <c r="AE93" i="2" s="1"/>
  <c r="W30" i="2"/>
  <c r="Z93" i="2" s="1"/>
  <c r="V30" i="2"/>
  <c r="T30" i="2"/>
  <c r="AF93" i="2" s="1"/>
  <c r="Q30" i="2"/>
  <c r="D30" i="2"/>
  <c r="K26" i="4" s="1"/>
  <c r="AG29" i="2"/>
  <c r="AF29" i="2"/>
  <c r="AE29" i="2"/>
  <c r="AD29" i="2"/>
  <c r="AC29" i="2"/>
  <c r="AB29" i="2"/>
  <c r="AA29" i="2"/>
  <c r="Z29" i="2"/>
  <c r="Y29" i="2"/>
  <c r="AG92" i="2" s="1"/>
  <c r="X29" i="2"/>
  <c r="AE92" i="2" s="1"/>
  <c r="W29" i="2"/>
  <c r="Z92" i="2" s="1"/>
  <c r="V29" i="2"/>
  <c r="T29" i="2"/>
  <c r="AF92" i="2" s="1"/>
  <c r="Q29" i="2"/>
  <c r="D29" i="2"/>
  <c r="K25" i="4" s="1"/>
  <c r="AG28" i="2"/>
  <c r="AF28" i="2"/>
  <c r="AE28" i="2"/>
  <c r="AD28" i="2"/>
  <c r="AC28" i="2"/>
  <c r="AB28" i="2"/>
  <c r="AA28" i="2"/>
  <c r="Z28" i="2"/>
  <c r="Y28" i="2"/>
  <c r="X28" i="2"/>
  <c r="AE91" i="2" s="1"/>
  <c r="W28" i="2"/>
  <c r="Z91" i="2" s="1"/>
  <c r="V28" i="2"/>
  <c r="T28" i="2"/>
  <c r="AF91" i="2" s="1"/>
  <c r="Q28" i="2"/>
  <c r="D28" i="2"/>
  <c r="AG27" i="2"/>
  <c r="AF27" i="2"/>
  <c r="AE27" i="2"/>
  <c r="AD27" i="2"/>
  <c r="AC27" i="2"/>
  <c r="AB27" i="2"/>
  <c r="AA27" i="2"/>
  <c r="Z27" i="2"/>
  <c r="Y27" i="2"/>
  <c r="AG90" i="2" s="1"/>
  <c r="W27" i="2"/>
  <c r="Z90" i="2" s="1"/>
  <c r="V27" i="2"/>
  <c r="T27" i="2"/>
  <c r="AF90" i="2" s="1"/>
  <c r="Q27" i="2"/>
  <c r="X27" i="2" s="1"/>
  <c r="AE90" i="2" s="1"/>
  <c r="D27" i="2"/>
  <c r="K24" i="4" s="1"/>
  <c r="AG26" i="2"/>
  <c r="AF26" i="2"/>
  <c r="AE26" i="2"/>
  <c r="AD26" i="2"/>
  <c r="AC26" i="2"/>
  <c r="AB26" i="2"/>
  <c r="AA26" i="2"/>
  <c r="Z26" i="2"/>
  <c r="Y26" i="2"/>
  <c r="AG89" i="2" s="1"/>
  <c r="X26" i="2"/>
  <c r="AE89" i="2" s="1"/>
  <c r="W26" i="2"/>
  <c r="Z89" i="2" s="1"/>
  <c r="V26" i="2"/>
  <c r="T26" i="2"/>
  <c r="AF89" i="2" s="1"/>
  <c r="Q26" i="2"/>
  <c r="D26" i="2"/>
  <c r="K23" i="4" s="1"/>
  <c r="AG25" i="2"/>
  <c r="AF25" i="2"/>
  <c r="AE25" i="2"/>
  <c r="AD25" i="2"/>
  <c r="AC25" i="2"/>
  <c r="AB25" i="2"/>
  <c r="AA25" i="2"/>
  <c r="Z25" i="2"/>
  <c r="Y25" i="2"/>
  <c r="W25" i="2"/>
  <c r="Z88" i="2" s="1"/>
  <c r="V25" i="2"/>
  <c r="T25" i="2"/>
  <c r="AF88" i="2" s="1"/>
  <c r="Q25" i="2"/>
  <c r="X25" i="2" s="1"/>
  <c r="AE88" i="2" s="1"/>
  <c r="D25" i="2"/>
  <c r="K22" i="4" s="1"/>
  <c r="AG24" i="2"/>
  <c r="AF24" i="2"/>
  <c r="AE24" i="2"/>
  <c r="AD24" i="2"/>
  <c r="AC24" i="2"/>
  <c r="AB24" i="2"/>
  <c r="AA24" i="2"/>
  <c r="Z24" i="2"/>
  <c r="Y24" i="2"/>
  <c r="X24" i="2"/>
  <c r="AE87" i="2" s="1"/>
  <c r="W24" i="2"/>
  <c r="Z87" i="2" s="1"/>
  <c r="V24" i="2"/>
  <c r="T24" i="2"/>
  <c r="AF87" i="2" s="1"/>
  <c r="Q24" i="2"/>
  <c r="D24" i="2"/>
  <c r="K21" i="4" s="1"/>
  <c r="AG23" i="2"/>
  <c r="AF23" i="2"/>
  <c r="AE23" i="2"/>
  <c r="AD23" i="2"/>
  <c r="AC23" i="2"/>
  <c r="AB23" i="2"/>
  <c r="AA23" i="2"/>
  <c r="Z23" i="2"/>
  <c r="Y23" i="2"/>
  <c r="AG86" i="2" s="1"/>
  <c r="W23" i="2"/>
  <c r="Z86" i="2" s="1"/>
  <c r="V23" i="2"/>
  <c r="T23" i="2"/>
  <c r="AF86" i="2" s="1"/>
  <c r="Q23" i="2"/>
  <c r="X23" i="2" s="1"/>
  <c r="AE86" i="2" s="1"/>
  <c r="D23" i="2"/>
  <c r="K20" i="4" s="1"/>
  <c r="AG22" i="2"/>
  <c r="AF22" i="2"/>
  <c r="AE22" i="2"/>
  <c r="AD22" i="2"/>
  <c r="AC22" i="2"/>
  <c r="AB22" i="2"/>
  <c r="AA22" i="2"/>
  <c r="Z22" i="2"/>
  <c r="Y22" i="2"/>
  <c r="AG85" i="2" s="1"/>
  <c r="X22" i="2"/>
  <c r="AE85" i="2" s="1"/>
  <c r="W22" i="2"/>
  <c r="Z85" i="2" s="1"/>
  <c r="V22" i="2"/>
  <c r="T22" i="2"/>
  <c r="AF85" i="2" s="1"/>
  <c r="Q22" i="2"/>
  <c r="D22" i="2"/>
  <c r="K19" i="4" s="1"/>
  <c r="AG21" i="2"/>
  <c r="AF21" i="2"/>
  <c r="AE21" i="2"/>
  <c r="AD21" i="2"/>
  <c r="AC21" i="2"/>
  <c r="AB21" i="2"/>
  <c r="AA21" i="2"/>
  <c r="Z21" i="2"/>
  <c r="Y21" i="2"/>
  <c r="AG84" i="2" s="1"/>
  <c r="W21" i="2"/>
  <c r="Z84" i="2" s="1"/>
  <c r="V21" i="2"/>
  <c r="T21" i="2"/>
  <c r="AF84" i="2" s="1"/>
  <c r="Q21" i="2"/>
  <c r="X21" i="2" s="1"/>
  <c r="AE84" i="2" s="1"/>
  <c r="D21" i="2"/>
  <c r="K18" i="4" s="1"/>
  <c r="AG20" i="2"/>
  <c r="AF20" i="2"/>
  <c r="AE20" i="2"/>
  <c r="AD20" i="2"/>
  <c r="AC20" i="2"/>
  <c r="AB20" i="2"/>
  <c r="AA20" i="2"/>
  <c r="Z20" i="2"/>
  <c r="Y20" i="2"/>
  <c r="AG83" i="2" s="1"/>
  <c r="X20" i="2"/>
  <c r="AE83" i="2" s="1"/>
  <c r="W20" i="2"/>
  <c r="Z83" i="2" s="1"/>
  <c r="V20" i="2"/>
  <c r="T20" i="2"/>
  <c r="AF83" i="2" s="1"/>
  <c r="Q20" i="2"/>
  <c r="D20" i="2"/>
  <c r="AG19" i="2"/>
  <c r="AF19" i="2"/>
  <c r="AE19" i="2"/>
  <c r="AD19" i="2"/>
  <c r="AC19" i="2"/>
  <c r="AB19" i="2"/>
  <c r="AA19" i="2"/>
  <c r="Z19" i="2"/>
  <c r="Y19" i="2"/>
  <c r="AG82" i="2" s="1"/>
  <c r="W19" i="2"/>
  <c r="Z82" i="2" s="1"/>
  <c r="V19" i="2"/>
  <c r="T19" i="2"/>
  <c r="AF82" i="2" s="1"/>
  <c r="Q19" i="2"/>
  <c r="X19" i="2" s="1"/>
  <c r="AE82" i="2" s="1"/>
  <c r="D19" i="2"/>
  <c r="K17" i="4" s="1"/>
  <c r="AG18" i="2"/>
  <c r="AF18" i="2"/>
  <c r="AE18" i="2"/>
  <c r="AD18" i="2"/>
  <c r="AC18" i="2"/>
  <c r="AB18" i="2"/>
  <c r="AA18" i="2"/>
  <c r="Z18" i="2"/>
  <c r="Y18" i="2"/>
  <c r="AG81" i="2" s="1"/>
  <c r="X18" i="2"/>
  <c r="AE81" i="2" s="1"/>
  <c r="W18" i="2"/>
  <c r="Z81" i="2" s="1"/>
  <c r="V18" i="2"/>
  <c r="T18" i="2"/>
  <c r="AF81" i="2" s="1"/>
  <c r="Q18" i="2"/>
  <c r="D18" i="2"/>
  <c r="K16" i="4" s="1"/>
  <c r="AG17" i="2"/>
  <c r="AF17" i="2"/>
  <c r="AE17" i="2"/>
  <c r="AD17" i="2"/>
  <c r="AC17" i="2"/>
  <c r="AB17" i="2"/>
  <c r="AA17" i="2"/>
  <c r="Z17" i="2"/>
  <c r="Y17" i="2"/>
  <c r="AG80" i="2" s="1"/>
  <c r="W17" i="2"/>
  <c r="Z80" i="2" s="1"/>
  <c r="V17" i="2"/>
  <c r="T17" i="2"/>
  <c r="AF80" i="2" s="1"/>
  <c r="Q17" i="2"/>
  <c r="X17" i="2" s="1"/>
  <c r="AE80" i="2" s="1"/>
  <c r="D17" i="2"/>
  <c r="K15" i="4" s="1"/>
  <c r="AG16" i="2"/>
  <c r="AF16" i="2"/>
  <c r="AE16" i="2"/>
  <c r="AD16" i="2"/>
  <c r="AC16" i="2"/>
  <c r="AB16" i="2"/>
  <c r="AA16" i="2"/>
  <c r="Z16" i="2"/>
  <c r="Y16" i="2"/>
  <c r="X16" i="2"/>
  <c r="AE79" i="2" s="1"/>
  <c r="W16" i="2"/>
  <c r="Z79" i="2" s="1"/>
  <c r="V16" i="2"/>
  <c r="T16" i="2"/>
  <c r="AF79" i="2" s="1"/>
  <c r="Q16" i="2"/>
  <c r="D16" i="2"/>
  <c r="AG15" i="2"/>
  <c r="AF15" i="2"/>
  <c r="AE15" i="2"/>
  <c r="AD15" i="2"/>
  <c r="AC15" i="2"/>
  <c r="AB15" i="2"/>
  <c r="AA15" i="2"/>
  <c r="Z15" i="2"/>
  <c r="Y15" i="2"/>
  <c r="AG78" i="2" s="1"/>
  <c r="W15" i="2"/>
  <c r="Z78" i="2" s="1"/>
  <c r="V15" i="2"/>
  <c r="T15" i="2"/>
  <c r="AF78" i="2" s="1"/>
  <c r="Q15" i="2"/>
  <c r="X15" i="2" s="1"/>
  <c r="AE78" i="2" s="1"/>
  <c r="D15" i="2"/>
  <c r="K14" i="4" s="1"/>
  <c r="AG14" i="2"/>
  <c r="AF14" i="2"/>
  <c r="AE14" i="2"/>
  <c r="AD14" i="2"/>
  <c r="AC14" i="2"/>
  <c r="AB14" i="2"/>
  <c r="AA14" i="2"/>
  <c r="Z14" i="2"/>
  <c r="Y14" i="2"/>
  <c r="AG77" i="2" s="1"/>
  <c r="X14" i="2"/>
  <c r="AE77" i="2" s="1"/>
  <c r="W14" i="2"/>
  <c r="Z77" i="2" s="1"/>
  <c r="V14" i="2"/>
  <c r="T14" i="2"/>
  <c r="AF77" i="2" s="1"/>
  <c r="Q14" i="2"/>
  <c r="D14" i="2"/>
  <c r="K13" i="4" s="1"/>
  <c r="AG13" i="2"/>
  <c r="AF13" i="2"/>
  <c r="AE13" i="2"/>
  <c r="AD13" i="2"/>
  <c r="AC13" i="2"/>
  <c r="AB13" i="2"/>
  <c r="AA13" i="2"/>
  <c r="Z13" i="2"/>
  <c r="Y13" i="2"/>
  <c r="W13" i="2"/>
  <c r="Z76" i="2" s="1"/>
  <c r="V13" i="2"/>
  <c r="T13" i="2"/>
  <c r="AF76" i="2" s="1"/>
  <c r="Q13" i="2"/>
  <c r="X13" i="2" s="1"/>
  <c r="AE76" i="2" s="1"/>
  <c r="D13" i="2"/>
  <c r="K12" i="4" s="1"/>
  <c r="AG12" i="2"/>
  <c r="AF12" i="2"/>
  <c r="AE12" i="2"/>
  <c r="AD12" i="2"/>
  <c r="AC12" i="2"/>
  <c r="AB12" i="2"/>
  <c r="AA12" i="2"/>
  <c r="Z12" i="2"/>
  <c r="Y12" i="2"/>
  <c r="X12" i="2"/>
  <c r="AE75" i="2" s="1"/>
  <c r="W12" i="2"/>
  <c r="Z75" i="2" s="1"/>
  <c r="V12" i="2"/>
  <c r="T12" i="2"/>
  <c r="AF75" i="2" s="1"/>
  <c r="Q12" i="2"/>
  <c r="D12" i="2"/>
  <c r="K11" i="4" s="1"/>
  <c r="AG11" i="2"/>
  <c r="AF11" i="2"/>
  <c r="AE11" i="2"/>
  <c r="AD11" i="2"/>
  <c r="AC11" i="2"/>
  <c r="AB11" i="2"/>
  <c r="AA11" i="2"/>
  <c r="Z11" i="2"/>
  <c r="Y11" i="2"/>
  <c r="AG74" i="2" s="1"/>
  <c r="W11" i="2"/>
  <c r="Z74" i="2" s="1"/>
  <c r="V11" i="2"/>
  <c r="T11" i="2"/>
  <c r="AF74" i="2" s="1"/>
  <c r="Q11" i="2"/>
  <c r="X11" i="2" s="1"/>
  <c r="AE74" i="2" s="1"/>
  <c r="D11" i="2"/>
  <c r="AG10" i="2"/>
  <c r="AF10" i="2"/>
  <c r="AE10" i="2"/>
  <c r="AD10" i="2"/>
  <c r="AC10" i="2"/>
  <c r="AB10" i="2"/>
  <c r="AA10" i="2"/>
  <c r="Z10" i="2"/>
  <c r="Y10" i="2"/>
  <c r="AG73" i="2" s="1"/>
  <c r="X10" i="2"/>
  <c r="AE73" i="2" s="1"/>
  <c r="W10" i="2"/>
  <c r="Z73" i="2" s="1"/>
  <c r="V10" i="2"/>
  <c r="T10" i="2"/>
  <c r="AF73" i="2" s="1"/>
  <c r="Q10" i="2"/>
  <c r="D10" i="2"/>
  <c r="K10" i="4" s="1"/>
  <c r="AG9" i="2"/>
  <c r="AF9" i="2"/>
  <c r="AE9" i="2"/>
  <c r="AD9" i="2"/>
  <c r="AC9" i="2"/>
  <c r="AB9" i="2"/>
  <c r="AA9" i="2"/>
  <c r="Z9" i="2"/>
  <c r="Y9" i="2"/>
  <c r="AG72" i="2" s="1"/>
  <c r="W9" i="2"/>
  <c r="Z72" i="2" s="1"/>
  <c r="V9" i="2"/>
  <c r="T9" i="2"/>
  <c r="AF72" i="2" s="1"/>
  <c r="Q9" i="2"/>
  <c r="X9" i="2" s="1"/>
  <c r="AE72" i="2" s="1"/>
  <c r="D9" i="2"/>
  <c r="K9" i="4" s="1"/>
  <c r="AG8" i="2"/>
  <c r="AF8" i="2"/>
  <c r="AE8" i="2"/>
  <c r="AD8" i="2"/>
  <c r="AC8" i="2"/>
  <c r="AB8" i="2"/>
  <c r="AA8" i="2"/>
  <c r="Z8" i="2"/>
  <c r="Y8" i="2"/>
  <c r="X8" i="2"/>
  <c r="AE71" i="2" s="1"/>
  <c r="W8" i="2"/>
  <c r="Z71" i="2" s="1"/>
  <c r="V8" i="2"/>
  <c r="T8" i="2"/>
  <c r="AF71" i="2" s="1"/>
  <c r="Q8" i="2"/>
  <c r="D8" i="2"/>
  <c r="K8" i="4" s="1"/>
  <c r="AG7" i="2"/>
  <c r="AF7" i="2"/>
  <c r="AE7" i="2"/>
  <c r="AD7" i="2"/>
  <c r="AC7" i="2"/>
  <c r="AB7" i="2"/>
  <c r="AA7" i="2"/>
  <c r="Z7" i="2"/>
  <c r="Y7" i="2"/>
  <c r="AG70" i="2" s="1"/>
  <c r="W7" i="2"/>
  <c r="Z70" i="2" s="1"/>
  <c r="V7" i="2"/>
  <c r="T7" i="2"/>
  <c r="AF70" i="2" s="1"/>
  <c r="Q7" i="2"/>
  <c r="X7" i="2" s="1"/>
  <c r="AE70" i="2" s="1"/>
  <c r="D7" i="2"/>
  <c r="K7" i="4" s="1"/>
  <c r="AG6" i="2"/>
  <c r="AF6" i="2"/>
  <c r="AE6" i="2"/>
  <c r="AD6" i="2"/>
  <c r="AC6" i="2"/>
  <c r="AB6" i="2"/>
  <c r="AA6" i="2"/>
  <c r="Z6" i="2"/>
  <c r="Y6" i="2"/>
  <c r="AG69" i="2" s="1"/>
  <c r="X6" i="2"/>
  <c r="AE69" i="2" s="1"/>
  <c r="W6" i="2"/>
  <c r="Z69" i="2" s="1"/>
  <c r="V6" i="2"/>
  <c r="T6" i="2"/>
  <c r="AF69" i="2" s="1"/>
  <c r="Q6" i="2"/>
  <c r="D6" i="2"/>
  <c r="K6" i="4" s="1"/>
  <c r="AG5" i="2"/>
  <c r="AF5" i="2"/>
  <c r="AE5" i="2"/>
  <c r="AD5" i="2"/>
  <c r="AC5" i="2"/>
  <c r="AB5" i="2"/>
  <c r="AA5" i="2"/>
  <c r="Z5" i="2"/>
  <c r="Y5" i="2"/>
  <c r="AG68" i="2" s="1"/>
  <c r="W5" i="2"/>
  <c r="Z68" i="2" s="1"/>
  <c r="V5" i="2"/>
  <c r="T5" i="2"/>
  <c r="Q5" i="2"/>
  <c r="X5" i="2" s="1"/>
  <c r="AE68" i="2" s="1"/>
  <c r="D5" i="2"/>
  <c r="K5" i="4" s="1"/>
  <c r="J783" i="9" l="1"/>
  <c r="AG187" i="2"/>
  <c r="AA199" i="9"/>
  <c r="K309" i="4"/>
  <c r="J743" i="9"/>
  <c r="AG139" i="2"/>
  <c r="J744" i="9"/>
  <c r="AG140" i="2"/>
  <c r="J753" i="9"/>
  <c r="AG152" i="2"/>
  <c r="J773" i="9"/>
  <c r="AG176" i="2"/>
  <c r="AG151" i="2"/>
  <c r="AG150" i="2"/>
  <c r="Z185" i="2"/>
  <c r="AG148" i="2"/>
  <c r="AG134" i="2"/>
  <c r="AG147" i="2"/>
  <c r="AE157" i="2"/>
  <c r="AG164" i="2"/>
  <c r="J737" i="9"/>
  <c r="AG132" i="2"/>
  <c r="J736" i="9"/>
  <c r="AG131" i="2"/>
  <c r="J785" i="9"/>
  <c r="AG190" i="2"/>
  <c r="J755" i="9"/>
  <c r="AG155" i="2"/>
  <c r="AG171" i="2"/>
  <c r="J775" i="9"/>
  <c r="AG178" i="2"/>
  <c r="G186" i="4"/>
  <c r="G234" i="4"/>
  <c r="K333" i="4"/>
  <c r="K341" i="4"/>
  <c r="K349" i="4"/>
  <c r="K357" i="4"/>
  <c r="K365" i="4"/>
  <c r="K373" i="4"/>
  <c r="K381" i="4"/>
  <c r="K389" i="4"/>
  <c r="K397" i="4"/>
  <c r="H31" i="5"/>
  <c r="I31" i="5" s="1"/>
  <c r="H42" i="5"/>
  <c r="I42" i="5" s="1"/>
  <c r="H60" i="5"/>
  <c r="I60" i="5" s="1"/>
  <c r="H85" i="5"/>
  <c r="I85" i="5" s="1"/>
  <c r="H96" i="5"/>
  <c r="I96" i="5" s="1"/>
  <c r="H150" i="5"/>
  <c r="I150" i="5" s="1"/>
  <c r="H157" i="5"/>
  <c r="I157" i="5" s="1"/>
  <c r="H168" i="5"/>
  <c r="I168" i="5" s="1"/>
  <c r="P44" i="6"/>
  <c r="P80" i="6"/>
  <c r="G14" i="4"/>
  <c r="B167" i="8" s="1"/>
  <c r="D167" i="8" s="1"/>
  <c r="O167" i="8" s="1"/>
  <c r="G29" i="4"/>
  <c r="B182" i="8" s="1"/>
  <c r="D182" i="8" s="1"/>
  <c r="O181" i="8" s="1"/>
  <c r="G39" i="4"/>
  <c r="B192" i="8" s="1"/>
  <c r="D192" i="8" s="1"/>
  <c r="O191" i="8" s="1"/>
  <c r="G62" i="4"/>
  <c r="G77" i="4"/>
  <c r="G87" i="4"/>
  <c r="G110" i="4"/>
  <c r="G125" i="4"/>
  <c r="G135" i="4"/>
  <c r="G158" i="4"/>
  <c r="G173" i="4"/>
  <c r="G183" i="4"/>
  <c r="G206" i="4"/>
  <c r="G221" i="4"/>
  <c r="G231" i="4"/>
  <c r="G254" i="4"/>
  <c r="G269" i="4"/>
  <c r="G295" i="4"/>
  <c r="G298" i="4"/>
  <c r="G303" i="4"/>
  <c r="G306" i="4"/>
  <c r="G311" i="4"/>
  <c r="G314" i="4"/>
  <c r="G329" i="4"/>
  <c r="G337" i="4"/>
  <c r="G345" i="4"/>
  <c r="G353" i="4"/>
  <c r="G361" i="4"/>
  <c r="G369" i="4"/>
  <c r="G377" i="4"/>
  <c r="G385" i="4"/>
  <c r="G393" i="4"/>
  <c r="C159" i="8" s="1"/>
  <c r="E159" i="8" s="1"/>
  <c r="G401" i="4"/>
  <c r="C166" i="8" s="1"/>
  <c r="E166" i="8" s="1"/>
  <c r="G416" i="4"/>
  <c r="C180" i="8" s="1"/>
  <c r="E180" i="8" s="1"/>
  <c r="G436" i="4"/>
  <c r="C199" i="8" s="1"/>
  <c r="E199" i="8" s="1"/>
  <c r="H17" i="5"/>
  <c r="I17" i="5" s="1"/>
  <c r="H126" i="5"/>
  <c r="I126" i="5" s="1"/>
  <c r="N227" i="5"/>
  <c r="F259" i="5"/>
  <c r="H227" i="5"/>
  <c r="I227" i="5" s="1"/>
  <c r="F223" i="5"/>
  <c r="M223" i="5" s="1"/>
  <c r="F319" i="5"/>
  <c r="J319" i="5" s="1"/>
  <c r="F317" i="5"/>
  <c r="J317" i="5" s="1"/>
  <c r="K317" i="5" s="1"/>
  <c r="H315" i="5"/>
  <c r="I315" i="5" s="1"/>
  <c r="H313" i="5"/>
  <c r="I313" i="5" s="1"/>
  <c r="G311" i="5"/>
  <c r="F298" i="5"/>
  <c r="M298" i="5" s="1"/>
  <c r="G294" i="5"/>
  <c r="H292" i="5"/>
  <c r="I292" i="5" s="1"/>
  <c r="G290" i="5"/>
  <c r="H286" i="5"/>
  <c r="I286" i="5" s="1"/>
  <c r="G315" i="5"/>
  <c r="G313" i="5"/>
  <c r="F311" i="5"/>
  <c r="J311" i="5" s="1"/>
  <c r="H309" i="5"/>
  <c r="I309" i="5" s="1"/>
  <c r="G292" i="5"/>
  <c r="F290" i="5"/>
  <c r="J290" i="5" s="1"/>
  <c r="H288" i="5"/>
  <c r="I288" i="5" s="1"/>
  <c r="G286" i="5"/>
  <c r="G284" i="5"/>
  <c r="G328" i="5"/>
  <c r="G326" i="5"/>
  <c r="F313" i="5"/>
  <c r="J313" i="5" s="1"/>
  <c r="K313" i="5" s="1"/>
  <c r="G309" i="5"/>
  <c r="G307" i="5"/>
  <c r="G305" i="5"/>
  <c r="F292" i="5"/>
  <c r="M292" i="5" s="1"/>
  <c r="G288" i="5"/>
  <c r="F286" i="5"/>
  <c r="M286" i="5" s="1"/>
  <c r="F284" i="5"/>
  <c r="J284" i="5" s="1"/>
  <c r="K284" i="5" s="1"/>
  <c r="G278" i="5"/>
  <c r="B511" i="5" s="1"/>
  <c r="G332" i="5"/>
  <c r="F328" i="5"/>
  <c r="M328" i="5" s="1"/>
  <c r="F326" i="5"/>
  <c r="J326" i="5" s="1"/>
  <c r="K326" i="5" s="1"/>
  <c r="H322" i="5"/>
  <c r="I322" i="5" s="1"/>
  <c r="G320" i="5"/>
  <c r="F307" i="5"/>
  <c r="J307" i="5" s="1"/>
  <c r="F305" i="5"/>
  <c r="J305" i="5" s="1"/>
  <c r="K305" i="5" s="1"/>
  <c r="H303" i="5"/>
  <c r="I303" i="5" s="1"/>
  <c r="H301" i="5"/>
  <c r="I301" i="5" s="1"/>
  <c r="H282" i="5"/>
  <c r="I282" i="5" s="1"/>
  <c r="G280" i="5"/>
  <c r="F278" i="5"/>
  <c r="D511" i="5" s="1"/>
  <c r="D48" i="12" s="1"/>
  <c r="F48" i="12" s="1"/>
  <c r="G48" i="12" s="1"/>
  <c r="H324" i="5"/>
  <c r="I324" i="5" s="1"/>
  <c r="G322" i="5"/>
  <c r="F320" i="5"/>
  <c r="J320" i="5" s="1"/>
  <c r="G303" i="5"/>
  <c r="G301" i="5"/>
  <c r="G299" i="5"/>
  <c r="H295" i="5"/>
  <c r="I295" i="5" s="1"/>
  <c r="G282" i="5"/>
  <c r="F280" i="5"/>
  <c r="M280" i="5" s="1"/>
  <c r="G324" i="5"/>
  <c r="F322" i="5"/>
  <c r="M322" i="5" s="1"/>
  <c r="G318" i="5"/>
  <c r="G316" i="5"/>
  <c r="F314" i="5"/>
  <c r="J314" i="5" s="1"/>
  <c r="H310" i="5"/>
  <c r="I310" i="5" s="1"/>
  <c r="G308" i="5"/>
  <c r="G297" i="5"/>
  <c r="F295" i="5"/>
  <c r="M295" i="5" s="1"/>
  <c r="F293" i="5"/>
  <c r="J293" i="5" s="1"/>
  <c r="K293" i="5" s="1"/>
  <c r="G287" i="5"/>
  <c r="G329" i="5"/>
  <c r="F316" i="5"/>
  <c r="M316" i="5" s="1"/>
  <c r="G310" i="5"/>
  <c r="F308" i="5"/>
  <c r="J308" i="5" s="1"/>
  <c r="G289" i="5"/>
  <c r="F287" i="5"/>
  <c r="J287" i="5" s="1"/>
  <c r="F329" i="5"/>
  <c r="J329" i="5" s="1"/>
  <c r="K329" i="5" s="1"/>
  <c r="G312" i="5"/>
  <c r="F310" i="5"/>
  <c r="M310" i="5" s="1"/>
  <c r="G291" i="5"/>
  <c r="F289" i="5"/>
  <c r="M289" i="5" s="1"/>
  <c r="G285" i="5"/>
  <c r="G281" i="5"/>
  <c r="G331" i="5"/>
  <c r="G327" i="5"/>
  <c r="G323" i="5"/>
  <c r="G306" i="5"/>
  <c r="G304" i="5"/>
  <c r="G302" i="5"/>
  <c r="G283" i="5"/>
  <c r="F281" i="5"/>
  <c r="J281" i="5" s="1"/>
  <c r="G325" i="5"/>
  <c r="F323" i="5"/>
  <c r="J323" i="5" s="1"/>
  <c r="K323" i="5" s="1"/>
  <c r="H319" i="5"/>
  <c r="I319" i="5" s="1"/>
  <c r="F304" i="5"/>
  <c r="M304" i="5" s="1"/>
  <c r="F302" i="5"/>
  <c r="J302" i="5" s="1"/>
  <c r="K302" i="5" s="1"/>
  <c r="H298" i="5"/>
  <c r="I298" i="5" s="1"/>
  <c r="G296" i="5"/>
  <c r="F283" i="5"/>
  <c r="J283" i="5" s="1"/>
  <c r="K283" i="5" s="1"/>
  <c r="G279" i="5"/>
  <c r="G295" i="5"/>
  <c r="H355" i="5"/>
  <c r="I355" i="5" s="1"/>
  <c r="G347" i="5"/>
  <c r="O347" i="5" s="1"/>
  <c r="H354" i="5"/>
  <c r="I354" i="5" s="1"/>
  <c r="K36" i="6"/>
  <c r="P47" i="6"/>
  <c r="M59" i="6"/>
  <c r="N238" i="6"/>
  <c r="F171" i="8"/>
  <c r="N170" i="8" s="1"/>
  <c r="K422" i="4"/>
  <c r="H78" i="5"/>
  <c r="I78" i="5" s="1"/>
  <c r="N108" i="5"/>
  <c r="H108" i="5"/>
  <c r="I108" i="5" s="1"/>
  <c r="O292" i="5"/>
  <c r="N327" i="5"/>
  <c r="H327" i="5"/>
  <c r="I327" i="5" s="1"/>
  <c r="K60" i="6"/>
  <c r="G6" i="4"/>
  <c r="B159" i="8" s="1"/>
  <c r="D159" i="8" s="1"/>
  <c r="O159" i="8" s="1"/>
  <c r="G54" i="4"/>
  <c r="B207" i="8" s="1"/>
  <c r="D207" i="8" s="1"/>
  <c r="O206" i="8" s="1"/>
  <c r="G102" i="4"/>
  <c r="G150" i="4"/>
  <c r="G198" i="4"/>
  <c r="G213" i="4"/>
  <c r="G246" i="4"/>
  <c r="G261" i="4"/>
  <c r="G271" i="4"/>
  <c r="G274" i="4"/>
  <c r="G279" i="4"/>
  <c r="G282" i="4"/>
  <c r="G287" i="4"/>
  <c r="K301" i="4"/>
  <c r="G321" i="4"/>
  <c r="N90" i="5"/>
  <c r="H90" i="5"/>
  <c r="I90" i="5" s="1"/>
  <c r="H115" i="5"/>
  <c r="I115" i="5" s="1"/>
  <c r="N180" i="5"/>
  <c r="H180" i="5"/>
  <c r="I180" i="5" s="1"/>
  <c r="G298" i="5"/>
  <c r="N331" i="5"/>
  <c r="H331" i="5"/>
  <c r="I331" i="5" s="1"/>
  <c r="H348" i="5"/>
  <c r="I348" i="5" s="1"/>
  <c r="AG161" i="2"/>
  <c r="AG162" i="2"/>
  <c r="G26" i="4"/>
  <c r="B179" i="8" s="1"/>
  <c r="D179" i="8" s="1"/>
  <c r="O178" i="8" s="1"/>
  <c r="G41" i="4"/>
  <c r="B194" i="8" s="1"/>
  <c r="D194" i="8" s="1"/>
  <c r="O193" i="8" s="1"/>
  <c r="G51" i="4"/>
  <c r="B204" i="8" s="1"/>
  <c r="D204" i="8" s="1"/>
  <c r="O203" i="8" s="1"/>
  <c r="G74" i="4"/>
  <c r="G89" i="4"/>
  <c r="G99" i="4"/>
  <c r="G122" i="4"/>
  <c r="G137" i="4"/>
  <c r="G147" i="4"/>
  <c r="G170" i="4"/>
  <c r="G185" i="4"/>
  <c r="G195" i="4"/>
  <c r="G233" i="4"/>
  <c r="F161" i="8"/>
  <c r="N161" i="8" s="1"/>
  <c r="H144" i="5"/>
  <c r="I144" i="5" s="1"/>
  <c r="H151" i="5"/>
  <c r="I151" i="5" s="1"/>
  <c r="H162" i="5"/>
  <c r="I162" i="5" s="1"/>
  <c r="F268" i="5"/>
  <c r="M268" i="5" s="1"/>
  <c r="G293" i="5"/>
  <c r="F301" i="5"/>
  <c r="M301" i="5" s="1"/>
  <c r="H312" i="5"/>
  <c r="I312" i="5" s="1"/>
  <c r="K107" i="6"/>
  <c r="N244" i="6"/>
  <c r="N228" i="6"/>
  <c r="N222" i="6"/>
  <c r="K222" i="6"/>
  <c r="AF185" i="2"/>
  <c r="G13" i="4"/>
  <c r="B166" i="8" s="1"/>
  <c r="D166" i="8" s="1"/>
  <c r="O166" i="8" s="1"/>
  <c r="G23" i="4"/>
  <c r="B176" i="8" s="1"/>
  <c r="D176" i="8" s="1"/>
  <c r="O175" i="8" s="1"/>
  <c r="G61" i="4"/>
  <c r="G71" i="4"/>
  <c r="G109" i="4"/>
  <c r="G119" i="4"/>
  <c r="G157" i="4"/>
  <c r="G167" i="4"/>
  <c r="G205" i="4"/>
  <c r="G215" i="4"/>
  <c r="G253" i="4"/>
  <c r="G263" i="4"/>
  <c r="K277" i="4"/>
  <c r="K285" i="4"/>
  <c r="G323" i="4"/>
  <c r="H61" i="5"/>
  <c r="I61" i="5" s="1"/>
  <c r="H72" i="5"/>
  <c r="I72" i="5" s="1"/>
  <c r="H97" i="5"/>
  <c r="I97" i="5" s="1"/>
  <c r="H109" i="5"/>
  <c r="I109" i="5" s="1"/>
  <c r="H120" i="5"/>
  <c r="I120" i="5" s="1"/>
  <c r="H342" i="5"/>
  <c r="I342" i="5" s="1"/>
  <c r="H345" i="5"/>
  <c r="I345" i="5" s="1"/>
  <c r="N352" i="5"/>
  <c r="H352" i="5"/>
  <c r="I352" i="5" s="1"/>
  <c r="G33" i="4"/>
  <c r="B186" i="8" s="1"/>
  <c r="D186" i="8" s="1"/>
  <c r="O185" i="8" s="1"/>
  <c r="G43" i="4"/>
  <c r="B196" i="8" s="1"/>
  <c r="D196" i="8" s="1"/>
  <c r="O195" i="8" s="1"/>
  <c r="K329" i="4"/>
  <c r="K337" i="4"/>
  <c r="K345" i="4"/>
  <c r="K353" i="4"/>
  <c r="K361" i="4"/>
  <c r="K369" i="4"/>
  <c r="K377" i="4"/>
  <c r="K385" i="4"/>
  <c r="K393" i="4"/>
  <c r="K401" i="4"/>
  <c r="C461" i="5"/>
  <c r="H79" i="5"/>
  <c r="I79" i="5" s="1"/>
  <c r="H91" i="5"/>
  <c r="I91" i="5" s="1"/>
  <c r="H139" i="5"/>
  <c r="I139" i="5" s="1"/>
  <c r="F296" i="5"/>
  <c r="J296" i="5" s="1"/>
  <c r="H318" i="5"/>
  <c r="I318" i="5" s="1"/>
  <c r="G321" i="5"/>
  <c r="C467" i="4"/>
  <c r="G86" i="4"/>
  <c r="G134" i="4"/>
  <c r="G182" i="4"/>
  <c r="G230" i="4"/>
  <c r="G294" i="4"/>
  <c r="G302" i="4"/>
  <c r="G310" i="4"/>
  <c r="G315" i="4"/>
  <c r="G333" i="4"/>
  <c r="F189" i="8"/>
  <c r="N188" i="8" s="1"/>
  <c r="K441" i="4"/>
  <c r="F24" i="5"/>
  <c r="H54" i="5"/>
  <c r="I54" i="5" s="1"/>
  <c r="H66" i="5"/>
  <c r="I66" i="5" s="1"/>
  <c r="H102" i="5"/>
  <c r="I102" i="5" s="1"/>
  <c r="H138" i="5"/>
  <c r="I138" i="5" s="1"/>
  <c r="F250" i="5"/>
  <c r="M250" i="5" s="1"/>
  <c r="N306" i="5"/>
  <c r="H306" i="5"/>
  <c r="I306" i="5" s="1"/>
  <c r="AG157" i="2"/>
  <c r="G10" i="4"/>
  <c r="B163" i="8" s="1"/>
  <c r="D163" i="8" s="1"/>
  <c r="O163" i="8" s="1"/>
  <c r="G58" i="4"/>
  <c r="B211" i="8" s="1"/>
  <c r="D211" i="8" s="1"/>
  <c r="O210" i="8" s="1"/>
  <c r="G106" i="4"/>
  <c r="G154" i="4"/>
  <c r="G169" i="4"/>
  <c r="G179" i="4"/>
  <c r="G202" i="4"/>
  <c r="G217" i="4"/>
  <c r="G250" i="4"/>
  <c r="F181" i="8"/>
  <c r="N180" i="8" s="1"/>
  <c r="H48" i="5"/>
  <c r="I48" i="5" s="1"/>
  <c r="H84" i="5"/>
  <c r="I84" i="5" s="1"/>
  <c r="H145" i="5"/>
  <c r="I145" i="5" s="1"/>
  <c r="H156" i="5"/>
  <c r="I156" i="5" s="1"/>
  <c r="H163" i="5"/>
  <c r="I163" i="5" s="1"/>
  <c r="H294" i="5"/>
  <c r="I294" i="5" s="1"/>
  <c r="F299" i="5"/>
  <c r="J299" i="5" s="1"/>
  <c r="K299" i="5" s="1"/>
  <c r="O70" i="6"/>
  <c r="K93" i="6"/>
  <c r="G7" i="4"/>
  <c r="B160" i="8" s="1"/>
  <c r="D160" i="8" s="1"/>
  <c r="O160" i="8" s="1"/>
  <c r="G30" i="4"/>
  <c r="B183" i="8" s="1"/>
  <c r="D183" i="8" s="1"/>
  <c r="O182" i="8" s="1"/>
  <c r="G78" i="4"/>
  <c r="G126" i="4"/>
  <c r="G141" i="4"/>
  <c r="G189" i="4"/>
  <c r="G237" i="4"/>
  <c r="G270" i="4"/>
  <c r="G278" i="4"/>
  <c r="G283" i="4"/>
  <c r="G286" i="4"/>
  <c r="K297" i="4"/>
  <c r="K305" i="4"/>
  <c r="K313" i="4"/>
  <c r="G422" i="4"/>
  <c r="C186" i="8" s="1"/>
  <c r="E186" i="8" s="1"/>
  <c r="G427" i="4"/>
  <c r="C191" i="8" s="1"/>
  <c r="E191" i="8" s="1"/>
  <c r="K438" i="4"/>
  <c r="N66" i="5"/>
  <c r="H121" i="5"/>
  <c r="I121" i="5" s="1"/>
  <c r="G219" i="5"/>
  <c r="O219" i="5" s="1"/>
  <c r="G190" i="5"/>
  <c r="O190" i="5" s="1"/>
  <c r="G189" i="5"/>
  <c r="O189" i="5" s="1"/>
  <c r="P189" i="5" s="1"/>
  <c r="F222" i="5"/>
  <c r="F325" i="5"/>
  <c r="J325" i="5" s="1"/>
  <c r="N343" i="5"/>
  <c r="H343" i="5"/>
  <c r="I343" i="5" s="1"/>
  <c r="G356" i="5"/>
  <c r="K78" i="6"/>
  <c r="K87" i="6"/>
  <c r="K108" i="6"/>
  <c r="K114" i="6"/>
  <c r="AF173" i="2"/>
  <c r="G17" i="4"/>
  <c r="B170" i="8" s="1"/>
  <c r="D170" i="8" s="1"/>
  <c r="O169" i="8" s="1"/>
  <c r="G27" i="4"/>
  <c r="B180" i="8" s="1"/>
  <c r="D180" i="8" s="1"/>
  <c r="O179" i="8" s="1"/>
  <c r="G50" i="4"/>
  <c r="B203" i="8" s="1"/>
  <c r="D203" i="8" s="1"/>
  <c r="O202" i="8" s="1"/>
  <c r="G65" i="4"/>
  <c r="G75" i="4"/>
  <c r="G98" i="4"/>
  <c r="G113" i="4"/>
  <c r="G123" i="4"/>
  <c r="G146" i="4"/>
  <c r="G161" i="4"/>
  <c r="G171" i="4"/>
  <c r="G209" i="4"/>
  <c r="G219" i="4"/>
  <c r="G242" i="4"/>
  <c r="G257" i="4"/>
  <c r="G267" i="4"/>
  <c r="G301" i="4"/>
  <c r="G309" i="4"/>
  <c r="G317" i="4"/>
  <c r="G327" i="4"/>
  <c r="G335" i="4"/>
  <c r="G343" i="4"/>
  <c r="G351" i="4"/>
  <c r="G359" i="4"/>
  <c r="G367" i="4"/>
  <c r="G375" i="4"/>
  <c r="G383" i="4"/>
  <c r="G391" i="4"/>
  <c r="G399" i="4"/>
  <c r="C164" i="8" s="1"/>
  <c r="E164" i="8" s="1"/>
  <c r="G442" i="4"/>
  <c r="N48" i="5"/>
  <c r="H132" i="5"/>
  <c r="I132" i="5" s="1"/>
  <c r="H297" i="5"/>
  <c r="I297" i="5" s="1"/>
  <c r="H307" i="5"/>
  <c r="I307" i="5" s="1"/>
  <c r="H316" i="5"/>
  <c r="I316" i="5" s="1"/>
  <c r="N82" i="6"/>
  <c r="K90" i="6"/>
  <c r="K131" i="6"/>
  <c r="M131" i="6"/>
  <c r="G37" i="4"/>
  <c r="B190" i="8" s="1"/>
  <c r="D190" i="8" s="1"/>
  <c r="O189" i="8" s="1"/>
  <c r="G47" i="4"/>
  <c r="B200" i="8" s="1"/>
  <c r="D200" i="8" s="1"/>
  <c r="O199" i="8" s="1"/>
  <c r="G85" i="4"/>
  <c r="G95" i="4"/>
  <c r="G133" i="4"/>
  <c r="G143" i="4"/>
  <c r="K273" i="4"/>
  <c r="K281" i="4"/>
  <c r="H103" i="5"/>
  <c r="I103" i="5" s="1"/>
  <c r="O302" i="5"/>
  <c r="P302" i="5" s="1"/>
  <c r="H300" i="5"/>
  <c r="I300" i="5" s="1"/>
  <c r="H321" i="5"/>
  <c r="I321" i="5" s="1"/>
  <c r="G369" i="5"/>
  <c r="K69" i="6"/>
  <c r="K123" i="6"/>
  <c r="K162" i="6"/>
  <c r="N179" i="6"/>
  <c r="N243" i="6"/>
  <c r="H226" i="5"/>
  <c r="I226" i="5" s="1"/>
  <c r="H279" i="5"/>
  <c r="I279" i="5" s="1"/>
  <c r="H325" i="5"/>
  <c r="I325" i="5" s="1"/>
  <c r="G338" i="5"/>
  <c r="O338" i="5" s="1"/>
  <c r="G343" i="5"/>
  <c r="G352" i="5"/>
  <c r="G382" i="5"/>
  <c r="O382" i="5" s="1"/>
  <c r="K17" i="6"/>
  <c r="O75" i="6"/>
  <c r="O88" i="6"/>
  <c r="K99" i="6"/>
  <c r="N349" i="6"/>
  <c r="H174" i="5"/>
  <c r="I174" i="5" s="1"/>
  <c r="H271" i="5"/>
  <c r="I271" i="5" s="1"/>
  <c r="H283" i="5"/>
  <c r="I283" i="5" s="1"/>
  <c r="H304" i="5"/>
  <c r="I304" i="5" s="1"/>
  <c r="H336" i="5"/>
  <c r="I336" i="5" s="1"/>
  <c r="F421" i="5"/>
  <c r="M421" i="5" s="1"/>
  <c r="O49" i="6"/>
  <c r="M83" i="6"/>
  <c r="M119" i="6"/>
  <c r="N158" i="6"/>
  <c r="H5" i="5"/>
  <c r="I5" i="5" s="1"/>
  <c r="N226" i="5"/>
  <c r="H285" i="5"/>
  <c r="I285" i="5" s="1"/>
  <c r="H291" i="5"/>
  <c r="I291" i="5" s="1"/>
  <c r="G350" i="5"/>
  <c r="K365" i="6"/>
  <c r="F14" i="8"/>
  <c r="N14" i="8" s="1"/>
  <c r="O487" i="5"/>
  <c r="G334" i="5"/>
  <c r="B512" i="5" s="1"/>
  <c r="G341" i="5"/>
  <c r="G370" i="5"/>
  <c r="G389" i="5"/>
  <c r="K51" i="6"/>
  <c r="O94" i="6"/>
  <c r="K96" i="6"/>
  <c r="P133" i="6"/>
  <c r="K143" i="6"/>
  <c r="M395" i="6"/>
  <c r="F82" i="8"/>
  <c r="N82" i="8" s="1"/>
  <c r="H339" i="5"/>
  <c r="I339" i="5" s="1"/>
  <c r="G346" i="5"/>
  <c r="G355" i="5"/>
  <c r="K46" i="6"/>
  <c r="M175" i="6"/>
  <c r="K223" i="6"/>
  <c r="K234" i="6"/>
  <c r="N239" i="6"/>
  <c r="K242" i="6"/>
  <c r="F10" i="8"/>
  <c r="N10" i="8" s="1"/>
  <c r="H346" i="5"/>
  <c r="I346" i="5" s="1"/>
  <c r="G436" i="5"/>
  <c r="O436" i="5" s="1"/>
  <c r="K21" i="6"/>
  <c r="O52" i="6"/>
  <c r="K57" i="6"/>
  <c r="M126" i="6"/>
  <c r="K221" i="6"/>
  <c r="N234" i="6"/>
  <c r="N242" i="6"/>
  <c r="G337" i="5"/>
  <c r="G344" i="5"/>
  <c r="O344" i="5" s="1"/>
  <c r="H351" i="5"/>
  <c r="I351" i="5" s="1"/>
  <c r="G353" i="5"/>
  <c r="H358" i="5"/>
  <c r="I358" i="5" s="1"/>
  <c r="P5" i="6"/>
  <c r="O112" i="6"/>
  <c r="N376" i="6"/>
  <c r="K389" i="6"/>
  <c r="F34" i="8"/>
  <c r="N33" i="8" s="1"/>
  <c r="F50" i="8"/>
  <c r="N49" i="8" s="1"/>
  <c r="H127" i="5"/>
  <c r="I127" i="5" s="1"/>
  <c r="H133" i="5"/>
  <c r="I133" i="5" s="1"/>
  <c r="H280" i="5"/>
  <c r="I280" i="5" s="1"/>
  <c r="G386" i="5"/>
  <c r="H337" i="5"/>
  <c r="I337" i="5" s="1"/>
  <c r="K165" i="6"/>
  <c r="N366" i="6"/>
  <c r="N389" i="6"/>
  <c r="K413" i="6"/>
  <c r="F15" i="8"/>
  <c r="N15" i="8" s="1"/>
  <c r="H175" i="5"/>
  <c r="I175" i="5" s="1"/>
  <c r="H328" i="5"/>
  <c r="I328" i="5" s="1"/>
  <c r="N337" i="5"/>
  <c r="G349" i="5"/>
  <c r="O349" i="5" s="1"/>
  <c r="C484" i="5"/>
  <c r="K126" i="6"/>
  <c r="K171" i="6"/>
  <c r="N186" i="6"/>
  <c r="K198" i="6"/>
  <c r="M323" i="6"/>
  <c r="G335" i="5"/>
  <c r="G340" i="5"/>
  <c r="G358" i="5"/>
  <c r="N86" i="6"/>
  <c r="N117" i="6"/>
  <c r="K147" i="6"/>
  <c r="N235" i="6"/>
  <c r="K238" i="6"/>
  <c r="N335" i="6"/>
  <c r="N351" i="6"/>
  <c r="K377" i="6"/>
  <c r="N403" i="6"/>
  <c r="K195" i="6"/>
  <c r="M278" i="6"/>
  <c r="F85" i="8"/>
  <c r="N85" i="8" s="1"/>
  <c r="F117" i="8"/>
  <c r="N117" i="8" s="1"/>
  <c r="K168" i="6"/>
  <c r="O345" i="6"/>
  <c r="G18" i="11"/>
  <c r="K252" i="6"/>
  <c r="K264" i="6"/>
  <c r="K276" i="6"/>
  <c r="K288" i="6"/>
  <c r="F519" i="9"/>
  <c r="M288" i="6"/>
  <c r="F16" i="8"/>
  <c r="G14" i="11"/>
  <c r="M286" i="6"/>
  <c r="O366" i="6"/>
  <c r="F58" i="8"/>
  <c r="N57" i="8" s="1"/>
  <c r="E418" i="9"/>
  <c r="K194" i="6"/>
  <c r="K255" i="6"/>
  <c r="K267" i="6"/>
  <c r="K279" i="6"/>
  <c r="F81" i="8"/>
  <c r="F89" i="8"/>
  <c r="N89" i="8" s="1"/>
  <c r="F97" i="8"/>
  <c r="N97" i="8" s="1"/>
  <c r="F105" i="8"/>
  <c r="N105" i="8" s="1"/>
  <c r="F113" i="8"/>
  <c r="N113" i="8" s="1"/>
  <c r="F121" i="8"/>
  <c r="N121" i="8" s="1"/>
  <c r="F129" i="8"/>
  <c r="N129" i="8" s="1"/>
  <c r="F494" i="9"/>
  <c r="K173" i="6"/>
  <c r="K183" i="6"/>
  <c r="M284" i="6"/>
  <c r="K298" i="6"/>
  <c r="F21" i="8"/>
  <c r="N20" i="8" s="1"/>
  <c r="D15" i="11"/>
  <c r="D138" i="12" s="1"/>
  <c r="F138" i="12" s="1"/>
  <c r="G138" i="12" s="1"/>
  <c r="G19" i="11"/>
  <c r="K258" i="6"/>
  <c r="K270" i="6"/>
  <c r="K282" i="6"/>
  <c r="N329" i="6"/>
  <c r="K383" i="6"/>
  <c r="F18" i="8"/>
  <c r="N17" i="8" s="1"/>
  <c r="K239" i="6"/>
  <c r="M287" i="6"/>
  <c r="O426" i="6"/>
  <c r="K407" i="6"/>
  <c r="O446" i="6"/>
  <c r="G485" i="9"/>
  <c r="K235" i="6"/>
  <c r="M280" i="6"/>
  <c r="K461" i="9"/>
  <c r="O200" i="6"/>
  <c r="P202" i="6"/>
  <c r="K249" i="6"/>
  <c r="K261" i="6"/>
  <c r="K273" i="6"/>
  <c r="K285" i="6"/>
  <c r="F120" i="8"/>
  <c r="N120" i="8" s="1"/>
  <c r="D16" i="11"/>
  <c r="D139" i="12" s="1"/>
  <c r="F139" i="12" s="1"/>
  <c r="G139" i="12" s="1"/>
  <c r="D18" i="11"/>
  <c r="D141" i="12" s="1"/>
  <c r="F141" i="12" s="1"/>
  <c r="G141" i="12" s="1"/>
  <c r="H1696" i="9"/>
  <c r="H797" i="9"/>
  <c r="H14" i="9"/>
  <c r="AE203" i="2"/>
  <c r="H1151" i="9" s="1"/>
  <c r="H1733" i="9"/>
  <c r="H834" i="9"/>
  <c r="H51" i="9"/>
  <c r="AE248" i="2"/>
  <c r="H1189" i="9" s="1"/>
  <c r="H1775" i="9"/>
  <c r="H876" i="9"/>
  <c r="H93" i="9"/>
  <c r="AE296" i="2"/>
  <c r="H1232" i="9" s="1"/>
  <c r="H1837" i="9"/>
  <c r="H1485" i="9"/>
  <c r="H938" i="9"/>
  <c r="H155" i="9"/>
  <c r="AE368" i="2"/>
  <c r="H1294" i="9" s="1"/>
  <c r="H1864" i="9"/>
  <c r="H1512" i="9"/>
  <c r="H965" i="9"/>
  <c r="H182" i="9"/>
  <c r="AE400" i="2"/>
  <c r="H1322" i="9" s="1"/>
  <c r="H1769" i="9"/>
  <c r="H870" i="9"/>
  <c r="H87" i="9"/>
  <c r="AE290" i="2"/>
  <c r="H1226" i="9" s="1"/>
  <c r="H1738" i="9"/>
  <c r="H839" i="9"/>
  <c r="H56" i="9"/>
  <c r="AE254" i="2"/>
  <c r="H1194" i="9" s="1"/>
  <c r="H1879" i="9"/>
  <c r="H1527" i="9"/>
  <c r="H980" i="9"/>
  <c r="H197" i="9"/>
  <c r="AE416" i="2"/>
  <c r="H1337" i="9" s="1"/>
  <c r="H1712" i="9"/>
  <c r="H813" i="9"/>
  <c r="H30" i="9"/>
  <c r="AE224" i="2"/>
  <c r="H1168" i="9" s="1"/>
  <c r="H752" i="9"/>
  <c r="AE151" i="2"/>
  <c r="H1693" i="9"/>
  <c r="H794" i="9"/>
  <c r="H11" i="9"/>
  <c r="AE199" i="2"/>
  <c r="H1148" i="9" s="1"/>
  <c r="H1710" i="9"/>
  <c r="H811" i="9"/>
  <c r="H28" i="9"/>
  <c r="AE222" i="2"/>
  <c r="H1166" i="9" s="1"/>
  <c r="H1847" i="9"/>
  <c r="H1495" i="9"/>
  <c r="H948" i="9"/>
  <c r="H165" i="9"/>
  <c r="AE380" i="2"/>
  <c r="H1304" i="9" s="1"/>
  <c r="H755" i="9"/>
  <c r="AE155" i="2"/>
  <c r="H1728" i="9"/>
  <c r="H829" i="9"/>
  <c r="H46" i="9"/>
  <c r="AE242" i="2"/>
  <c r="H1184" i="9" s="1"/>
  <c r="H1759" i="9"/>
  <c r="H860" i="9"/>
  <c r="H77" i="9"/>
  <c r="AE278" i="2"/>
  <c r="H1215" i="9" s="1"/>
  <c r="H1875" i="9"/>
  <c r="H1523" i="9"/>
  <c r="H976" i="9"/>
  <c r="H193" i="9"/>
  <c r="AE412" i="2"/>
  <c r="H1333" i="9" s="1"/>
  <c r="H1779" i="9"/>
  <c r="H880" i="9"/>
  <c r="H97" i="9"/>
  <c r="AE302" i="2"/>
  <c r="H1236" i="9" s="1"/>
  <c r="H748" i="9"/>
  <c r="AE147" i="2"/>
  <c r="H770" i="9"/>
  <c r="AE171" i="2"/>
  <c r="H1689" i="9"/>
  <c r="H790" i="9"/>
  <c r="H7" i="9"/>
  <c r="AE195" i="2"/>
  <c r="H1144" i="9" s="1"/>
  <c r="H1708" i="9"/>
  <c r="H809" i="9"/>
  <c r="H26" i="9"/>
  <c r="AE219" i="2"/>
  <c r="H1164" i="9" s="1"/>
  <c r="H1858" i="9"/>
  <c r="H1506" i="9"/>
  <c r="H959" i="9"/>
  <c r="H176" i="9"/>
  <c r="AE392" i="2"/>
  <c r="H1316" i="9" s="1"/>
  <c r="H1724" i="9"/>
  <c r="H825" i="9"/>
  <c r="H42" i="9"/>
  <c r="AE236" i="2"/>
  <c r="H1180" i="9" s="1"/>
  <c r="H1872" i="9"/>
  <c r="H1520" i="9"/>
  <c r="H973" i="9"/>
  <c r="H190" i="9"/>
  <c r="AE408" i="2"/>
  <c r="H1330" i="9" s="1"/>
  <c r="H766" i="9"/>
  <c r="AE167" i="2"/>
  <c r="H786" i="9"/>
  <c r="AE191" i="2"/>
  <c r="H1705" i="9"/>
  <c r="H806" i="9"/>
  <c r="H23" i="9"/>
  <c r="AE215" i="2"/>
  <c r="H1161" i="9" s="1"/>
  <c r="H1805" i="9"/>
  <c r="H1453" i="9"/>
  <c r="H906" i="9"/>
  <c r="H123" i="9"/>
  <c r="AE332" i="2"/>
  <c r="H1262" i="9" s="1"/>
  <c r="H1749" i="9"/>
  <c r="H850" i="9"/>
  <c r="H67" i="9"/>
  <c r="AE266" i="2"/>
  <c r="H1205" i="9" s="1"/>
  <c r="H1844" i="9"/>
  <c r="H1492" i="9"/>
  <c r="H945" i="9"/>
  <c r="H162" i="9"/>
  <c r="AE376" i="2"/>
  <c r="H1301" i="9" s="1"/>
  <c r="H1883" i="9"/>
  <c r="H1531" i="9"/>
  <c r="H984" i="9"/>
  <c r="H201" i="9"/>
  <c r="AE420" i="2"/>
  <c r="H1341" i="9" s="1"/>
  <c r="H743" i="9"/>
  <c r="AE139" i="2"/>
  <c r="H762" i="9"/>
  <c r="AE163" i="2"/>
  <c r="H783" i="9"/>
  <c r="AE187" i="2"/>
  <c r="H1701" i="9"/>
  <c r="H802" i="9"/>
  <c r="H19" i="9"/>
  <c r="AE211" i="2"/>
  <c r="H1157" i="9" s="1"/>
  <c r="H1718" i="9"/>
  <c r="H819" i="9"/>
  <c r="H36" i="9"/>
  <c r="AE230" i="2"/>
  <c r="H1174" i="9" s="1"/>
  <c r="H1744" i="9"/>
  <c r="H845" i="9"/>
  <c r="H62" i="9"/>
  <c r="AE260" i="2"/>
  <c r="H1200" i="9" s="1"/>
  <c r="H1795" i="9"/>
  <c r="H1443" i="9"/>
  <c r="H896" i="9"/>
  <c r="H113" i="9"/>
  <c r="AE320" i="2"/>
  <c r="H1252" i="9" s="1"/>
  <c r="H1831" i="9"/>
  <c r="H1479" i="9"/>
  <c r="H932" i="9"/>
  <c r="H149" i="9"/>
  <c r="AE360" i="2"/>
  <c r="H1288" i="9" s="1"/>
  <c r="H1855" i="9"/>
  <c r="H1503" i="9"/>
  <c r="H956" i="9"/>
  <c r="H173" i="9"/>
  <c r="AE388" i="2"/>
  <c r="H1312" i="9" s="1"/>
  <c r="H1868" i="9"/>
  <c r="H1516" i="9"/>
  <c r="H969" i="9"/>
  <c r="H186" i="9"/>
  <c r="AE404" i="2"/>
  <c r="H1326" i="9" s="1"/>
  <c r="H736" i="9"/>
  <c r="AE131" i="2"/>
  <c r="H776" i="9"/>
  <c r="AE179" i="2"/>
  <c r="B24" i="11"/>
  <c r="D144" i="12" s="1"/>
  <c r="F144" i="12" s="1"/>
  <c r="G144" i="12" s="1"/>
  <c r="H740" i="9"/>
  <c r="AE135" i="2"/>
  <c r="H758" i="9"/>
  <c r="AE159" i="2"/>
  <c r="H779" i="9"/>
  <c r="AE183" i="2"/>
  <c r="H1698" i="9"/>
  <c r="H799" i="9"/>
  <c r="H16" i="9"/>
  <c r="AE207" i="2"/>
  <c r="H1154" i="9" s="1"/>
  <c r="H1784" i="9"/>
  <c r="H885" i="9"/>
  <c r="H102" i="9"/>
  <c r="AE308" i="2"/>
  <c r="H1241" i="9" s="1"/>
  <c r="I1696" i="9"/>
  <c r="I797" i="9"/>
  <c r="I14" i="9"/>
  <c r="H1704" i="9"/>
  <c r="H805" i="9"/>
  <c r="H22" i="9"/>
  <c r="AF167" i="2"/>
  <c r="H1726" i="9"/>
  <c r="H827" i="9"/>
  <c r="H44" i="9"/>
  <c r="H1731" i="9"/>
  <c r="H832" i="9"/>
  <c r="H49" i="9"/>
  <c r="AF191" i="2"/>
  <c r="J1778" i="9"/>
  <c r="J879" i="9"/>
  <c r="J96" i="9"/>
  <c r="H1793" i="9"/>
  <c r="H894" i="9"/>
  <c r="H111" i="9"/>
  <c r="H1799" i="9"/>
  <c r="H1447" i="9"/>
  <c r="H900" i="9"/>
  <c r="H117" i="9"/>
  <c r="AE324" i="2"/>
  <c r="H1256" i="9" s="1"/>
  <c r="H1850" i="9"/>
  <c r="H1498" i="9"/>
  <c r="H951" i="9"/>
  <c r="H168" i="9"/>
  <c r="AE383" i="2"/>
  <c r="H1307" i="9" s="1"/>
  <c r="D1873" i="9"/>
  <c r="D1521" i="9"/>
  <c r="D974" i="9"/>
  <c r="D191" i="9"/>
  <c r="Z409" i="2"/>
  <c r="D1331" i="9" s="1"/>
  <c r="D1890" i="9"/>
  <c r="D1538" i="9"/>
  <c r="D991" i="9"/>
  <c r="D208" i="9"/>
  <c r="Z429" i="2"/>
  <c r="D1349" i="9" s="1"/>
  <c r="I1893" i="9"/>
  <c r="I1541" i="9"/>
  <c r="I994" i="9"/>
  <c r="I211" i="9"/>
  <c r="I1898" i="9"/>
  <c r="I1546" i="9"/>
  <c r="I999" i="9"/>
  <c r="I216" i="9"/>
  <c r="AF438" i="2"/>
  <c r="I1357" i="9" s="1"/>
  <c r="I1905" i="9"/>
  <c r="I1553" i="9"/>
  <c r="I1006" i="9"/>
  <c r="I223" i="9"/>
  <c r="AF446" i="2"/>
  <c r="I1364" i="9" s="1"/>
  <c r="H1961" i="9"/>
  <c r="H1609" i="9"/>
  <c r="H1062" i="9"/>
  <c r="H279" i="9"/>
  <c r="AE508" i="2"/>
  <c r="H1420" i="9" s="1"/>
  <c r="H1992" i="9"/>
  <c r="H1640" i="9"/>
  <c r="H1093" i="9"/>
  <c r="H310" i="9"/>
  <c r="J1688" i="9"/>
  <c r="J789" i="9"/>
  <c r="J6" i="9"/>
  <c r="C1689" i="9"/>
  <c r="C790" i="9"/>
  <c r="C7" i="9"/>
  <c r="AA8" i="9"/>
  <c r="K115" i="4"/>
  <c r="AE133" i="2"/>
  <c r="J1692" i="9"/>
  <c r="J793" i="9"/>
  <c r="J10" i="9"/>
  <c r="C1693" i="9"/>
  <c r="C794" i="9"/>
  <c r="C11" i="9"/>
  <c r="J1695" i="9"/>
  <c r="J796" i="9"/>
  <c r="J13" i="9"/>
  <c r="C1696" i="9"/>
  <c r="C797" i="9"/>
  <c r="C14" i="9"/>
  <c r="AA15" i="9"/>
  <c r="K122" i="4"/>
  <c r="AE141" i="2"/>
  <c r="C1698" i="9"/>
  <c r="C799" i="9"/>
  <c r="C16" i="9"/>
  <c r="AA17" i="9"/>
  <c r="K124" i="4"/>
  <c r="AE145" i="2"/>
  <c r="J1700" i="9"/>
  <c r="J801" i="9"/>
  <c r="J18" i="9"/>
  <c r="C1701" i="9"/>
  <c r="C802" i="9"/>
  <c r="C19" i="9"/>
  <c r="AA20" i="9"/>
  <c r="K127" i="4"/>
  <c r="AE149" i="2"/>
  <c r="J1704" i="9"/>
  <c r="J805" i="9"/>
  <c r="J22" i="9"/>
  <c r="C1705" i="9"/>
  <c r="C806" i="9"/>
  <c r="C23" i="9"/>
  <c r="AA24" i="9"/>
  <c r="K131" i="4"/>
  <c r="AE153" i="2"/>
  <c r="J1707" i="9"/>
  <c r="J808" i="9"/>
  <c r="J25" i="9"/>
  <c r="C1708" i="9"/>
  <c r="C809" i="9"/>
  <c r="C26" i="9"/>
  <c r="AF157" i="2"/>
  <c r="H1711" i="9"/>
  <c r="H812" i="9"/>
  <c r="H29" i="9"/>
  <c r="C1712" i="9"/>
  <c r="C813" i="9"/>
  <c r="C30" i="9"/>
  <c r="AA31" i="9"/>
  <c r="K138" i="4"/>
  <c r="AF162" i="2"/>
  <c r="J1716" i="9"/>
  <c r="J817" i="9"/>
  <c r="J34" i="9"/>
  <c r="C1717" i="9"/>
  <c r="C818" i="9"/>
  <c r="C35" i="9"/>
  <c r="I1718" i="9"/>
  <c r="I819" i="9"/>
  <c r="I36" i="9"/>
  <c r="AF230" i="2"/>
  <c r="I1174" i="9" s="1"/>
  <c r="AG167" i="2"/>
  <c r="AE168" i="2"/>
  <c r="J1722" i="9"/>
  <c r="J823" i="9"/>
  <c r="J40" i="9"/>
  <c r="C1723" i="9"/>
  <c r="C824" i="9"/>
  <c r="C41" i="9"/>
  <c r="I1724" i="9"/>
  <c r="I825" i="9"/>
  <c r="I42" i="9"/>
  <c r="AF236" i="2"/>
  <c r="I1180" i="9" s="1"/>
  <c r="AG173" i="2"/>
  <c r="J1726" i="9"/>
  <c r="J827" i="9"/>
  <c r="J44" i="9"/>
  <c r="C1727" i="9"/>
  <c r="C828" i="9"/>
  <c r="C45" i="9"/>
  <c r="I1728" i="9"/>
  <c r="I829" i="9"/>
  <c r="I46" i="9"/>
  <c r="AF242" i="2"/>
  <c r="I1184" i="9" s="1"/>
  <c r="AG179" i="2"/>
  <c r="J1731" i="9"/>
  <c r="J832" i="9"/>
  <c r="J49" i="9"/>
  <c r="C1732" i="9"/>
  <c r="C833" i="9"/>
  <c r="C50" i="9"/>
  <c r="I1733" i="9"/>
  <c r="I834" i="9"/>
  <c r="I51" i="9"/>
  <c r="AF248" i="2"/>
  <c r="I1189" i="9" s="1"/>
  <c r="AG185" i="2"/>
  <c r="AE186" i="2"/>
  <c r="J1736" i="9"/>
  <c r="J837" i="9"/>
  <c r="J54" i="9"/>
  <c r="C1737" i="9"/>
  <c r="C838" i="9"/>
  <c r="C55" i="9"/>
  <c r="I1738" i="9"/>
  <c r="I839" i="9"/>
  <c r="I56" i="9"/>
  <c r="AF254" i="2"/>
  <c r="I1194" i="9" s="1"/>
  <c r="AG191" i="2"/>
  <c r="AE192" i="2"/>
  <c r="J1742" i="9"/>
  <c r="J843" i="9"/>
  <c r="J60" i="9"/>
  <c r="C1743" i="9"/>
  <c r="C1145" i="9"/>
  <c r="C844" i="9"/>
  <c r="C61" i="9"/>
  <c r="I1744" i="9"/>
  <c r="I845" i="9"/>
  <c r="I62" i="9"/>
  <c r="AF260" i="2"/>
  <c r="I1200" i="9" s="1"/>
  <c r="J1747" i="9"/>
  <c r="J848" i="9"/>
  <c r="J65" i="9"/>
  <c r="C1748" i="9"/>
  <c r="C1150" i="9"/>
  <c r="C849" i="9"/>
  <c r="C66" i="9"/>
  <c r="I1749" i="9"/>
  <c r="I850" i="9"/>
  <c r="I67" i="9"/>
  <c r="AF266" i="2"/>
  <c r="I1205" i="9" s="1"/>
  <c r="J1752" i="9"/>
  <c r="J853" i="9"/>
  <c r="J70" i="9"/>
  <c r="C1753" i="9"/>
  <c r="C1155" i="9"/>
  <c r="C854" i="9"/>
  <c r="C71" i="9"/>
  <c r="J1757" i="9"/>
  <c r="J858" i="9"/>
  <c r="J75" i="9"/>
  <c r="AG276" i="2"/>
  <c r="J1213" i="9" s="1"/>
  <c r="C1758" i="9"/>
  <c r="C1160" i="9"/>
  <c r="C859" i="9"/>
  <c r="C76" i="9"/>
  <c r="I1759" i="9"/>
  <c r="I860" i="9"/>
  <c r="I77" i="9"/>
  <c r="AF278" i="2"/>
  <c r="I1215" i="9" s="1"/>
  <c r="J1762" i="9"/>
  <c r="J863" i="9"/>
  <c r="J80" i="9"/>
  <c r="C1763" i="9"/>
  <c r="C1165" i="9"/>
  <c r="C864" i="9"/>
  <c r="C81" i="9"/>
  <c r="J1767" i="9"/>
  <c r="J868" i="9"/>
  <c r="J85" i="9"/>
  <c r="AG288" i="2"/>
  <c r="J1224" i="9" s="1"/>
  <c r="C1768" i="9"/>
  <c r="C1170" i="9"/>
  <c r="C869" i="9"/>
  <c r="C86" i="9"/>
  <c r="I1769" i="9"/>
  <c r="I870" i="9"/>
  <c r="I87" i="9"/>
  <c r="AF290" i="2"/>
  <c r="I1226" i="9" s="1"/>
  <c r="J1773" i="9"/>
  <c r="J874" i="9"/>
  <c r="J91" i="9"/>
  <c r="C1774" i="9"/>
  <c r="C1176" i="9"/>
  <c r="C875" i="9"/>
  <c r="C92" i="9"/>
  <c r="I1775" i="9"/>
  <c r="I876" i="9"/>
  <c r="I93" i="9"/>
  <c r="AF296" i="2"/>
  <c r="I1232" i="9" s="1"/>
  <c r="I1779" i="9"/>
  <c r="I880" i="9"/>
  <c r="I97" i="9"/>
  <c r="AF302" i="2"/>
  <c r="I1236" i="9" s="1"/>
  <c r="AE240" i="2"/>
  <c r="H1182" i="9" s="1"/>
  <c r="C1783" i="9"/>
  <c r="C1185" i="9"/>
  <c r="C884" i="9"/>
  <c r="C101" i="9"/>
  <c r="I1784" i="9"/>
  <c r="I885" i="9"/>
  <c r="I102" i="9"/>
  <c r="AF308" i="2"/>
  <c r="I1241" i="9" s="1"/>
  <c r="AE246" i="2"/>
  <c r="H1187" i="9" s="1"/>
  <c r="J1788" i="9"/>
  <c r="J889" i="9"/>
  <c r="J106" i="9"/>
  <c r="AG312" i="2"/>
  <c r="J1245" i="9" s="1"/>
  <c r="C1789" i="9"/>
  <c r="C1191" i="9"/>
  <c r="C890" i="9"/>
  <c r="C107" i="9"/>
  <c r="J1793" i="9"/>
  <c r="J894" i="9"/>
  <c r="J111" i="9"/>
  <c r="C1794" i="9"/>
  <c r="C1196" i="9"/>
  <c r="C895" i="9"/>
  <c r="C112" i="9"/>
  <c r="I1795" i="9"/>
  <c r="I1443" i="9"/>
  <c r="I896" i="9"/>
  <c r="I113" i="9"/>
  <c r="AF320" i="2"/>
  <c r="I1252" i="9" s="1"/>
  <c r="J1799" i="9"/>
  <c r="J1447" i="9"/>
  <c r="J900" i="9"/>
  <c r="J117" i="9"/>
  <c r="AG324" i="2"/>
  <c r="J1256" i="9" s="1"/>
  <c r="C1800" i="9"/>
  <c r="C1448" i="9"/>
  <c r="C1202" i="9"/>
  <c r="C901" i="9"/>
  <c r="C118" i="9"/>
  <c r="J1804" i="9"/>
  <c r="J1452" i="9"/>
  <c r="J905" i="9"/>
  <c r="J122" i="9"/>
  <c r="I1805" i="9"/>
  <c r="I1453" i="9"/>
  <c r="I906" i="9"/>
  <c r="I123" i="9"/>
  <c r="AF332" i="2"/>
  <c r="I1262" i="9" s="1"/>
  <c r="J1808" i="9"/>
  <c r="J1456" i="9"/>
  <c r="J909" i="9"/>
  <c r="J126" i="9"/>
  <c r="AG336" i="2"/>
  <c r="J1265" i="9" s="1"/>
  <c r="C1809" i="9"/>
  <c r="C1457" i="9"/>
  <c r="C1211" i="9"/>
  <c r="C910" i="9"/>
  <c r="C127" i="9"/>
  <c r="I1810" i="9"/>
  <c r="I1458" i="9"/>
  <c r="I911" i="9"/>
  <c r="I128" i="9"/>
  <c r="AF338" i="2"/>
  <c r="I1267" i="9" s="1"/>
  <c r="AA129" i="9"/>
  <c r="K238" i="4"/>
  <c r="AA130" i="9"/>
  <c r="K239" i="4"/>
  <c r="J1815" i="9"/>
  <c r="J1463" i="9"/>
  <c r="J916" i="9"/>
  <c r="J133" i="9"/>
  <c r="J1816" i="9"/>
  <c r="J1464" i="9"/>
  <c r="J917" i="9"/>
  <c r="J134" i="9"/>
  <c r="AG344" i="2"/>
  <c r="J1273" i="9" s="1"/>
  <c r="C1817" i="9"/>
  <c r="C1465" i="9"/>
  <c r="C1219" i="9"/>
  <c r="C918" i="9"/>
  <c r="C135" i="9"/>
  <c r="I1818" i="9"/>
  <c r="I1466" i="9"/>
  <c r="I919" i="9"/>
  <c r="I136" i="9"/>
  <c r="AF346" i="2"/>
  <c r="I1275" i="9" s="1"/>
  <c r="AA137" i="9"/>
  <c r="K246" i="4"/>
  <c r="J1822" i="9"/>
  <c r="J1470" i="9"/>
  <c r="J923" i="9"/>
  <c r="J140" i="9"/>
  <c r="I1825" i="9"/>
  <c r="I1473" i="9"/>
  <c r="I926" i="9"/>
  <c r="I143" i="9"/>
  <c r="AF354" i="2"/>
  <c r="I1282" i="9" s="1"/>
  <c r="H1832" i="9"/>
  <c r="H1480" i="9"/>
  <c r="H933" i="9"/>
  <c r="H150" i="9"/>
  <c r="J1839" i="9"/>
  <c r="J1487" i="9"/>
  <c r="J940" i="9"/>
  <c r="J157" i="9"/>
  <c r="D1841" i="9"/>
  <c r="D1489" i="9"/>
  <c r="D942" i="9"/>
  <c r="D159" i="9"/>
  <c r="H128" i="8"/>
  <c r="P128" i="8" s="1"/>
  <c r="C1844" i="9"/>
  <c r="C1492" i="9"/>
  <c r="C1246" i="9"/>
  <c r="C945" i="9"/>
  <c r="C162" i="9"/>
  <c r="J1850" i="9"/>
  <c r="J1498" i="9"/>
  <c r="J951" i="9"/>
  <c r="J168" i="9"/>
  <c r="D1852" i="9"/>
  <c r="D1500" i="9"/>
  <c r="D953" i="9"/>
  <c r="D170" i="9"/>
  <c r="C1855" i="9"/>
  <c r="C1503" i="9"/>
  <c r="C1257" i="9"/>
  <c r="C956" i="9"/>
  <c r="C173" i="9"/>
  <c r="J1860" i="9"/>
  <c r="J1508" i="9"/>
  <c r="J961" i="9"/>
  <c r="J178" i="9"/>
  <c r="D1862" i="9"/>
  <c r="D1510" i="9"/>
  <c r="D963" i="9"/>
  <c r="D180" i="9"/>
  <c r="Z397" i="2"/>
  <c r="D1320" i="9" s="1"/>
  <c r="C1864" i="9"/>
  <c r="C1512" i="9"/>
  <c r="C1266" i="9"/>
  <c r="C965" i="9"/>
  <c r="C182" i="9"/>
  <c r="H1873" i="9"/>
  <c r="H1521" i="9"/>
  <c r="H974" i="9"/>
  <c r="H191" i="9"/>
  <c r="AE409" i="2"/>
  <c r="H1331" i="9" s="1"/>
  <c r="D1874" i="9"/>
  <c r="D1522" i="9"/>
  <c r="D975" i="9"/>
  <c r="D192" i="9"/>
  <c r="I1876" i="9"/>
  <c r="I1524" i="9"/>
  <c r="I977" i="9"/>
  <c r="I194" i="9"/>
  <c r="I1877" i="9"/>
  <c r="I1525" i="9"/>
  <c r="I978" i="9"/>
  <c r="I195" i="9"/>
  <c r="AF414" i="2"/>
  <c r="I1335" i="9" s="1"/>
  <c r="I1879" i="9"/>
  <c r="I1527" i="9"/>
  <c r="I980" i="9"/>
  <c r="I197" i="9"/>
  <c r="AF416" i="2"/>
  <c r="I1337" i="9" s="1"/>
  <c r="H1890" i="9"/>
  <c r="H1538" i="9"/>
  <c r="H991" i="9"/>
  <c r="H208" i="9"/>
  <c r="AE429" i="2"/>
  <c r="H1349" i="9" s="1"/>
  <c r="J1891" i="9"/>
  <c r="J1539" i="9"/>
  <c r="J992" i="9"/>
  <c r="J209" i="9"/>
  <c r="AG430" i="2"/>
  <c r="J1350" i="9" s="1"/>
  <c r="D1892" i="9"/>
  <c r="D1540" i="9"/>
  <c r="D993" i="9"/>
  <c r="D210" i="9"/>
  <c r="C1917" i="9"/>
  <c r="C1565" i="9"/>
  <c r="C1319" i="9"/>
  <c r="C1018" i="9"/>
  <c r="C235" i="9"/>
  <c r="C1920" i="9"/>
  <c r="C1568" i="9"/>
  <c r="C1322" i="9"/>
  <c r="C1021" i="9"/>
  <c r="C238" i="9"/>
  <c r="D1928" i="9"/>
  <c r="D1576" i="9"/>
  <c r="D1029" i="9"/>
  <c r="D246" i="9"/>
  <c r="Z411" i="2"/>
  <c r="D1332" i="9" s="1"/>
  <c r="H1956" i="9"/>
  <c r="H1604" i="9"/>
  <c r="H1057" i="9"/>
  <c r="H274" i="9"/>
  <c r="AE502" i="2"/>
  <c r="H1415" i="9" s="1"/>
  <c r="H1957" i="9"/>
  <c r="H1605" i="9"/>
  <c r="H1058" i="9"/>
  <c r="H275" i="9"/>
  <c r="AE504" i="2"/>
  <c r="H1416" i="9" s="1"/>
  <c r="I1959" i="9"/>
  <c r="I1607" i="9"/>
  <c r="I1060" i="9"/>
  <c r="I277" i="9"/>
  <c r="AF506" i="2"/>
  <c r="I1418" i="9" s="1"/>
  <c r="F2088" i="9"/>
  <c r="D1972" i="9"/>
  <c r="D1620" i="9"/>
  <c r="D1073" i="9"/>
  <c r="D290" i="9"/>
  <c r="H1990" i="9"/>
  <c r="H1638" i="9"/>
  <c r="H1091" i="9"/>
  <c r="H308" i="9"/>
  <c r="F2113" i="9"/>
  <c r="D1997" i="9"/>
  <c r="D1645" i="9"/>
  <c r="D1098" i="9"/>
  <c r="D315" i="9"/>
  <c r="H2012" i="9"/>
  <c r="H1660" i="9"/>
  <c r="H1113" i="9"/>
  <c r="H330" i="9"/>
  <c r="F2135" i="9"/>
  <c r="D2018" i="9"/>
  <c r="D1666" i="9"/>
  <c r="D1119" i="9"/>
  <c r="D336" i="9"/>
  <c r="H26" i="5"/>
  <c r="I26" i="5" s="1"/>
  <c r="I1689" i="9"/>
  <c r="I790" i="9"/>
  <c r="I7" i="9"/>
  <c r="I1701" i="9"/>
  <c r="I802" i="9"/>
  <c r="I19" i="9"/>
  <c r="I1723" i="9"/>
  <c r="I824" i="9"/>
  <c r="I41" i="9"/>
  <c r="H1742" i="9"/>
  <c r="H843" i="9"/>
  <c r="H60" i="9"/>
  <c r="AF203" i="2"/>
  <c r="I1151" i="9" s="1"/>
  <c r="J1761" i="9"/>
  <c r="J862" i="9"/>
  <c r="J79" i="9"/>
  <c r="H1767" i="9"/>
  <c r="H868" i="9"/>
  <c r="H85" i="9"/>
  <c r="I1774" i="9"/>
  <c r="I875" i="9"/>
  <c r="I92" i="9"/>
  <c r="H1788" i="9"/>
  <c r="H889" i="9"/>
  <c r="H106" i="9"/>
  <c r="AE312" i="2"/>
  <c r="H1245" i="9" s="1"/>
  <c r="H1804" i="9"/>
  <c r="H1452" i="9"/>
  <c r="H905" i="9"/>
  <c r="H122" i="9"/>
  <c r="H1808" i="9"/>
  <c r="H1456" i="9"/>
  <c r="H909" i="9"/>
  <c r="H126" i="9"/>
  <c r="AE336" i="2"/>
  <c r="H1265" i="9" s="1"/>
  <c r="H1822" i="9"/>
  <c r="H1470" i="9"/>
  <c r="H923" i="9"/>
  <c r="H140" i="9"/>
  <c r="AE351" i="2"/>
  <c r="H1279" i="9" s="1"/>
  <c r="I1855" i="9"/>
  <c r="I1503" i="9"/>
  <c r="I956" i="9"/>
  <c r="I173" i="9"/>
  <c r="AF388" i="2"/>
  <c r="I1312" i="9" s="1"/>
  <c r="C1874" i="9"/>
  <c r="C1522" i="9"/>
  <c r="C1276" i="9"/>
  <c r="C975" i="9"/>
  <c r="C192" i="9"/>
  <c r="C1892" i="9"/>
  <c r="C1540" i="9"/>
  <c r="C1294" i="9"/>
  <c r="C993" i="9"/>
  <c r="C210" i="9"/>
  <c r="I1909" i="9"/>
  <c r="I1557" i="9"/>
  <c r="I1010" i="9"/>
  <c r="I227" i="9"/>
  <c r="AF450" i="2"/>
  <c r="I1368" i="9" s="1"/>
  <c r="D1931" i="9"/>
  <c r="D1579" i="9"/>
  <c r="D1032" i="9"/>
  <c r="D249" i="9"/>
  <c r="D743" i="9"/>
  <c r="H165" i="8"/>
  <c r="P165" i="8" s="1"/>
  <c r="H13" i="8"/>
  <c r="P13" i="8" s="1"/>
  <c r="H168" i="8"/>
  <c r="H16" i="8"/>
  <c r="D752" i="9"/>
  <c r="H175" i="8"/>
  <c r="P174" i="8" s="1"/>
  <c r="H23" i="8"/>
  <c r="P22" i="8" s="1"/>
  <c r="D755" i="9"/>
  <c r="H26" i="8"/>
  <c r="P25" i="8" s="1"/>
  <c r="H178" i="8"/>
  <c r="P177" i="8" s="1"/>
  <c r="D758" i="9"/>
  <c r="H181" i="8"/>
  <c r="P180" i="8" s="1"/>
  <c r="H29" i="8"/>
  <c r="P28" i="8" s="1"/>
  <c r="D766" i="9"/>
  <c r="H189" i="8"/>
  <c r="P188" i="8" s="1"/>
  <c r="H37" i="8"/>
  <c r="P36" i="8" s="1"/>
  <c r="D770" i="9"/>
  <c r="H193" i="8"/>
  <c r="P192" i="8" s="1"/>
  <c r="H41" i="8"/>
  <c r="P40" i="8" s="1"/>
  <c r="D776" i="9"/>
  <c r="H199" i="8"/>
  <c r="P198" i="8" s="1"/>
  <c r="H47" i="8"/>
  <c r="P46" i="8" s="1"/>
  <c r="D779" i="9"/>
  <c r="H203" i="8"/>
  <c r="P202" i="8" s="1"/>
  <c r="H51" i="8"/>
  <c r="P50" i="8" s="1"/>
  <c r="D783" i="9"/>
  <c r="H54" i="8"/>
  <c r="P53" i="8" s="1"/>
  <c r="H206" i="8"/>
  <c r="P205" i="8" s="1"/>
  <c r="D786" i="9"/>
  <c r="H209" i="8"/>
  <c r="P208" i="8" s="1"/>
  <c r="H57" i="8"/>
  <c r="P56" i="8" s="1"/>
  <c r="D1689" i="9"/>
  <c r="D790" i="9"/>
  <c r="D7" i="9"/>
  <c r="AF133" i="2"/>
  <c r="D1693" i="9"/>
  <c r="D794" i="9"/>
  <c r="D11" i="9"/>
  <c r="Z139" i="2"/>
  <c r="D1696" i="9"/>
  <c r="D797" i="9"/>
  <c r="D14" i="9"/>
  <c r="AF141" i="2"/>
  <c r="Z143" i="2"/>
  <c r="D1698" i="9"/>
  <c r="D799" i="9"/>
  <c r="D16" i="9"/>
  <c r="AF145" i="2"/>
  <c r="D1701" i="9"/>
  <c r="D802" i="9"/>
  <c r="D19" i="9"/>
  <c r="AF149" i="2"/>
  <c r="Z151" i="2"/>
  <c r="D1705" i="9"/>
  <c r="D806" i="9"/>
  <c r="D23" i="9"/>
  <c r="AF153" i="2"/>
  <c r="Z155" i="2"/>
  <c r="D1708" i="9"/>
  <c r="D809" i="9"/>
  <c r="D26" i="9"/>
  <c r="I1709" i="9"/>
  <c r="I810" i="9"/>
  <c r="I27" i="9"/>
  <c r="AF220" i="2"/>
  <c r="I1165" i="9" s="1"/>
  <c r="J1711" i="9"/>
  <c r="J812" i="9"/>
  <c r="J29" i="9"/>
  <c r="D1712" i="9"/>
  <c r="D813" i="9"/>
  <c r="D30" i="9"/>
  <c r="Z224" i="2"/>
  <c r="D1168" i="9" s="1"/>
  <c r="D1717" i="9"/>
  <c r="D818" i="9"/>
  <c r="D35" i="9"/>
  <c r="C1718" i="9"/>
  <c r="C819" i="9"/>
  <c r="C36" i="9"/>
  <c r="AA37" i="9"/>
  <c r="K144" i="4"/>
  <c r="Z171" i="2"/>
  <c r="D1723" i="9"/>
  <c r="D824" i="9"/>
  <c r="D41" i="9"/>
  <c r="C1724" i="9"/>
  <c r="C825" i="9"/>
  <c r="C42" i="9"/>
  <c r="D1727" i="9"/>
  <c r="D828" i="9"/>
  <c r="D45" i="9"/>
  <c r="C1728" i="9"/>
  <c r="C829" i="9"/>
  <c r="C46" i="9"/>
  <c r="Z183" i="2"/>
  <c r="D1732" i="9"/>
  <c r="D833" i="9"/>
  <c r="D50" i="9"/>
  <c r="C1733" i="9"/>
  <c r="C834" i="9"/>
  <c r="C51" i="9"/>
  <c r="AA52" i="9"/>
  <c r="K160" i="4"/>
  <c r="D1737" i="9"/>
  <c r="D838" i="9"/>
  <c r="D55" i="9"/>
  <c r="C1738" i="9"/>
  <c r="C839" i="9"/>
  <c r="C56" i="9"/>
  <c r="Z195" i="2"/>
  <c r="D1144" i="9" s="1"/>
  <c r="D1743" i="9"/>
  <c r="D844" i="9"/>
  <c r="D61" i="9"/>
  <c r="C1744" i="9"/>
  <c r="C1146" i="9"/>
  <c r="C845" i="9"/>
  <c r="C62" i="9"/>
  <c r="AA63" i="9"/>
  <c r="K171" i="4"/>
  <c r="D1748" i="9"/>
  <c r="D849" i="9"/>
  <c r="D66" i="9"/>
  <c r="C1749" i="9"/>
  <c r="C1151" i="9"/>
  <c r="C850" i="9"/>
  <c r="C67" i="9"/>
  <c r="AA68" i="9"/>
  <c r="K176" i="4"/>
  <c r="Z207" i="2"/>
  <c r="D1154" i="9" s="1"/>
  <c r="D1753" i="9"/>
  <c r="D854" i="9"/>
  <c r="D71" i="9"/>
  <c r="AA72" i="9"/>
  <c r="K180" i="4"/>
  <c r="D1758" i="9"/>
  <c r="D859" i="9"/>
  <c r="D76" i="9"/>
  <c r="C1759" i="9"/>
  <c r="C1161" i="9"/>
  <c r="C860" i="9"/>
  <c r="C77" i="9"/>
  <c r="AA78" i="9"/>
  <c r="K186" i="4"/>
  <c r="Z219" i="2"/>
  <c r="D1164" i="9" s="1"/>
  <c r="D1763" i="9"/>
  <c r="D864" i="9"/>
  <c r="D81" i="9"/>
  <c r="AA82" i="9"/>
  <c r="K190" i="4"/>
  <c r="D1768" i="9"/>
  <c r="D869" i="9"/>
  <c r="D86" i="9"/>
  <c r="C1769" i="9"/>
  <c r="C1171" i="9"/>
  <c r="C870" i="9"/>
  <c r="C87" i="9"/>
  <c r="AA88" i="9"/>
  <c r="K196" i="4"/>
  <c r="D1774" i="9"/>
  <c r="D875" i="9"/>
  <c r="D92" i="9"/>
  <c r="C1775" i="9"/>
  <c r="C1177" i="9"/>
  <c r="C876" i="9"/>
  <c r="C93" i="9"/>
  <c r="AA94" i="9"/>
  <c r="K202" i="4"/>
  <c r="C1779" i="9"/>
  <c r="C1181" i="9"/>
  <c r="C880" i="9"/>
  <c r="C97" i="9"/>
  <c r="AA98" i="9"/>
  <c r="K206" i="4"/>
  <c r="D1783" i="9"/>
  <c r="D884" i="9"/>
  <c r="D101" i="9"/>
  <c r="C1784" i="9"/>
  <c r="C1186" i="9"/>
  <c r="C885" i="9"/>
  <c r="C102" i="9"/>
  <c r="AA103" i="9"/>
  <c r="K212" i="4"/>
  <c r="D1789" i="9"/>
  <c r="D890" i="9"/>
  <c r="D107" i="9"/>
  <c r="D1794" i="9"/>
  <c r="D895" i="9"/>
  <c r="D112" i="9"/>
  <c r="C1795" i="9"/>
  <c r="C1443" i="9"/>
  <c r="C1197" i="9"/>
  <c r="C896" i="9"/>
  <c r="C113" i="9"/>
  <c r="AA114" i="9"/>
  <c r="K223" i="4"/>
  <c r="D1800" i="9"/>
  <c r="D1448" i="9"/>
  <c r="D901" i="9"/>
  <c r="D118" i="9"/>
  <c r="H86" i="8"/>
  <c r="P86" i="8" s="1"/>
  <c r="AA119" i="9"/>
  <c r="K228" i="4"/>
  <c r="C1805" i="9"/>
  <c r="C1453" i="9"/>
  <c r="C1207" i="9"/>
  <c r="C906" i="9"/>
  <c r="C123" i="9"/>
  <c r="D1809" i="9"/>
  <c r="D1457" i="9"/>
  <c r="D910" i="9"/>
  <c r="D127" i="9"/>
  <c r="H95" i="8"/>
  <c r="P95" i="8" s="1"/>
  <c r="C1810" i="9"/>
  <c r="C1458" i="9"/>
  <c r="C1212" i="9"/>
  <c r="C911" i="9"/>
  <c r="C128" i="9"/>
  <c r="D1817" i="9"/>
  <c r="D1465" i="9"/>
  <c r="D918" i="9"/>
  <c r="D135" i="9"/>
  <c r="H103" i="8"/>
  <c r="P103" i="8" s="1"/>
  <c r="C1818" i="9"/>
  <c r="C1466" i="9"/>
  <c r="C1220" i="9"/>
  <c r="C919" i="9"/>
  <c r="C136" i="9"/>
  <c r="Z289" i="2"/>
  <c r="D1225" i="9" s="1"/>
  <c r="D1824" i="9"/>
  <c r="D1472" i="9"/>
  <c r="D925" i="9"/>
  <c r="D142" i="9"/>
  <c r="H110" i="8"/>
  <c r="P110" i="8" s="1"/>
  <c r="C1825" i="9"/>
  <c r="C1473" i="9"/>
  <c r="C1227" i="9"/>
  <c r="C926" i="9"/>
  <c r="C143" i="9"/>
  <c r="I1827" i="9"/>
  <c r="I1475" i="9"/>
  <c r="I928" i="9"/>
  <c r="I145" i="9"/>
  <c r="AF356" i="2"/>
  <c r="I1284" i="9" s="1"/>
  <c r="J1832" i="9"/>
  <c r="J1480" i="9"/>
  <c r="J933" i="9"/>
  <c r="J150" i="9"/>
  <c r="AG361" i="2"/>
  <c r="J1289" i="9" s="1"/>
  <c r="J1833" i="9"/>
  <c r="J1481" i="9"/>
  <c r="J934" i="9"/>
  <c r="J151" i="9"/>
  <c r="AA155" i="9"/>
  <c r="K264" i="4"/>
  <c r="H1841" i="9"/>
  <c r="H1489" i="9"/>
  <c r="H942" i="9"/>
  <c r="H159" i="9"/>
  <c r="C1843" i="9"/>
  <c r="C1491" i="9"/>
  <c r="C1245" i="9"/>
  <c r="C944" i="9"/>
  <c r="C161" i="9"/>
  <c r="AA165" i="9"/>
  <c r="K275" i="4"/>
  <c r="H1852" i="9"/>
  <c r="H1500" i="9"/>
  <c r="H953" i="9"/>
  <c r="H170" i="9"/>
  <c r="C1854" i="9"/>
  <c r="C1502" i="9"/>
  <c r="C1256" i="9"/>
  <c r="C955" i="9"/>
  <c r="C172" i="9"/>
  <c r="AA176" i="9"/>
  <c r="K286" i="4"/>
  <c r="H1862" i="9"/>
  <c r="H1510" i="9"/>
  <c r="H963" i="9"/>
  <c r="H180" i="9"/>
  <c r="C1863" i="9"/>
  <c r="C1511" i="9"/>
  <c r="C1265" i="9"/>
  <c r="C964" i="9"/>
  <c r="C181" i="9"/>
  <c r="AA186" i="9"/>
  <c r="K296" i="4"/>
  <c r="H1874" i="9"/>
  <c r="H1522" i="9"/>
  <c r="H975" i="9"/>
  <c r="H192" i="9"/>
  <c r="AE411" i="2"/>
  <c r="H1332" i="9" s="1"/>
  <c r="AA201" i="9"/>
  <c r="K311" i="4"/>
  <c r="D1893" i="9"/>
  <c r="D1541" i="9"/>
  <c r="D994" i="9"/>
  <c r="D211" i="9"/>
  <c r="Z433" i="2"/>
  <c r="D1352" i="9" s="1"/>
  <c r="C1895" i="9"/>
  <c r="C1543" i="9"/>
  <c r="C1297" i="9"/>
  <c r="C996" i="9"/>
  <c r="C213" i="9"/>
  <c r="C1899" i="9"/>
  <c r="C1547" i="9"/>
  <c r="C1301" i="9"/>
  <c r="C1000" i="9"/>
  <c r="C217" i="9"/>
  <c r="C1902" i="9"/>
  <c r="C1550" i="9"/>
  <c r="C1304" i="9"/>
  <c r="C1003" i="9"/>
  <c r="C220" i="9"/>
  <c r="C1906" i="9"/>
  <c r="C1554" i="9"/>
  <c r="C1308" i="9"/>
  <c r="C1007" i="9"/>
  <c r="C224" i="9"/>
  <c r="C1910" i="9"/>
  <c r="C1558" i="9"/>
  <c r="C1312" i="9"/>
  <c r="C1011" i="9"/>
  <c r="C228" i="9"/>
  <c r="C1914" i="9"/>
  <c r="C1562" i="9"/>
  <c r="C1316" i="9"/>
  <c r="C1015" i="9"/>
  <c r="C232" i="9"/>
  <c r="J1916" i="9"/>
  <c r="J1564" i="9"/>
  <c r="J1017" i="9"/>
  <c r="J234" i="9"/>
  <c r="AG458" i="2"/>
  <c r="J1375" i="9" s="1"/>
  <c r="D1917" i="9"/>
  <c r="D1565" i="9"/>
  <c r="D1018" i="9"/>
  <c r="D235" i="9"/>
  <c r="J1919" i="9"/>
  <c r="J1567" i="9"/>
  <c r="J1020" i="9"/>
  <c r="J237" i="9"/>
  <c r="AG462" i="2"/>
  <c r="J1378" i="9" s="1"/>
  <c r="D1920" i="9"/>
  <c r="D1568" i="9"/>
  <c r="D1021" i="9"/>
  <c r="D238" i="9"/>
  <c r="D1924" i="9"/>
  <c r="D1572" i="9"/>
  <c r="D1025" i="9"/>
  <c r="D242" i="9"/>
  <c r="H1926" i="9"/>
  <c r="H1574" i="9"/>
  <c r="H1027" i="9"/>
  <c r="H244" i="9"/>
  <c r="AE469" i="2"/>
  <c r="H1385" i="9" s="1"/>
  <c r="H1952" i="9"/>
  <c r="H1600" i="9"/>
  <c r="H1053" i="9"/>
  <c r="H270" i="9"/>
  <c r="AE498" i="2"/>
  <c r="H1411" i="9" s="1"/>
  <c r="H1954" i="9"/>
  <c r="H1602" i="9"/>
  <c r="H1055" i="9"/>
  <c r="H272" i="9"/>
  <c r="AE500" i="2"/>
  <c r="H1413" i="9" s="1"/>
  <c r="I1956" i="9"/>
  <c r="I1604" i="9"/>
  <c r="I1057" i="9"/>
  <c r="I274" i="9"/>
  <c r="AF502" i="2"/>
  <c r="I1415" i="9" s="1"/>
  <c r="F2084" i="9"/>
  <c r="D1968" i="9"/>
  <c r="D1616" i="9"/>
  <c r="D1069" i="9"/>
  <c r="D286" i="9"/>
  <c r="H1988" i="9"/>
  <c r="H1636" i="9"/>
  <c r="H1089" i="9"/>
  <c r="H306" i="9"/>
  <c r="H2010" i="9"/>
  <c r="H1658" i="9"/>
  <c r="H1111" i="9"/>
  <c r="H328" i="9"/>
  <c r="F168" i="8"/>
  <c r="F196" i="8"/>
  <c r="N195" i="8" s="1"/>
  <c r="C458" i="4"/>
  <c r="I1708" i="9"/>
  <c r="I809" i="9"/>
  <c r="I26" i="9"/>
  <c r="H1716" i="9"/>
  <c r="H817" i="9"/>
  <c r="H34" i="9"/>
  <c r="J1741" i="9"/>
  <c r="J842" i="9"/>
  <c r="J59" i="9"/>
  <c r="J1751" i="9"/>
  <c r="J852" i="9"/>
  <c r="J69" i="9"/>
  <c r="H1757" i="9"/>
  <c r="H858" i="9"/>
  <c r="H75" i="9"/>
  <c r="H1762" i="9"/>
  <c r="H863" i="9"/>
  <c r="H80" i="9"/>
  <c r="J1766" i="9"/>
  <c r="J867" i="9"/>
  <c r="J84" i="9"/>
  <c r="J1772" i="9"/>
  <c r="J873" i="9"/>
  <c r="J90" i="9"/>
  <c r="J1782" i="9"/>
  <c r="J883" i="9"/>
  <c r="J100" i="9"/>
  <c r="J1787" i="9"/>
  <c r="J888" i="9"/>
  <c r="J105" i="9"/>
  <c r="J1792" i="9"/>
  <c r="J893" i="9"/>
  <c r="J110" i="9"/>
  <c r="H1816" i="9"/>
  <c r="H1464" i="9"/>
  <c r="H917" i="9"/>
  <c r="H134" i="9"/>
  <c r="AE344" i="2"/>
  <c r="H1273" i="9" s="1"/>
  <c r="AA145" i="9"/>
  <c r="K254" i="4"/>
  <c r="I1842" i="9"/>
  <c r="I1490" i="9"/>
  <c r="I943" i="9"/>
  <c r="I160" i="9"/>
  <c r="AF374" i="2"/>
  <c r="I1299" i="9" s="1"/>
  <c r="H1933" i="9"/>
  <c r="H1581" i="9"/>
  <c r="H1034" i="9"/>
  <c r="H251" i="9"/>
  <c r="AE477" i="2"/>
  <c r="H1392" i="9" s="1"/>
  <c r="F2091" i="9"/>
  <c r="D1975" i="9"/>
  <c r="D1623" i="9"/>
  <c r="D1076" i="9"/>
  <c r="D293" i="9"/>
  <c r="G14" i="3"/>
  <c r="F14" i="3"/>
  <c r="E14" i="3"/>
  <c r="D14" i="3"/>
  <c r="C14" i="3"/>
  <c r="D762" i="9"/>
  <c r="H185" i="8"/>
  <c r="P184" i="8" s="1"/>
  <c r="H33" i="8"/>
  <c r="P32" i="8" s="1"/>
  <c r="I756" i="9"/>
  <c r="AF156" i="2"/>
  <c r="I759" i="9"/>
  <c r="AF160" i="2"/>
  <c r="I763" i="9"/>
  <c r="AF164" i="2"/>
  <c r="I767" i="9"/>
  <c r="AF168" i="2"/>
  <c r="I771" i="9"/>
  <c r="AF172" i="2"/>
  <c r="I773" i="9"/>
  <c r="AF176" i="2"/>
  <c r="I780" i="9"/>
  <c r="AF184" i="2"/>
  <c r="I787" i="9"/>
  <c r="AF192" i="2"/>
  <c r="I1690" i="9"/>
  <c r="I791" i="9"/>
  <c r="I8" i="9"/>
  <c r="AF196" i="2"/>
  <c r="I1145" i="9" s="1"/>
  <c r="AG133" i="2"/>
  <c r="I1697" i="9"/>
  <c r="I798" i="9"/>
  <c r="I15" i="9"/>
  <c r="AF204" i="2"/>
  <c r="I1152" i="9" s="1"/>
  <c r="AG141" i="2"/>
  <c r="I1699" i="9"/>
  <c r="I800" i="9"/>
  <c r="I17" i="9"/>
  <c r="AF208" i="2"/>
  <c r="I1155" i="9" s="1"/>
  <c r="AG145" i="2"/>
  <c r="I1702" i="9"/>
  <c r="I803" i="9"/>
  <c r="I20" i="9"/>
  <c r="AF212" i="2"/>
  <c r="I1158" i="9" s="1"/>
  <c r="AG149" i="2"/>
  <c r="I1706" i="9"/>
  <c r="I807" i="9"/>
  <c r="I24" i="9"/>
  <c r="AF216" i="2"/>
  <c r="I1162" i="9" s="1"/>
  <c r="AG153" i="2"/>
  <c r="C1709" i="9"/>
  <c r="C810" i="9"/>
  <c r="C27" i="9"/>
  <c r="I1713" i="9"/>
  <c r="I814" i="9"/>
  <c r="I31" i="9"/>
  <c r="AA32" i="9"/>
  <c r="K139" i="4"/>
  <c r="H1717" i="9"/>
  <c r="H818" i="9"/>
  <c r="H35" i="9"/>
  <c r="AE169" i="2"/>
  <c r="H1723" i="9"/>
  <c r="H824" i="9"/>
  <c r="H41" i="9"/>
  <c r="H1727" i="9"/>
  <c r="H828" i="9"/>
  <c r="H45" i="9"/>
  <c r="AA47" i="9"/>
  <c r="K155" i="4"/>
  <c r="AE181" i="2"/>
  <c r="H1732" i="9"/>
  <c r="H833" i="9"/>
  <c r="H50" i="9"/>
  <c r="H1737" i="9"/>
  <c r="H838" i="9"/>
  <c r="H55" i="9"/>
  <c r="AA58" i="9"/>
  <c r="K166" i="4"/>
  <c r="AE193" i="2"/>
  <c r="H1743" i="9"/>
  <c r="H844" i="9"/>
  <c r="H61" i="9"/>
  <c r="AA64" i="9"/>
  <c r="K172" i="4"/>
  <c r="H1748" i="9"/>
  <c r="H849" i="9"/>
  <c r="H66" i="9"/>
  <c r="H1753" i="9"/>
  <c r="H854" i="9"/>
  <c r="H71" i="9"/>
  <c r="H1758" i="9"/>
  <c r="H859" i="9"/>
  <c r="H76" i="9"/>
  <c r="H1763" i="9"/>
  <c r="H864" i="9"/>
  <c r="H81" i="9"/>
  <c r="AA83" i="9"/>
  <c r="K191" i="4"/>
  <c r="AE223" i="2"/>
  <c r="H1167" i="9" s="1"/>
  <c r="H1768" i="9"/>
  <c r="H869" i="9"/>
  <c r="H86" i="9"/>
  <c r="AE229" i="2"/>
  <c r="H1173" i="9" s="1"/>
  <c r="H1774" i="9"/>
  <c r="H875" i="9"/>
  <c r="H92" i="9"/>
  <c r="AE295" i="2"/>
  <c r="H1231" i="9" s="1"/>
  <c r="AA95" i="9"/>
  <c r="K203" i="4"/>
  <c r="AE235" i="2"/>
  <c r="H1179" i="9" s="1"/>
  <c r="AA99" i="9"/>
  <c r="K207" i="4"/>
  <c r="AE241" i="2"/>
  <c r="H1183" i="9" s="1"/>
  <c r="H1783" i="9"/>
  <c r="H884" i="9"/>
  <c r="H101" i="9"/>
  <c r="AE307" i="2"/>
  <c r="H1240" i="9" s="1"/>
  <c r="AE247" i="2"/>
  <c r="H1188" i="9" s="1"/>
  <c r="H1789" i="9"/>
  <c r="H890" i="9"/>
  <c r="H107" i="9"/>
  <c r="AA109" i="9"/>
  <c r="K218" i="4"/>
  <c r="AE253" i="2"/>
  <c r="H1193" i="9" s="1"/>
  <c r="H1794" i="9"/>
  <c r="H895" i="9"/>
  <c r="H112" i="9"/>
  <c r="AE319" i="2"/>
  <c r="H1251" i="9" s="1"/>
  <c r="AA115" i="9"/>
  <c r="K224" i="4"/>
  <c r="AE259" i="2"/>
  <c r="H1199" i="9" s="1"/>
  <c r="H1800" i="9"/>
  <c r="H1448" i="9"/>
  <c r="H901" i="9"/>
  <c r="H118" i="9"/>
  <c r="AE265" i="2"/>
  <c r="H1204" i="9" s="1"/>
  <c r="AA125" i="9"/>
  <c r="K234" i="4"/>
  <c r="AE271" i="2"/>
  <c r="H1209" i="9" s="1"/>
  <c r="H1809" i="9"/>
  <c r="H1457" i="9"/>
  <c r="H910" i="9"/>
  <c r="H127" i="9"/>
  <c r="I1812" i="9"/>
  <c r="I1460" i="9"/>
  <c r="I913" i="9"/>
  <c r="I130" i="9"/>
  <c r="AF340" i="2"/>
  <c r="I1269" i="9" s="1"/>
  <c r="H1817" i="9"/>
  <c r="H1465" i="9"/>
  <c r="H918" i="9"/>
  <c r="H135" i="9"/>
  <c r="I1819" i="9"/>
  <c r="I1467" i="9"/>
  <c r="I920" i="9"/>
  <c r="I137" i="9"/>
  <c r="AF348" i="2"/>
  <c r="I1276" i="9" s="1"/>
  <c r="H1824" i="9"/>
  <c r="H1472" i="9"/>
  <c r="H925" i="9"/>
  <c r="H142" i="9"/>
  <c r="C1826" i="9"/>
  <c r="C1474" i="9"/>
  <c r="C1228" i="9"/>
  <c r="C927" i="9"/>
  <c r="C144" i="9"/>
  <c r="C1827" i="9"/>
  <c r="C1475" i="9"/>
  <c r="C1229" i="9"/>
  <c r="C928" i="9"/>
  <c r="C145" i="9"/>
  <c r="AA146" i="9"/>
  <c r="K255" i="4"/>
  <c r="AG294" i="2"/>
  <c r="J1230" i="9" s="1"/>
  <c r="AF295" i="2"/>
  <c r="I1231" i="9" s="1"/>
  <c r="I1834" i="9"/>
  <c r="I1482" i="9"/>
  <c r="I935" i="9"/>
  <c r="I152" i="9"/>
  <c r="H1835" i="9"/>
  <c r="H1483" i="9"/>
  <c r="H936" i="9"/>
  <c r="H153" i="9"/>
  <c r="AE366" i="2"/>
  <c r="H1292" i="9" s="1"/>
  <c r="J1842" i="9"/>
  <c r="J1490" i="9"/>
  <c r="J943" i="9"/>
  <c r="J160" i="9"/>
  <c r="AG374" i="2"/>
  <c r="J1299" i="9" s="1"/>
  <c r="D1843" i="9"/>
  <c r="D1491" i="9"/>
  <c r="D944" i="9"/>
  <c r="D161" i="9"/>
  <c r="H130" i="8"/>
  <c r="P130" i="8" s="1"/>
  <c r="H1845" i="9"/>
  <c r="H1493" i="9"/>
  <c r="H946" i="9"/>
  <c r="H163" i="9"/>
  <c r="AE378" i="2"/>
  <c r="H1302" i="9" s="1"/>
  <c r="J1853" i="9"/>
  <c r="J1501" i="9"/>
  <c r="J954" i="9"/>
  <c r="J171" i="9"/>
  <c r="AG386" i="2"/>
  <c r="J1310" i="9" s="1"/>
  <c r="D1854" i="9"/>
  <c r="D1502" i="9"/>
  <c r="D955" i="9"/>
  <c r="D172" i="9"/>
  <c r="H1856" i="9"/>
  <c r="H1504" i="9"/>
  <c r="H957" i="9"/>
  <c r="H174" i="9"/>
  <c r="AE390" i="2"/>
  <c r="H1314" i="9" s="1"/>
  <c r="D1863" i="9"/>
  <c r="D1511" i="9"/>
  <c r="D964" i="9"/>
  <c r="D181" i="9"/>
  <c r="I1865" i="9"/>
  <c r="I1513" i="9"/>
  <c r="I966" i="9"/>
  <c r="I183" i="9"/>
  <c r="H1866" i="9"/>
  <c r="H1514" i="9"/>
  <c r="H967" i="9"/>
  <c r="H184" i="9"/>
  <c r="AE402" i="2"/>
  <c r="H1324" i="9" s="1"/>
  <c r="D1876" i="9"/>
  <c r="D1524" i="9"/>
  <c r="D977" i="9"/>
  <c r="D194" i="9"/>
  <c r="Z413" i="2"/>
  <c r="D1334" i="9" s="1"/>
  <c r="C1878" i="9"/>
  <c r="C1526" i="9"/>
  <c r="C1280" i="9"/>
  <c r="C979" i="9"/>
  <c r="C196" i="9"/>
  <c r="H1881" i="9"/>
  <c r="H1529" i="9"/>
  <c r="H982" i="9"/>
  <c r="H199" i="9"/>
  <c r="AE418" i="2"/>
  <c r="H1339" i="9" s="1"/>
  <c r="Z369" i="2"/>
  <c r="H1893" i="9"/>
  <c r="H1541" i="9"/>
  <c r="H994" i="9"/>
  <c r="H211" i="9"/>
  <c r="AE433" i="2"/>
  <c r="H1352" i="9" s="1"/>
  <c r="J1894" i="9"/>
  <c r="J1542" i="9"/>
  <c r="J995" i="9"/>
  <c r="J212" i="9"/>
  <c r="AG434" i="2"/>
  <c r="J1353" i="9" s="1"/>
  <c r="D1895" i="9"/>
  <c r="D1543" i="9"/>
  <c r="D996" i="9"/>
  <c r="D213" i="9"/>
  <c r="D1897" i="9"/>
  <c r="D1545" i="9"/>
  <c r="D998" i="9"/>
  <c r="D215" i="9"/>
  <c r="Z437" i="2"/>
  <c r="D1356" i="9" s="1"/>
  <c r="J1898" i="9"/>
  <c r="J1546" i="9"/>
  <c r="J999" i="9"/>
  <c r="J216" i="9"/>
  <c r="AG438" i="2"/>
  <c r="J1357" i="9" s="1"/>
  <c r="D1899" i="9"/>
  <c r="D1547" i="9"/>
  <c r="D1000" i="9"/>
  <c r="D217" i="9"/>
  <c r="D1900" i="9"/>
  <c r="D1548" i="9"/>
  <c r="D1001" i="9"/>
  <c r="D218" i="9"/>
  <c r="Z441" i="2"/>
  <c r="D1359" i="9" s="1"/>
  <c r="J1901" i="9"/>
  <c r="J1549" i="9"/>
  <c r="J1002" i="9"/>
  <c r="J219" i="9"/>
  <c r="AG442" i="2"/>
  <c r="J1360" i="9" s="1"/>
  <c r="D1902" i="9"/>
  <c r="D1550" i="9"/>
  <c r="D1003" i="9"/>
  <c r="D220" i="9"/>
  <c r="D1904" i="9"/>
  <c r="D1552" i="9"/>
  <c r="D1005" i="9"/>
  <c r="D222" i="9"/>
  <c r="Z445" i="2"/>
  <c r="D1363" i="9" s="1"/>
  <c r="J1905" i="9"/>
  <c r="J1553" i="9"/>
  <c r="J1006" i="9"/>
  <c r="J223" i="9"/>
  <c r="AG446" i="2"/>
  <c r="J1364" i="9" s="1"/>
  <c r="D1906" i="9"/>
  <c r="D1554" i="9"/>
  <c r="D1007" i="9"/>
  <c r="D224" i="9"/>
  <c r="D1908" i="9"/>
  <c r="D1556" i="9"/>
  <c r="D1009" i="9"/>
  <c r="D226" i="9"/>
  <c r="Z449" i="2"/>
  <c r="D1367" i="9" s="1"/>
  <c r="J1909" i="9"/>
  <c r="J1557" i="9"/>
  <c r="J1010" i="9"/>
  <c r="J227" i="9"/>
  <c r="AG450" i="2"/>
  <c r="J1368" i="9" s="1"/>
  <c r="D1910" i="9"/>
  <c r="D1558" i="9"/>
  <c r="D1011" i="9"/>
  <c r="D228" i="9"/>
  <c r="J1913" i="9"/>
  <c r="J1561" i="9"/>
  <c r="J1014" i="9"/>
  <c r="J231" i="9"/>
  <c r="AG454" i="2"/>
  <c r="J1372" i="9" s="1"/>
  <c r="D1914" i="9"/>
  <c r="D1562" i="9"/>
  <c r="D1015" i="9"/>
  <c r="D232" i="9"/>
  <c r="Z399" i="2"/>
  <c r="D1321" i="9" s="1"/>
  <c r="H1922" i="9"/>
  <c r="H1570" i="9"/>
  <c r="H1023" i="9"/>
  <c r="H240" i="9"/>
  <c r="AE465" i="2"/>
  <c r="H1381" i="9" s="1"/>
  <c r="H1949" i="9"/>
  <c r="H1597" i="9"/>
  <c r="H1050" i="9"/>
  <c r="H267" i="9"/>
  <c r="AE494" i="2"/>
  <c r="H1408" i="9" s="1"/>
  <c r="H1950" i="9"/>
  <c r="H1598" i="9"/>
  <c r="H1051" i="9"/>
  <c r="H268" i="9"/>
  <c r="AE496" i="2"/>
  <c r="H1409" i="9" s="1"/>
  <c r="I1952" i="9"/>
  <c r="I1600" i="9"/>
  <c r="I1053" i="9"/>
  <c r="I270" i="9"/>
  <c r="AF498" i="2"/>
  <c r="I1411" i="9" s="1"/>
  <c r="F2080" i="9"/>
  <c r="D1964" i="9"/>
  <c r="D1612" i="9"/>
  <c r="D1065" i="9"/>
  <c r="D282" i="9"/>
  <c r="Z451" i="2"/>
  <c r="D1369" i="9" s="1"/>
  <c r="F2109" i="9"/>
  <c r="D1993" i="9"/>
  <c r="D1641" i="9"/>
  <c r="D1094" i="9"/>
  <c r="D311" i="9"/>
  <c r="H2008" i="9"/>
  <c r="H1656" i="9"/>
  <c r="H1109" i="9"/>
  <c r="H326" i="9"/>
  <c r="F2131" i="9"/>
  <c r="D2014" i="9"/>
  <c r="D1662" i="9"/>
  <c r="D1115" i="9"/>
  <c r="D332" i="9"/>
  <c r="B468" i="4"/>
  <c r="H1692" i="9"/>
  <c r="H793" i="9"/>
  <c r="H10" i="9"/>
  <c r="H1707" i="9"/>
  <c r="H808" i="9"/>
  <c r="H25" i="9"/>
  <c r="I1712" i="9"/>
  <c r="I813" i="9"/>
  <c r="I30" i="9"/>
  <c r="AF224" i="2"/>
  <c r="I1168" i="9" s="1"/>
  <c r="I1717" i="9"/>
  <c r="I818" i="9"/>
  <c r="I35" i="9"/>
  <c r="AF179" i="2"/>
  <c r="I1732" i="9"/>
  <c r="I833" i="9"/>
  <c r="I50" i="9"/>
  <c r="I1743" i="9"/>
  <c r="I844" i="9"/>
  <c r="I61" i="9"/>
  <c r="H1747" i="9"/>
  <c r="H848" i="9"/>
  <c r="H65" i="9"/>
  <c r="H1752" i="9"/>
  <c r="H853" i="9"/>
  <c r="H70" i="9"/>
  <c r="J1756" i="9"/>
  <c r="J857" i="9"/>
  <c r="J74" i="9"/>
  <c r="I1794" i="9"/>
  <c r="I895" i="9"/>
  <c r="I112" i="9"/>
  <c r="AE276" i="2"/>
  <c r="H1213" i="9" s="1"/>
  <c r="H1818" i="9"/>
  <c r="H1466" i="9"/>
  <c r="H919" i="9"/>
  <c r="H136" i="9"/>
  <c r="AE346" i="2"/>
  <c r="H1275" i="9" s="1"/>
  <c r="H1825" i="9"/>
  <c r="H1473" i="9"/>
  <c r="H926" i="9"/>
  <c r="H143" i="9"/>
  <c r="AE354" i="2"/>
  <c r="H1282" i="9" s="1"/>
  <c r="H1839" i="9"/>
  <c r="H1487" i="9"/>
  <c r="H940" i="9"/>
  <c r="H157" i="9"/>
  <c r="AE371" i="2"/>
  <c r="H1296" i="9" s="1"/>
  <c r="H1860" i="9"/>
  <c r="H1508" i="9"/>
  <c r="H961" i="9"/>
  <c r="H178" i="9"/>
  <c r="AE395" i="2"/>
  <c r="H1318" i="9" s="1"/>
  <c r="H1877" i="9"/>
  <c r="H1525" i="9"/>
  <c r="H978" i="9"/>
  <c r="H195" i="9"/>
  <c r="AE414" i="2"/>
  <c r="H1335" i="9" s="1"/>
  <c r="I1894" i="9"/>
  <c r="I1542" i="9"/>
  <c r="I995" i="9"/>
  <c r="I212" i="9"/>
  <c r="AF434" i="2"/>
  <c r="I1353" i="9" s="1"/>
  <c r="I1913" i="9"/>
  <c r="I1561" i="9"/>
  <c r="I1014" i="9"/>
  <c r="I231" i="9"/>
  <c r="AF454" i="2"/>
  <c r="I1372" i="9" s="1"/>
  <c r="AF433" i="2"/>
  <c r="I1352" i="9" s="1"/>
  <c r="D736" i="9"/>
  <c r="H6" i="8"/>
  <c r="P6" i="8" s="1"/>
  <c r="H158" i="8"/>
  <c r="P158" i="8" s="1"/>
  <c r="D748" i="9"/>
  <c r="H171" i="8"/>
  <c r="P170" i="8" s="1"/>
  <c r="H19" i="8"/>
  <c r="P18" i="8" s="1"/>
  <c r="J1689" i="9"/>
  <c r="J790" i="9"/>
  <c r="J7" i="9"/>
  <c r="C1690" i="9"/>
  <c r="C791" i="9"/>
  <c r="C8" i="9"/>
  <c r="AA9" i="9"/>
  <c r="K116" i="4"/>
  <c r="AE134" i="2"/>
  <c r="J1693" i="9"/>
  <c r="J794" i="9"/>
  <c r="J11" i="9"/>
  <c r="AA12" i="9"/>
  <c r="K119" i="4"/>
  <c r="AE138" i="2"/>
  <c r="J1696" i="9"/>
  <c r="J797" i="9"/>
  <c r="J14" i="9"/>
  <c r="C1697" i="9"/>
  <c r="C798" i="9"/>
  <c r="C15" i="9"/>
  <c r="J1698" i="9"/>
  <c r="J799" i="9"/>
  <c r="J16" i="9"/>
  <c r="C1699" i="9"/>
  <c r="C800" i="9"/>
  <c r="C17" i="9"/>
  <c r="J1701" i="9"/>
  <c r="J802" i="9"/>
  <c r="J19" i="9"/>
  <c r="C1702" i="9"/>
  <c r="C803" i="9"/>
  <c r="C20" i="9"/>
  <c r="AA21" i="9"/>
  <c r="K128" i="4"/>
  <c r="AE150" i="2"/>
  <c r="J1705" i="9"/>
  <c r="J806" i="9"/>
  <c r="J23" i="9"/>
  <c r="C1706" i="9"/>
  <c r="C807" i="9"/>
  <c r="C24" i="9"/>
  <c r="J1708" i="9"/>
  <c r="J809" i="9"/>
  <c r="J26" i="9"/>
  <c r="D1709" i="9"/>
  <c r="D810" i="9"/>
  <c r="D27" i="9"/>
  <c r="Z220" i="2"/>
  <c r="D1165" i="9" s="1"/>
  <c r="J1712" i="9"/>
  <c r="J813" i="9"/>
  <c r="J30" i="9"/>
  <c r="C1713" i="9"/>
  <c r="C814" i="9"/>
  <c r="C31" i="9"/>
  <c r="AF163" i="2"/>
  <c r="J1717" i="9"/>
  <c r="J818" i="9"/>
  <c r="J35" i="9"/>
  <c r="I1719" i="9"/>
  <c r="I820" i="9"/>
  <c r="I37" i="9"/>
  <c r="AF169" i="2"/>
  <c r="J1723" i="9"/>
  <c r="J824" i="9"/>
  <c r="J41" i="9"/>
  <c r="J1727" i="9"/>
  <c r="J828" i="9"/>
  <c r="J45" i="9"/>
  <c r="AF181" i="2"/>
  <c r="J1732" i="9"/>
  <c r="J833" i="9"/>
  <c r="J50" i="9"/>
  <c r="I1734" i="9"/>
  <c r="I835" i="9"/>
  <c r="I52" i="9"/>
  <c r="AF187" i="2"/>
  <c r="J1737" i="9"/>
  <c r="J838" i="9"/>
  <c r="J55" i="9"/>
  <c r="I1739" i="9"/>
  <c r="I840" i="9"/>
  <c r="I57" i="9"/>
  <c r="AF193" i="2"/>
  <c r="J1743" i="9"/>
  <c r="J844" i="9"/>
  <c r="J61" i="9"/>
  <c r="I1745" i="9"/>
  <c r="I846" i="9"/>
  <c r="I63" i="9"/>
  <c r="J1748" i="9"/>
  <c r="J849" i="9"/>
  <c r="J66" i="9"/>
  <c r="I1750" i="9"/>
  <c r="I851" i="9"/>
  <c r="I68" i="9"/>
  <c r="J1753" i="9"/>
  <c r="J854" i="9"/>
  <c r="J71" i="9"/>
  <c r="I1754" i="9"/>
  <c r="I855" i="9"/>
  <c r="I72" i="9"/>
  <c r="AF211" i="2"/>
  <c r="I1157" i="9" s="1"/>
  <c r="J1758" i="9"/>
  <c r="J859" i="9"/>
  <c r="J76" i="9"/>
  <c r="I1760" i="9"/>
  <c r="I861" i="9"/>
  <c r="I78" i="9"/>
  <c r="J1763" i="9"/>
  <c r="J864" i="9"/>
  <c r="J81" i="9"/>
  <c r="I1764" i="9"/>
  <c r="I865" i="9"/>
  <c r="I82" i="9"/>
  <c r="J1768" i="9"/>
  <c r="J869" i="9"/>
  <c r="J86" i="9"/>
  <c r="I1770" i="9"/>
  <c r="I871" i="9"/>
  <c r="I88" i="9"/>
  <c r="AF229" i="2"/>
  <c r="I1173" i="9" s="1"/>
  <c r="J1774" i="9"/>
  <c r="J875" i="9"/>
  <c r="J92" i="9"/>
  <c r="I1776" i="9"/>
  <c r="I877" i="9"/>
  <c r="I94" i="9"/>
  <c r="AF235" i="2"/>
  <c r="I1179" i="9" s="1"/>
  <c r="I1780" i="9"/>
  <c r="I881" i="9"/>
  <c r="I98" i="9"/>
  <c r="J1783" i="9"/>
  <c r="J884" i="9"/>
  <c r="J101" i="9"/>
  <c r="I1785" i="9"/>
  <c r="I886" i="9"/>
  <c r="I103" i="9"/>
  <c r="AF247" i="2"/>
  <c r="I1188" i="9" s="1"/>
  <c r="J1789" i="9"/>
  <c r="J890" i="9"/>
  <c r="J107" i="9"/>
  <c r="I1790" i="9"/>
  <c r="I891" i="9"/>
  <c r="I108" i="9"/>
  <c r="J1794" i="9"/>
  <c r="J895" i="9"/>
  <c r="J112" i="9"/>
  <c r="I1796" i="9"/>
  <c r="I1444" i="9"/>
  <c r="I897" i="9"/>
  <c r="I114" i="9"/>
  <c r="AF259" i="2"/>
  <c r="I1199" i="9" s="1"/>
  <c r="J1800" i="9"/>
  <c r="J1448" i="9"/>
  <c r="J901" i="9"/>
  <c r="J118" i="9"/>
  <c r="I1801" i="9"/>
  <c r="I1449" i="9"/>
  <c r="I902" i="9"/>
  <c r="I119" i="9"/>
  <c r="I1806" i="9"/>
  <c r="I1454" i="9"/>
  <c r="I907" i="9"/>
  <c r="I124" i="9"/>
  <c r="J1809" i="9"/>
  <c r="J1457" i="9"/>
  <c r="J910" i="9"/>
  <c r="J127" i="9"/>
  <c r="J1810" i="9"/>
  <c r="J1458" i="9"/>
  <c r="J911" i="9"/>
  <c r="J128" i="9"/>
  <c r="C1811" i="9"/>
  <c r="C1459" i="9"/>
  <c r="C1213" i="9"/>
  <c r="C912" i="9"/>
  <c r="C129" i="9"/>
  <c r="C1812" i="9"/>
  <c r="C1460" i="9"/>
  <c r="C1214" i="9"/>
  <c r="C913" i="9"/>
  <c r="C130" i="9"/>
  <c r="AA131" i="9"/>
  <c r="K240" i="4"/>
  <c r="J1817" i="9"/>
  <c r="J1465" i="9"/>
  <c r="J918" i="9"/>
  <c r="J135" i="9"/>
  <c r="J1818" i="9"/>
  <c r="J1466" i="9"/>
  <c r="J919" i="9"/>
  <c r="J136" i="9"/>
  <c r="C1819" i="9"/>
  <c r="C1467" i="9"/>
  <c r="C1221" i="9"/>
  <c r="C920" i="9"/>
  <c r="C137" i="9"/>
  <c r="AA138" i="9"/>
  <c r="K247" i="4"/>
  <c r="J1824" i="9"/>
  <c r="J1472" i="9"/>
  <c r="J925" i="9"/>
  <c r="J142" i="9"/>
  <c r="J1825" i="9"/>
  <c r="J1473" i="9"/>
  <c r="J926" i="9"/>
  <c r="J143" i="9"/>
  <c r="D1826" i="9"/>
  <c r="D1474" i="9"/>
  <c r="D927" i="9"/>
  <c r="D144" i="9"/>
  <c r="H112" i="8"/>
  <c r="P112" i="8" s="1"/>
  <c r="AG295" i="2"/>
  <c r="J1231" i="9" s="1"/>
  <c r="I1835" i="9"/>
  <c r="I1483" i="9"/>
  <c r="I936" i="9"/>
  <c r="I153" i="9"/>
  <c r="AF366" i="2"/>
  <c r="I1292" i="9" s="1"/>
  <c r="I1837" i="9"/>
  <c r="I1485" i="9"/>
  <c r="I938" i="9"/>
  <c r="I155" i="9"/>
  <c r="AF368" i="2"/>
  <c r="I1294" i="9" s="1"/>
  <c r="AG305" i="2"/>
  <c r="J1239" i="9" s="1"/>
  <c r="H1843" i="9"/>
  <c r="H1491" i="9"/>
  <c r="H944" i="9"/>
  <c r="H161" i="9"/>
  <c r="AE375" i="2"/>
  <c r="H1300" i="9" s="1"/>
  <c r="I1845" i="9"/>
  <c r="I1493" i="9"/>
  <c r="I946" i="9"/>
  <c r="I163" i="9"/>
  <c r="AF378" i="2"/>
  <c r="I1302" i="9" s="1"/>
  <c r="I1847" i="9"/>
  <c r="I1495" i="9"/>
  <c r="I948" i="9"/>
  <c r="I165" i="9"/>
  <c r="AF380" i="2"/>
  <c r="I1304" i="9" s="1"/>
  <c r="AG317" i="2"/>
  <c r="J1249" i="9" s="1"/>
  <c r="AE318" i="2"/>
  <c r="H1250" i="9" s="1"/>
  <c r="H1854" i="9"/>
  <c r="H1502" i="9"/>
  <c r="H955" i="9"/>
  <c r="H172" i="9"/>
  <c r="AE387" i="2"/>
  <c r="H1311" i="9" s="1"/>
  <c r="I1856" i="9"/>
  <c r="I1504" i="9"/>
  <c r="I957" i="9"/>
  <c r="I174" i="9"/>
  <c r="AF390" i="2"/>
  <c r="I1314" i="9" s="1"/>
  <c r="I1858" i="9"/>
  <c r="I1506" i="9"/>
  <c r="I959" i="9"/>
  <c r="I176" i="9"/>
  <c r="AF392" i="2"/>
  <c r="I1316" i="9" s="1"/>
  <c r="AE330" i="2"/>
  <c r="H1261" i="9" s="1"/>
  <c r="H1863" i="9"/>
  <c r="H1511" i="9"/>
  <c r="H964" i="9"/>
  <c r="H181" i="9"/>
  <c r="AE399" i="2"/>
  <c r="H1321" i="9" s="1"/>
  <c r="I1866" i="9"/>
  <c r="I1514" i="9"/>
  <c r="I967" i="9"/>
  <c r="I184" i="9"/>
  <c r="AF402" i="2"/>
  <c r="I1324" i="9" s="1"/>
  <c r="I1868" i="9"/>
  <c r="I1516" i="9"/>
  <c r="I969" i="9"/>
  <c r="I186" i="9"/>
  <c r="AF404" i="2"/>
  <c r="I1326" i="9" s="1"/>
  <c r="H1876" i="9"/>
  <c r="H1524" i="9"/>
  <c r="H977" i="9"/>
  <c r="H194" i="9"/>
  <c r="AE413" i="2"/>
  <c r="H1334" i="9" s="1"/>
  <c r="J1877" i="9"/>
  <c r="J1525" i="9"/>
  <c r="J978" i="9"/>
  <c r="J195" i="9"/>
  <c r="AG414" i="2"/>
  <c r="J1335" i="9" s="1"/>
  <c r="D1878" i="9"/>
  <c r="D1526" i="9"/>
  <c r="D979" i="9"/>
  <c r="D196" i="9"/>
  <c r="I1880" i="9"/>
  <c r="I1528" i="9"/>
  <c r="I981" i="9"/>
  <c r="I198" i="9"/>
  <c r="I1881" i="9"/>
  <c r="I1529" i="9"/>
  <c r="I982" i="9"/>
  <c r="I199" i="9"/>
  <c r="AF418" i="2"/>
  <c r="I1339" i="9" s="1"/>
  <c r="AA205" i="9"/>
  <c r="K315" i="4"/>
  <c r="AE361" i="2"/>
  <c r="H1289" i="9" s="1"/>
  <c r="Z373" i="2"/>
  <c r="D1298" i="9" s="1"/>
  <c r="H1897" i="9"/>
  <c r="H1545" i="9"/>
  <c r="H998" i="9"/>
  <c r="H215" i="9"/>
  <c r="AE437" i="2"/>
  <c r="H1356" i="9" s="1"/>
  <c r="Z375" i="2"/>
  <c r="D1300" i="9" s="1"/>
  <c r="H1900" i="9"/>
  <c r="H1548" i="9"/>
  <c r="H1001" i="9"/>
  <c r="H218" i="9"/>
  <c r="AE441" i="2"/>
  <c r="H1359" i="9" s="1"/>
  <c r="H1904" i="9"/>
  <c r="H1552" i="9"/>
  <c r="H1005" i="9"/>
  <c r="H222" i="9"/>
  <c r="AE445" i="2"/>
  <c r="H1363" i="9" s="1"/>
  <c r="Z385" i="2"/>
  <c r="D1309" i="9" s="1"/>
  <c r="H1908" i="9"/>
  <c r="H1556" i="9"/>
  <c r="H1009" i="9"/>
  <c r="H226" i="9"/>
  <c r="AE449" i="2"/>
  <c r="H1367" i="9" s="1"/>
  <c r="Z387" i="2"/>
  <c r="D1311" i="9" s="1"/>
  <c r="H1912" i="9"/>
  <c r="H1560" i="9"/>
  <c r="H1013" i="9"/>
  <c r="H230" i="9"/>
  <c r="AE453" i="2"/>
  <c r="H1371" i="9" s="1"/>
  <c r="AF417" i="2"/>
  <c r="I1338" i="9" s="1"/>
  <c r="H1947" i="9"/>
  <c r="H1595" i="9"/>
  <c r="H1048" i="9"/>
  <c r="H265" i="9"/>
  <c r="AE492" i="2"/>
  <c r="H1406" i="9" s="1"/>
  <c r="I1949" i="9"/>
  <c r="I1597" i="9"/>
  <c r="I1050" i="9"/>
  <c r="I267" i="9"/>
  <c r="AF494" i="2"/>
  <c r="I1408" i="9" s="1"/>
  <c r="D1960" i="9"/>
  <c r="D1608" i="9"/>
  <c r="D1061" i="9"/>
  <c r="D278" i="9"/>
  <c r="Z447" i="2"/>
  <c r="D1365" i="9" s="1"/>
  <c r="H1985" i="9"/>
  <c r="H1633" i="9"/>
  <c r="H1086" i="9"/>
  <c r="H303" i="9"/>
  <c r="K113" i="4"/>
  <c r="K121" i="4"/>
  <c r="K129" i="4"/>
  <c r="K137" i="4"/>
  <c r="K145" i="4"/>
  <c r="K153" i="4"/>
  <c r="K161" i="4"/>
  <c r="K169" i="4"/>
  <c r="K177" i="4"/>
  <c r="K185" i="4"/>
  <c r="K193" i="4"/>
  <c r="K201" i="4"/>
  <c r="K217" i="4"/>
  <c r="K225" i="4"/>
  <c r="K233" i="4"/>
  <c r="K241" i="4"/>
  <c r="K249" i="4"/>
  <c r="K257" i="4"/>
  <c r="K289" i="4"/>
  <c r="N33" i="5"/>
  <c r="H33" i="5"/>
  <c r="I33" i="5" s="1"/>
  <c r="H11" i="5"/>
  <c r="I11" i="5" s="1"/>
  <c r="H1695" i="9"/>
  <c r="H796" i="9"/>
  <c r="H13" i="9"/>
  <c r="H1700" i="9"/>
  <c r="H801" i="9"/>
  <c r="H18" i="9"/>
  <c r="I1705" i="9"/>
  <c r="I806" i="9"/>
  <c r="I23" i="9"/>
  <c r="I1727" i="9"/>
  <c r="I828" i="9"/>
  <c r="I45" i="9"/>
  <c r="I1753" i="9"/>
  <c r="I854" i="9"/>
  <c r="I71" i="9"/>
  <c r="H1773" i="9"/>
  <c r="H874" i="9"/>
  <c r="H91" i="9"/>
  <c r="I1783" i="9"/>
  <c r="I884" i="9"/>
  <c r="I101" i="9"/>
  <c r="J1803" i="9"/>
  <c r="J1451" i="9"/>
  <c r="J904" i="9"/>
  <c r="J121" i="9"/>
  <c r="AG275" i="2"/>
  <c r="J1212" i="9" s="1"/>
  <c r="I1817" i="9"/>
  <c r="I1465" i="9"/>
  <c r="I918" i="9"/>
  <c r="I135" i="9"/>
  <c r="C1833" i="9"/>
  <c r="C1481" i="9"/>
  <c r="C1235" i="9"/>
  <c r="C934" i="9"/>
  <c r="C151" i="9"/>
  <c r="I1864" i="9"/>
  <c r="I1512" i="9"/>
  <c r="I965" i="9"/>
  <c r="I182" i="9"/>
  <c r="AF400" i="2"/>
  <c r="I1322" i="9" s="1"/>
  <c r="I1901" i="9"/>
  <c r="I1549" i="9"/>
  <c r="I1002" i="9"/>
  <c r="I219" i="9"/>
  <c r="AF442" i="2"/>
  <c r="I1360" i="9" s="1"/>
  <c r="H1959" i="9"/>
  <c r="H1607" i="9"/>
  <c r="H1060" i="9"/>
  <c r="H277" i="9"/>
  <c r="AE506" i="2"/>
  <c r="H1418" i="9" s="1"/>
  <c r="D740" i="9"/>
  <c r="H10" i="8"/>
  <c r="P10" i="8" s="1"/>
  <c r="H162" i="8"/>
  <c r="P162" i="8" s="1"/>
  <c r="G15" i="3"/>
  <c r="F15" i="3"/>
  <c r="E15" i="3"/>
  <c r="D15" i="3"/>
  <c r="C15" i="3"/>
  <c r="D737" i="9"/>
  <c r="H159" i="8"/>
  <c r="P159" i="8" s="1"/>
  <c r="H7" i="8"/>
  <c r="P7" i="8" s="1"/>
  <c r="D741" i="9"/>
  <c r="H163" i="8"/>
  <c r="P163" i="8" s="1"/>
  <c r="H11" i="8"/>
  <c r="P11" i="8" s="1"/>
  <c r="D744" i="9"/>
  <c r="H14" i="8"/>
  <c r="P14" i="8" s="1"/>
  <c r="H166" i="8"/>
  <c r="P166" i="8" s="1"/>
  <c r="D746" i="9"/>
  <c r="H169" i="8"/>
  <c r="P168" i="8" s="1"/>
  <c r="H17" i="8"/>
  <c r="P16" i="8" s="1"/>
  <c r="D749" i="9"/>
  <c r="H172" i="8"/>
  <c r="P171" i="8" s="1"/>
  <c r="H20" i="8"/>
  <c r="P19" i="8" s="1"/>
  <c r="D753" i="9"/>
  <c r="H176" i="8"/>
  <c r="P175" i="8" s="1"/>
  <c r="H24" i="8"/>
  <c r="P23" i="8" s="1"/>
  <c r="D756" i="9"/>
  <c r="H179" i="8"/>
  <c r="P178" i="8" s="1"/>
  <c r="H27" i="8"/>
  <c r="P26" i="8" s="1"/>
  <c r="D759" i="9"/>
  <c r="H30" i="8"/>
  <c r="P29" i="8" s="1"/>
  <c r="H182" i="8"/>
  <c r="P181" i="8" s="1"/>
  <c r="D763" i="9"/>
  <c r="H186" i="8"/>
  <c r="P185" i="8" s="1"/>
  <c r="H34" i="8"/>
  <c r="P33" i="8" s="1"/>
  <c r="Z164" i="2"/>
  <c r="D767" i="9"/>
  <c r="H38" i="8"/>
  <c r="P37" i="8" s="1"/>
  <c r="H190" i="8"/>
  <c r="P189" i="8" s="1"/>
  <c r="Z168" i="2"/>
  <c r="D771" i="9"/>
  <c r="H42" i="8"/>
  <c r="P41" i="8" s="1"/>
  <c r="H194" i="8"/>
  <c r="P193" i="8" s="1"/>
  <c r="Z172" i="2"/>
  <c r="D773" i="9"/>
  <c r="H196" i="8"/>
  <c r="P195" i="8" s="1"/>
  <c r="H44" i="8"/>
  <c r="P43" i="8" s="1"/>
  <c r="Z176" i="2"/>
  <c r="H200" i="8"/>
  <c r="P199" i="8" s="1"/>
  <c r="H48" i="8"/>
  <c r="P47" i="8" s="1"/>
  <c r="Z180" i="2"/>
  <c r="D780" i="9"/>
  <c r="H204" i="8"/>
  <c r="P203" i="8" s="1"/>
  <c r="H52" i="8"/>
  <c r="P51" i="8" s="1"/>
  <c r="Z184" i="2"/>
  <c r="D787" i="9"/>
  <c r="H210" i="8"/>
  <c r="P209" i="8" s="1"/>
  <c r="H58" i="8"/>
  <c r="P57" i="8" s="1"/>
  <c r="Z192" i="2"/>
  <c r="Z132" i="2"/>
  <c r="D1690" i="9"/>
  <c r="D791" i="9"/>
  <c r="D8" i="9"/>
  <c r="Z196" i="2"/>
  <c r="D1145" i="9" s="1"/>
  <c r="AF134" i="2"/>
  <c r="Z136" i="2"/>
  <c r="AF138" i="2"/>
  <c r="Z140" i="2"/>
  <c r="D1697" i="9"/>
  <c r="D798" i="9"/>
  <c r="D15" i="9"/>
  <c r="Z204" i="2"/>
  <c r="D1152" i="9" s="1"/>
  <c r="Z144" i="2"/>
  <c r="D1699" i="9"/>
  <c r="D800" i="9"/>
  <c r="D17" i="9"/>
  <c r="Z208" i="2"/>
  <c r="D1155" i="9" s="1"/>
  <c r="Z148" i="2"/>
  <c r="D1702" i="9"/>
  <c r="D803" i="9"/>
  <c r="D20" i="9"/>
  <c r="Z212" i="2"/>
  <c r="D1158" i="9" s="1"/>
  <c r="AF150" i="2"/>
  <c r="Z152" i="2"/>
  <c r="D1706" i="9"/>
  <c r="D807" i="9"/>
  <c r="D24" i="9"/>
  <c r="Z216" i="2"/>
  <c r="D1162" i="9" s="1"/>
  <c r="Z156" i="2"/>
  <c r="H1709" i="9"/>
  <c r="H810" i="9"/>
  <c r="H27" i="9"/>
  <c r="AA28" i="9"/>
  <c r="K135" i="4"/>
  <c r="D1713" i="9"/>
  <c r="D814" i="9"/>
  <c r="D31" i="9"/>
  <c r="I1714" i="9"/>
  <c r="I815" i="9"/>
  <c r="I32" i="9"/>
  <c r="AF226" i="2"/>
  <c r="I1170" i="9" s="1"/>
  <c r="AG163" i="2"/>
  <c r="AE164" i="2"/>
  <c r="J1718" i="9"/>
  <c r="J819" i="9"/>
  <c r="J36" i="9"/>
  <c r="C1719" i="9"/>
  <c r="C820" i="9"/>
  <c r="C37" i="9"/>
  <c r="I1720" i="9"/>
  <c r="I821" i="9"/>
  <c r="I38" i="9"/>
  <c r="AF232" i="2"/>
  <c r="I1176" i="9" s="1"/>
  <c r="AG169" i="2"/>
  <c r="AE170" i="2"/>
  <c r="J1724" i="9"/>
  <c r="J825" i="9"/>
  <c r="J42" i="9"/>
  <c r="AE176" i="2"/>
  <c r="J1728" i="9"/>
  <c r="J829" i="9"/>
  <c r="J46" i="9"/>
  <c r="I1729" i="9"/>
  <c r="I830" i="9"/>
  <c r="I47" i="9"/>
  <c r="AF244" i="2"/>
  <c r="I1185" i="9" s="1"/>
  <c r="AG181" i="2"/>
  <c r="AE182" i="2"/>
  <c r="J1733" i="9"/>
  <c r="J834" i="9"/>
  <c r="J51" i="9"/>
  <c r="C1734" i="9"/>
  <c r="C835" i="9"/>
  <c r="C52" i="9"/>
  <c r="I1735" i="9"/>
  <c r="I836" i="9"/>
  <c r="I53" i="9"/>
  <c r="AF250" i="2"/>
  <c r="I1191" i="9" s="1"/>
  <c r="J1738" i="9"/>
  <c r="J839" i="9"/>
  <c r="J56" i="9"/>
  <c r="C1739" i="9"/>
  <c r="C840" i="9"/>
  <c r="C57" i="9"/>
  <c r="I1740" i="9"/>
  <c r="I841" i="9"/>
  <c r="I58" i="9"/>
  <c r="AF256" i="2"/>
  <c r="I1196" i="9" s="1"/>
  <c r="AG193" i="2"/>
  <c r="J1744" i="9"/>
  <c r="J845" i="9"/>
  <c r="J62" i="9"/>
  <c r="C1745" i="9"/>
  <c r="C846" i="9"/>
  <c r="C1147" i="9"/>
  <c r="C63" i="9"/>
  <c r="I1746" i="9"/>
  <c r="I847" i="9"/>
  <c r="I64" i="9"/>
  <c r="AF262" i="2"/>
  <c r="I1202" i="9" s="1"/>
  <c r="J1749" i="9"/>
  <c r="J850" i="9"/>
  <c r="J67" i="9"/>
  <c r="C1750" i="9"/>
  <c r="C1152" i="9"/>
  <c r="C851" i="9"/>
  <c r="C68" i="9"/>
  <c r="C1754" i="9"/>
  <c r="C1156" i="9"/>
  <c r="C855" i="9"/>
  <c r="C72" i="9"/>
  <c r="I1755" i="9"/>
  <c r="I856" i="9"/>
  <c r="I73" i="9"/>
  <c r="AF274" i="2"/>
  <c r="I1211" i="9" s="1"/>
  <c r="J1759" i="9"/>
  <c r="J860" i="9"/>
  <c r="J77" i="9"/>
  <c r="C1760" i="9"/>
  <c r="C1162" i="9"/>
  <c r="C861" i="9"/>
  <c r="C78" i="9"/>
  <c r="AE218" i="2"/>
  <c r="H1163" i="9" s="1"/>
  <c r="C1764" i="9"/>
  <c r="C1166" i="9"/>
  <c r="C865" i="9"/>
  <c r="C82" i="9"/>
  <c r="I1765" i="9"/>
  <c r="I866" i="9"/>
  <c r="I83" i="9"/>
  <c r="AF286" i="2"/>
  <c r="I1222" i="9" s="1"/>
  <c r="AG223" i="2"/>
  <c r="J1167" i="9" s="1"/>
  <c r="J1769" i="9"/>
  <c r="J870" i="9"/>
  <c r="J87" i="9"/>
  <c r="C1770" i="9"/>
  <c r="C1172" i="9"/>
  <c r="C871" i="9"/>
  <c r="C88" i="9"/>
  <c r="I1771" i="9"/>
  <c r="I872" i="9"/>
  <c r="I89" i="9"/>
  <c r="AF292" i="2"/>
  <c r="I1228" i="9" s="1"/>
  <c r="J1775" i="9"/>
  <c r="J876" i="9"/>
  <c r="J93" i="9"/>
  <c r="AG296" i="2"/>
  <c r="J1232" i="9" s="1"/>
  <c r="C1776" i="9"/>
  <c r="C1178" i="9"/>
  <c r="C877" i="9"/>
  <c r="C94" i="9"/>
  <c r="I1777" i="9"/>
  <c r="I878" i="9"/>
  <c r="I95" i="9"/>
  <c r="AF298" i="2"/>
  <c r="I1234" i="9" s="1"/>
  <c r="J1779" i="9"/>
  <c r="J880" i="9"/>
  <c r="J97" i="9"/>
  <c r="C1780" i="9"/>
  <c r="C1182" i="9"/>
  <c r="C881" i="9"/>
  <c r="C98" i="9"/>
  <c r="I1781" i="9"/>
  <c r="I882" i="9"/>
  <c r="I99" i="9"/>
  <c r="AF304" i="2"/>
  <c r="I1238" i="9" s="1"/>
  <c r="J1784" i="9"/>
  <c r="J885" i="9"/>
  <c r="J102" i="9"/>
  <c r="AG308" i="2"/>
  <c r="J1241" i="9" s="1"/>
  <c r="C1785" i="9"/>
  <c r="C1187" i="9"/>
  <c r="C886" i="9"/>
  <c r="C103" i="9"/>
  <c r="I1786" i="9"/>
  <c r="I887" i="9"/>
  <c r="I104" i="9"/>
  <c r="AF310" i="2"/>
  <c r="I1243" i="9" s="1"/>
  <c r="C1790" i="9"/>
  <c r="C1192" i="9"/>
  <c r="C891" i="9"/>
  <c r="C108" i="9"/>
  <c r="I1791" i="9"/>
  <c r="I892" i="9"/>
  <c r="I109" i="9"/>
  <c r="AF316" i="2"/>
  <c r="I1248" i="9" s="1"/>
  <c r="J1795" i="9"/>
  <c r="J1443" i="9"/>
  <c r="J896" i="9"/>
  <c r="J113" i="9"/>
  <c r="AG320" i="2"/>
  <c r="J1252" i="9" s="1"/>
  <c r="C1796" i="9"/>
  <c r="C1444" i="9"/>
  <c r="C1198" i="9"/>
  <c r="C897" i="9"/>
  <c r="C114" i="9"/>
  <c r="I1797" i="9"/>
  <c r="I1445" i="9"/>
  <c r="I898" i="9"/>
  <c r="I115" i="9"/>
  <c r="AF322" i="2"/>
  <c r="I1254" i="9" s="1"/>
  <c r="C1801" i="9"/>
  <c r="C1449" i="9"/>
  <c r="C1203" i="9"/>
  <c r="C902" i="9"/>
  <c r="C119" i="9"/>
  <c r="I1802" i="9"/>
  <c r="I1450" i="9"/>
  <c r="I903" i="9"/>
  <c r="I120" i="9"/>
  <c r="AF328" i="2"/>
  <c r="I1259" i="9" s="1"/>
  <c r="J1805" i="9"/>
  <c r="J1453" i="9"/>
  <c r="J906" i="9"/>
  <c r="J123" i="9"/>
  <c r="AG332" i="2"/>
  <c r="J1262" i="9" s="1"/>
  <c r="C1806" i="9"/>
  <c r="C1454" i="9"/>
  <c r="C1208" i="9"/>
  <c r="C907" i="9"/>
  <c r="C124" i="9"/>
  <c r="I1807" i="9"/>
  <c r="I1455" i="9"/>
  <c r="I908" i="9"/>
  <c r="I125" i="9"/>
  <c r="AF334" i="2"/>
  <c r="I1264" i="9" s="1"/>
  <c r="D1811" i="9"/>
  <c r="D1459" i="9"/>
  <c r="D912" i="9"/>
  <c r="D129" i="9"/>
  <c r="H97" i="8"/>
  <c r="P97" i="8" s="1"/>
  <c r="Z283" i="2"/>
  <c r="D1220" i="9" s="1"/>
  <c r="AA139" i="9"/>
  <c r="K248" i="4"/>
  <c r="H1826" i="9"/>
  <c r="H1474" i="9"/>
  <c r="H927" i="9"/>
  <c r="H144" i="9"/>
  <c r="AE355" i="2"/>
  <c r="H1283" i="9" s="1"/>
  <c r="H1827" i="9"/>
  <c r="H1475" i="9"/>
  <c r="H928" i="9"/>
  <c r="H145" i="9"/>
  <c r="AE356" i="2"/>
  <c r="H1284" i="9" s="1"/>
  <c r="I1828" i="9"/>
  <c r="I1476" i="9"/>
  <c r="I929" i="9"/>
  <c r="I146" i="9"/>
  <c r="H1829" i="9"/>
  <c r="H1477" i="9"/>
  <c r="H930" i="9"/>
  <c r="H147" i="9"/>
  <c r="AE358" i="2"/>
  <c r="H1286" i="9" s="1"/>
  <c r="AA149" i="9"/>
  <c r="K258" i="4"/>
  <c r="D1834" i="9"/>
  <c r="D1482" i="9"/>
  <c r="D935" i="9"/>
  <c r="D152" i="9"/>
  <c r="H120" i="8"/>
  <c r="P120" i="8" s="1"/>
  <c r="C1837" i="9"/>
  <c r="C1485" i="9"/>
  <c r="C1239" i="9"/>
  <c r="C938" i="9"/>
  <c r="C155" i="9"/>
  <c r="AF307" i="2"/>
  <c r="I1240" i="9" s="1"/>
  <c r="J1843" i="9"/>
  <c r="J1491" i="9"/>
  <c r="J944" i="9"/>
  <c r="J161" i="9"/>
  <c r="Z313" i="2"/>
  <c r="D1246" i="9" s="1"/>
  <c r="C1847" i="9"/>
  <c r="C1495" i="9"/>
  <c r="C1249" i="9"/>
  <c r="C948" i="9"/>
  <c r="C165" i="9"/>
  <c r="AA166" i="9"/>
  <c r="K276" i="4"/>
  <c r="AF319" i="2"/>
  <c r="I1251" i="9" s="1"/>
  <c r="J1854" i="9"/>
  <c r="J1502" i="9"/>
  <c r="J955" i="9"/>
  <c r="J172" i="9"/>
  <c r="Z325" i="2"/>
  <c r="D1257" i="9" s="1"/>
  <c r="C1858" i="9"/>
  <c r="C1260" i="9"/>
  <c r="C1506" i="9"/>
  <c r="C959" i="9"/>
  <c r="C176" i="9"/>
  <c r="AA177" i="9"/>
  <c r="K287" i="4"/>
  <c r="J1863" i="9"/>
  <c r="J1511" i="9"/>
  <c r="J964" i="9"/>
  <c r="J181" i="9"/>
  <c r="Z337" i="2"/>
  <c r="D1266" i="9" s="1"/>
  <c r="D1865" i="9"/>
  <c r="D1513" i="9"/>
  <c r="D966" i="9"/>
  <c r="D183" i="9"/>
  <c r="Z401" i="2"/>
  <c r="D1323" i="9" s="1"/>
  <c r="AA190" i="9"/>
  <c r="K300" i="4"/>
  <c r="AE345" i="2"/>
  <c r="H1274" i="9" s="1"/>
  <c r="H1878" i="9"/>
  <c r="H1526" i="9"/>
  <c r="H979" i="9"/>
  <c r="H196" i="9"/>
  <c r="AE415" i="2"/>
  <c r="H1336" i="9" s="1"/>
  <c r="H1885" i="9"/>
  <c r="H1533" i="9"/>
  <c r="H986" i="9"/>
  <c r="H203" i="9"/>
  <c r="AE422" i="2"/>
  <c r="H1343" i="9" s="1"/>
  <c r="AG362" i="2"/>
  <c r="J1290" i="9" s="1"/>
  <c r="H1942" i="9"/>
  <c r="H1590" i="9"/>
  <c r="H1043" i="9"/>
  <c r="H260" i="9"/>
  <c r="AE486" i="2"/>
  <c r="H1401" i="9" s="1"/>
  <c r="H1944" i="9"/>
  <c r="H1592" i="9"/>
  <c r="H1045" i="9"/>
  <c r="H262" i="9"/>
  <c r="AE488" i="2"/>
  <c r="H1403" i="9" s="1"/>
  <c r="H1958" i="9"/>
  <c r="H1606" i="9"/>
  <c r="H1059" i="9"/>
  <c r="H276" i="9"/>
  <c r="AE505" i="2"/>
  <c r="H1417" i="9" s="1"/>
  <c r="H1983" i="9"/>
  <c r="H1631" i="9"/>
  <c r="H1084" i="9"/>
  <c r="H301" i="9"/>
  <c r="F2105" i="9"/>
  <c r="D1989" i="9"/>
  <c r="D1637" i="9"/>
  <c r="D1090" i="9"/>
  <c r="D307" i="9"/>
  <c r="H2005" i="9"/>
  <c r="H1653" i="9"/>
  <c r="H1106" i="9"/>
  <c r="H323" i="9"/>
  <c r="F2128" i="9"/>
  <c r="D2011" i="9"/>
  <c r="D1659" i="9"/>
  <c r="D1112" i="9"/>
  <c r="D329" i="9"/>
  <c r="O158" i="8"/>
  <c r="F163" i="8"/>
  <c r="N163" i="8" s="1"/>
  <c r="F175" i="8"/>
  <c r="N174" i="8" s="1"/>
  <c r="F207" i="8"/>
  <c r="N206" i="8" s="1"/>
  <c r="I1737" i="9"/>
  <c r="I838" i="9"/>
  <c r="I55" i="9"/>
  <c r="H1706" i="9"/>
  <c r="H807" i="9"/>
  <c r="H24" i="9"/>
  <c r="J1709" i="9"/>
  <c r="J810" i="9"/>
  <c r="J27" i="9"/>
  <c r="AF159" i="2"/>
  <c r="H1713" i="9"/>
  <c r="H814" i="9"/>
  <c r="H31" i="9"/>
  <c r="D1719" i="9"/>
  <c r="D820" i="9"/>
  <c r="D37" i="9"/>
  <c r="C1720" i="9"/>
  <c r="C821" i="9"/>
  <c r="C38" i="9"/>
  <c r="AA39" i="9"/>
  <c r="K146" i="4"/>
  <c r="AA43" i="9"/>
  <c r="K150" i="4"/>
  <c r="C1729" i="9"/>
  <c r="C830" i="9"/>
  <c r="C47" i="9"/>
  <c r="AA48" i="9"/>
  <c r="K156" i="4"/>
  <c r="D1734" i="9"/>
  <c r="D835" i="9"/>
  <c r="D52" i="9"/>
  <c r="C1735" i="9"/>
  <c r="C836" i="9"/>
  <c r="C53" i="9"/>
  <c r="D1739" i="9"/>
  <c r="D840" i="9"/>
  <c r="D57" i="9"/>
  <c r="C1740" i="9"/>
  <c r="C841" i="9"/>
  <c r="C58" i="9"/>
  <c r="AA59" i="9"/>
  <c r="K167" i="4"/>
  <c r="D1745" i="9"/>
  <c r="D846" i="9"/>
  <c r="D63" i="9"/>
  <c r="C1746" i="9"/>
  <c r="C1148" i="9"/>
  <c r="C847" i="9"/>
  <c r="C64" i="9"/>
  <c r="D1750" i="9"/>
  <c r="D851" i="9"/>
  <c r="D68" i="9"/>
  <c r="D1754" i="9"/>
  <c r="D855" i="9"/>
  <c r="D72" i="9"/>
  <c r="C1755" i="9"/>
  <c r="C1157" i="9"/>
  <c r="C856" i="9"/>
  <c r="C73" i="9"/>
  <c r="AA74" i="9"/>
  <c r="K182" i="4"/>
  <c r="D1760" i="9"/>
  <c r="D861" i="9"/>
  <c r="D78" i="9"/>
  <c r="AA79" i="9"/>
  <c r="K187" i="4"/>
  <c r="D1764" i="9"/>
  <c r="D865" i="9"/>
  <c r="D82" i="9"/>
  <c r="C1765" i="9"/>
  <c r="C1167" i="9"/>
  <c r="C866" i="9"/>
  <c r="C83" i="9"/>
  <c r="AA84" i="9"/>
  <c r="K192" i="4"/>
  <c r="D1770" i="9"/>
  <c r="D871" i="9"/>
  <c r="D88" i="9"/>
  <c r="C1771" i="9"/>
  <c r="C1173" i="9"/>
  <c r="C872" i="9"/>
  <c r="C89" i="9"/>
  <c r="AA90" i="9"/>
  <c r="K198" i="4"/>
  <c r="D1776" i="9"/>
  <c r="D877" i="9"/>
  <c r="D94" i="9"/>
  <c r="C1777" i="9"/>
  <c r="C1179" i="9"/>
  <c r="C878" i="9"/>
  <c r="C95" i="9"/>
  <c r="AA96" i="9"/>
  <c r="K204" i="4"/>
  <c r="D1780" i="9"/>
  <c r="D881" i="9"/>
  <c r="D98" i="9"/>
  <c r="C1781" i="9"/>
  <c r="C1183" i="9"/>
  <c r="C882" i="9"/>
  <c r="C99" i="9"/>
  <c r="AA100" i="9"/>
  <c r="K208" i="4"/>
  <c r="D1785" i="9"/>
  <c r="D886" i="9"/>
  <c r="D103" i="9"/>
  <c r="C1786" i="9"/>
  <c r="C1188" i="9"/>
  <c r="C887" i="9"/>
  <c r="C104" i="9"/>
  <c r="AA105" i="9"/>
  <c r="K214" i="4"/>
  <c r="D1790" i="9"/>
  <c r="D891" i="9"/>
  <c r="D108" i="9"/>
  <c r="C1791" i="9"/>
  <c r="C1193" i="9"/>
  <c r="C892" i="9"/>
  <c r="C109" i="9"/>
  <c r="AA110" i="9"/>
  <c r="K219" i="4"/>
  <c r="D1796" i="9"/>
  <c r="D1444" i="9"/>
  <c r="D897" i="9"/>
  <c r="D114" i="9"/>
  <c r="H82" i="8"/>
  <c r="P82" i="8" s="1"/>
  <c r="C1797" i="9"/>
  <c r="C1445" i="9"/>
  <c r="C1199" i="9"/>
  <c r="C898" i="9"/>
  <c r="C115" i="9"/>
  <c r="D1801" i="9"/>
  <c r="D1449" i="9"/>
  <c r="D902" i="9"/>
  <c r="H87" i="8"/>
  <c r="P87" i="8" s="1"/>
  <c r="D119" i="9"/>
  <c r="C1802" i="9"/>
  <c r="C1450" i="9"/>
  <c r="C1204" i="9"/>
  <c r="C903" i="9"/>
  <c r="C120" i="9"/>
  <c r="AA121" i="9"/>
  <c r="K230" i="4"/>
  <c r="D1806" i="9"/>
  <c r="D1454" i="9"/>
  <c r="D907" i="9"/>
  <c r="D124" i="9"/>
  <c r="H92" i="8"/>
  <c r="P92" i="8" s="1"/>
  <c r="C1807" i="9"/>
  <c r="C1455" i="9"/>
  <c r="C1209" i="9"/>
  <c r="C908" i="9"/>
  <c r="C125" i="9"/>
  <c r="H1811" i="9"/>
  <c r="H1459" i="9"/>
  <c r="H912" i="9"/>
  <c r="H129" i="9"/>
  <c r="AE339" i="2"/>
  <c r="H1268" i="9" s="1"/>
  <c r="H1812" i="9"/>
  <c r="H1460" i="9"/>
  <c r="H913" i="9"/>
  <c r="H130" i="9"/>
  <c r="AE340" i="2"/>
  <c r="H1269" i="9" s="1"/>
  <c r="I1813" i="9"/>
  <c r="I1461" i="9"/>
  <c r="I914" i="9"/>
  <c r="I131" i="9"/>
  <c r="H1814" i="9"/>
  <c r="H1462" i="9"/>
  <c r="H915" i="9"/>
  <c r="H132" i="9"/>
  <c r="AE342" i="2"/>
  <c r="H1271" i="9" s="1"/>
  <c r="H1819" i="9"/>
  <c r="H1467" i="9"/>
  <c r="H920" i="9"/>
  <c r="H137" i="9"/>
  <c r="AE348" i="2"/>
  <c r="H1276" i="9" s="1"/>
  <c r="I1820" i="9"/>
  <c r="I1468" i="9"/>
  <c r="I921" i="9"/>
  <c r="I138" i="9"/>
  <c r="H1821" i="9"/>
  <c r="H1469" i="9"/>
  <c r="H922" i="9"/>
  <c r="H139" i="9"/>
  <c r="AE350" i="2"/>
  <c r="H1278" i="9" s="1"/>
  <c r="AG287" i="2"/>
  <c r="J1223" i="9" s="1"/>
  <c r="AE288" i="2"/>
  <c r="H1224" i="9" s="1"/>
  <c r="J1826" i="9"/>
  <c r="J1474" i="9"/>
  <c r="J927" i="9"/>
  <c r="J144" i="9"/>
  <c r="I1829" i="9"/>
  <c r="I1477" i="9"/>
  <c r="I930" i="9"/>
  <c r="I147" i="9"/>
  <c r="AF358" i="2"/>
  <c r="I1286" i="9" s="1"/>
  <c r="H1834" i="9"/>
  <c r="H1482" i="9"/>
  <c r="H935" i="9"/>
  <c r="H152" i="9"/>
  <c r="C1836" i="9"/>
  <c r="C1484" i="9"/>
  <c r="C1238" i="9"/>
  <c r="C937" i="9"/>
  <c r="C154" i="9"/>
  <c r="AA158" i="9"/>
  <c r="K268" i="4"/>
  <c r="C1846" i="9"/>
  <c r="C1248" i="9"/>
  <c r="C1494" i="9"/>
  <c r="C947" i="9"/>
  <c r="C164" i="9"/>
  <c r="AA169" i="9"/>
  <c r="K279" i="4"/>
  <c r="C1857" i="9"/>
  <c r="C1505" i="9"/>
  <c r="C1259" i="9"/>
  <c r="C958" i="9"/>
  <c r="C175" i="9"/>
  <c r="H1865" i="9"/>
  <c r="H1513" i="9"/>
  <c r="H966" i="9"/>
  <c r="H183" i="9"/>
  <c r="C1867" i="9"/>
  <c r="C1515" i="9"/>
  <c r="C1269" i="9"/>
  <c r="C968" i="9"/>
  <c r="C185" i="9"/>
  <c r="H1870" i="9"/>
  <c r="H1518" i="9"/>
  <c r="H971" i="9"/>
  <c r="H188" i="9"/>
  <c r="AE406" i="2"/>
  <c r="H1328" i="9" s="1"/>
  <c r="AF345" i="2"/>
  <c r="I1274" i="9" s="1"/>
  <c r="Z353" i="2"/>
  <c r="D1281" i="9" s="1"/>
  <c r="D1880" i="9"/>
  <c r="D1528" i="9"/>
  <c r="D981" i="9"/>
  <c r="D198" i="9"/>
  <c r="Z417" i="2"/>
  <c r="D1338" i="9" s="1"/>
  <c r="C1882" i="9"/>
  <c r="C1530" i="9"/>
  <c r="C1284" i="9"/>
  <c r="C983" i="9"/>
  <c r="C200" i="9"/>
  <c r="I1884" i="9"/>
  <c r="I1532" i="9"/>
  <c r="I985" i="9"/>
  <c r="I202" i="9"/>
  <c r="I1885" i="9"/>
  <c r="I1533" i="9"/>
  <c r="I986" i="9"/>
  <c r="I203" i="9"/>
  <c r="AF422" i="2"/>
  <c r="I1343" i="9" s="1"/>
  <c r="AE365" i="2"/>
  <c r="H1291" i="9" s="1"/>
  <c r="H1938" i="9"/>
  <c r="H1586" i="9"/>
  <c r="H1039" i="9"/>
  <c r="H256" i="9"/>
  <c r="AE482" i="2"/>
  <c r="H1397" i="9" s="1"/>
  <c r="H1940" i="9"/>
  <c r="H1588" i="9"/>
  <c r="H1041" i="9"/>
  <c r="H258" i="9"/>
  <c r="AE484" i="2"/>
  <c r="H1399" i="9" s="1"/>
  <c r="I1942" i="9"/>
  <c r="I1590" i="9"/>
  <c r="I1043" i="9"/>
  <c r="I260" i="9"/>
  <c r="AF486" i="2"/>
  <c r="I1401" i="9" s="1"/>
  <c r="D1953" i="9"/>
  <c r="D1601" i="9"/>
  <c r="D1054" i="9"/>
  <c r="D271" i="9"/>
  <c r="H1955" i="9"/>
  <c r="H1603" i="9"/>
  <c r="H1056" i="9"/>
  <c r="H273" i="9"/>
  <c r="AE501" i="2"/>
  <c r="H1414" i="9" s="1"/>
  <c r="H1981" i="9"/>
  <c r="H1629" i="9"/>
  <c r="H1082" i="9"/>
  <c r="H299" i="9"/>
  <c r="H2003" i="9"/>
  <c r="H1651" i="9"/>
  <c r="H1104" i="9"/>
  <c r="H321" i="9"/>
  <c r="H1688" i="9"/>
  <c r="H789" i="9"/>
  <c r="H6" i="9"/>
  <c r="I1693" i="9"/>
  <c r="I794" i="9"/>
  <c r="I11" i="9"/>
  <c r="J1715" i="9"/>
  <c r="J816" i="9"/>
  <c r="J33" i="9"/>
  <c r="J1721" i="9"/>
  <c r="J822" i="9"/>
  <c r="J39" i="9"/>
  <c r="J1725" i="9"/>
  <c r="J826" i="9"/>
  <c r="J43" i="9"/>
  <c r="I1748" i="9"/>
  <c r="I849" i="9"/>
  <c r="I66" i="9"/>
  <c r="AF215" i="2"/>
  <c r="I1161" i="9" s="1"/>
  <c r="I1789" i="9"/>
  <c r="I890" i="9"/>
  <c r="I107" i="9"/>
  <c r="I1809" i="9"/>
  <c r="I1457" i="9"/>
  <c r="I910" i="9"/>
  <c r="I127" i="9"/>
  <c r="H1823" i="9"/>
  <c r="H1471" i="9"/>
  <c r="H924" i="9"/>
  <c r="H141" i="9"/>
  <c r="AE352" i="2"/>
  <c r="H1280" i="9" s="1"/>
  <c r="J1690" i="9"/>
  <c r="J791" i="9"/>
  <c r="J8" i="9"/>
  <c r="C1691" i="9"/>
  <c r="C792" i="9"/>
  <c r="C9" i="9"/>
  <c r="C1694" i="9"/>
  <c r="C795" i="9"/>
  <c r="C12" i="9"/>
  <c r="AA13" i="9"/>
  <c r="K120" i="4"/>
  <c r="J1697" i="9"/>
  <c r="J798" i="9"/>
  <c r="J15" i="9"/>
  <c r="J1699" i="9"/>
  <c r="J800" i="9"/>
  <c r="J17" i="9"/>
  <c r="J1702" i="9"/>
  <c r="J803" i="9"/>
  <c r="J20" i="9"/>
  <c r="C1703" i="9"/>
  <c r="C804" i="9"/>
  <c r="C21" i="9"/>
  <c r="J1706" i="9"/>
  <c r="J807" i="9"/>
  <c r="J24" i="9"/>
  <c r="AA25" i="9"/>
  <c r="K132" i="4"/>
  <c r="I1710" i="9"/>
  <c r="I811" i="9"/>
  <c r="I28" i="9"/>
  <c r="AF222" i="2"/>
  <c r="I1166" i="9" s="1"/>
  <c r="AG159" i="2"/>
  <c r="J1713" i="9"/>
  <c r="J814" i="9"/>
  <c r="J31" i="9"/>
  <c r="AE165" i="2"/>
  <c r="H1719" i="9"/>
  <c r="H820" i="9"/>
  <c r="H37" i="9"/>
  <c r="AA40" i="9"/>
  <c r="K147" i="4"/>
  <c r="AA44" i="9"/>
  <c r="K151" i="4"/>
  <c r="AE177" i="2"/>
  <c r="H1734" i="9"/>
  <c r="H835" i="9"/>
  <c r="H52" i="9"/>
  <c r="AA54" i="9"/>
  <c r="K162" i="4"/>
  <c r="AE189" i="2"/>
  <c r="H1739" i="9"/>
  <c r="H840" i="9"/>
  <c r="H57" i="9"/>
  <c r="AA60" i="9"/>
  <c r="K168" i="4"/>
  <c r="H1745" i="9"/>
  <c r="H846" i="9"/>
  <c r="H63" i="9"/>
  <c r="H1750" i="9"/>
  <c r="H851" i="9"/>
  <c r="H68" i="9"/>
  <c r="AA70" i="9"/>
  <c r="K178" i="4"/>
  <c r="H1754" i="9"/>
  <c r="H855" i="9"/>
  <c r="H72" i="9"/>
  <c r="AA75" i="9"/>
  <c r="K183" i="4"/>
  <c r="H1760" i="9"/>
  <c r="H861" i="9"/>
  <c r="H78" i="9"/>
  <c r="AA80" i="9"/>
  <c r="K188" i="4"/>
  <c r="H1764" i="9"/>
  <c r="H865" i="9"/>
  <c r="H82" i="9"/>
  <c r="AE225" i="2"/>
  <c r="H1169" i="9" s="1"/>
  <c r="H1770" i="9"/>
  <c r="H871" i="9"/>
  <c r="H88" i="9"/>
  <c r="AE291" i="2"/>
  <c r="H1227" i="9" s="1"/>
  <c r="AA91" i="9"/>
  <c r="K199" i="4"/>
  <c r="AE231" i="2"/>
  <c r="H1175" i="9" s="1"/>
  <c r="H1776" i="9"/>
  <c r="H877" i="9"/>
  <c r="H94" i="9"/>
  <c r="H1780" i="9"/>
  <c r="H881" i="9"/>
  <c r="H98" i="9"/>
  <c r="AE303" i="2"/>
  <c r="H1237" i="9" s="1"/>
  <c r="H1785" i="9"/>
  <c r="H886" i="9"/>
  <c r="H103" i="9"/>
  <c r="AA106" i="9"/>
  <c r="K215" i="4"/>
  <c r="AE249" i="2"/>
  <c r="H1190" i="9" s="1"/>
  <c r="H1790" i="9"/>
  <c r="H891" i="9"/>
  <c r="H108" i="9"/>
  <c r="AE315" i="2"/>
  <c r="H1247" i="9" s="1"/>
  <c r="AA111" i="9"/>
  <c r="K220" i="4"/>
  <c r="AE255" i="2"/>
  <c r="H1195" i="9" s="1"/>
  <c r="H1796" i="9"/>
  <c r="H1444" i="9"/>
  <c r="H897" i="9"/>
  <c r="H114" i="9"/>
  <c r="AA117" i="9"/>
  <c r="K226" i="4"/>
  <c r="AE261" i="2"/>
  <c r="H1201" i="9" s="1"/>
  <c r="H1801" i="9"/>
  <c r="H1449" i="9"/>
  <c r="H902" i="9"/>
  <c r="H119" i="9"/>
  <c r="AE327" i="2"/>
  <c r="H1258" i="9" s="1"/>
  <c r="AA122" i="9"/>
  <c r="K231" i="4"/>
  <c r="AE267" i="2"/>
  <c r="H1206" i="9" s="1"/>
  <c r="H1806" i="9"/>
  <c r="H1454" i="9"/>
  <c r="H907" i="9"/>
  <c r="H124" i="9"/>
  <c r="AA126" i="9"/>
  <c r="K235" i="4"/>
  <c r="AE273" i="2"/>
  <c r="H1210" i="9" s="1"/>
  <c r="J1811" i="9"/>
  <c r="J1459" i="9"/>
  <c r="J912" i="9"/>
  <c r="J129" i="9"/>
  <c r="J1812" i="9"/>
  <c r="J1460" i="9"/>
  <c r="J913" i="9"/>
  <c r="J130" i="9"/>
  <c r="AG340" i="2"/>
  <c r="J1269" i="9" s="1"/>
  <c r="C1813" i="9"/>
  <c r="C1461" i="9"/>
  <c r="C1215" i="9"/>
  <c r="C914" i="9"/>
  <c r="C131" i="9"/>
  <c r="I1814" i="9"/>
  <c r="I1462" i="9"/>
  <c r="I915" i="9"/>
  <c r="I132" i="9"/>
  <c r="AF342" i="2"/>
  <c r="I1271" i="9" s="1"/>
  <c r="AA133" i="9"/>
  <c r="K242" i="4"/>
  <c r="AA134" i="9"/>
  <c r="K243" i="4"/>
  <c r="J1819" i="9"/>
  <c r="J1467" i="9"/>
  <c r="J920" i="9"/>
  <c r="J137" i="9"/>
  <c r="AG348" i="2"/>
  <c r="J1276" i="9" s="1"/>
  <c r="C1820" i="9"/>
  <c r="C1468" i="9"/>
  <c r="C1222" i="9"/>
  <c r="C921" i="9"/>
  <c r="C138" i="9"/>
  <c r="I1821" i="9"/>
  <c r="I1469" i="9"/>
  <c r="I922" i="9"/>
  <c r="I139" i="9"/>
  <c r="AF350" i="2"/>
  <c r="I1278" i="9" s="1"/>
  <c r="AA141" i="9"/>
  <c r="K250" i="4"/>
  <c r="AE289" i="2"/>
  <c r="H1225" i="9" s="1"/>
  <c r="D1828" i="9"/>
  <c r="D1476" i="9"/>
  <c r="D929" i="9"/>
  <c r="D146" i="9"/>
  <c r="H114" i="8"/>
  <c r="P114" i="8" s="1"/>
  <c r="C1829" i="9"/>
  <c r="C1477" i="9"/>
  <c r="C1231" i="9"/>
  <c r="C930" i="9"/>
  <c r="C147" i="9"/>
  <c r="I1831" i="9"/>
  <c r="I1479" i="9"/>
  <c r="I932" i="9"/>
  <c r="I149" i="9"/>
  <c r="AF360" i="2"/>
  <c r="I1288" i="9" s="1"/>
  <c r="J1835" i="9"/>
  <c r="J1483" i="9"/>
  <c r="J936" i="9"/>
  <c r="J153" i="9"/>
  <c r="D1836" i="9"/>
  <c r="D1484" i="9"/>
  <c r="D937" i="9"/>
  <c r="D154" i="9"/>
  <c r="H122" i="8"/>
  <c r="P122" i="8" s="1"/>
  <c r="H1838" i="9"/>
  <c r="H1486" i="9"/>
  <c r="H939" i="9"/>
  <c r="H156" i="9"/>
  <c r="AE370" i="2"/>
  <c r="H1295" i="9" s="1"/>
  <c r="AF309" i="2"/>
  <c r="I1242" i="9" s="1"/>
  <c r="J1845" i="9"/>
  <c r="J1493" i="9"/>
  <c r="J946" i="9"/>
  <c r="J163" i="9"/>
  <c r="AG378" i="2"/>
  <c r="J1302" i="9" s="1"/>
  <c r="D1846" i="9"/>
  <c r="D1494" i="9"/>
  <c r="D947" i="9"/>
  <c r="D164" i="9"/>
  <c r="H133" i="8"/>
  <c r="P133" i="8" s="1"/>
  <c r="I1848" i="9"/>
  <c r="I1496" i="9"/>
  <c r="I949" i="9"/>
  <c r="I166" i="9"/>
  <c r="H1849" i="9"/>
  <c r="H1497" i="9"/>
  <c r="H950" i="9"/>
  <c r="H167" i="9"/>
  <c r="AE382" i="2"/>
  <c r="H1306" i="9" s="1"/>
  <c r="AF321" i="2"/>
  <c r="I1253" i="9" s="1"/>
  <c r="J1856" i="9"/>
  <c r="J1504" i="9"/>
  <c r="J957" i="9"/>
  <c r="J174" i="9"/>
  <c r="AG390" i="2"/>
  <c r="J1314" i="9" s="1"/>
  <c r="D1857" i="9"/>
  <c r="D1505" i="9"/>
  <c r="D958" i="9"/>
  <c r="D175" i="9"/>
  <c r="I1859" i="9"/>
  <c r="I1507" i="9"/>
  <c r="I960" i="9"/>
  <c r="I177" i="9"/>
  <c r="AF333" i="2"/>
  <c r="I1263" i="9" s="1"/>
  <c r="J1866" i="9"/>
  <c r="J1514" i="9"/>
  <c r="J967" i="9"/>
  <c r="J184" i="9"/>
  <c r="AG402" i="2"/>
  <c r="J1324" i="9" s="1"/>
  <c r="D1867" i="9"/>
  <c r="D1515" i="9"/>
  <c r="D968" i="9"/>
  <c r="D185" i="9"/>
  <c r="I1869" i="9"/>
  <c r="I1517" i="9"/>
  <c r="I970" i="9"/>
  <c r="I187" i="9"/>
  <c r="I1870" i="9"/>
  <c r="I1518" i="9"/>
  <c r="I971" i="9"/>
  <c r="I188" i="9"/>
  <c r="AF406" i="2"/>
  <c r="I1328" i="9" s="1"/>
  <c r="I1872" i="9"/>
  <c r="I1520" i="9"/>
  <c r="I973" i="9"/>
  <c r="I190" i="9"/>
  <c r="AF408" i="2"/>
  <c r="I1330" i="9" s="1"/>
  <c r="AG345" i="2"/>
  <c r="J1274" i="9" s="1"/>
  <c r="AG346" i="2"/>
  <c r="J1275" i="9" s="1"/>
  <c r="H1880" i="9"/>
  <c r="H1528" i="9"/>
  <c r="H981" i="9"/>
  <c r="H198" i="9"/>
  <c r="AE417" i="2"/>
  <c r="H1338" i="9" s="1"/>
  <c r="J1881" i="9"/>
  <c r="J1529" i="9"/>
  <c r="J982" i="9"/>
  <c r="J199" i="9"/>
  <c r="AG418" i="2"/>
  <c r="J1339" i="9" s="1"/>
  <c r="D1882" i="9"/>
  <c r="D1530" i="9"/>
  <c r="D983" i="9"/>
  <c r="D200" i="9"/>
  <c r="AF365" i="2"/>
  <c r="I1291" i="9" s="1"/>
  <c r="AG366" i="2"/>
  <c r="J1292" i="9" s="1"/>
  <c r="AE397" i="2"/>
  <c r="H1320" i="9" s="1"/>
  <c r="AE401" i="2"/>
  <c r="H1323" i="9" s="1"/>
  <c r="AF405" i="2"/>
  <c r="I1327" i="9" s="1"/>
  <c r="H1934" i="9"/>
  <c r="H1582" i="9"/>
  <c r="H1035" i="9"/>
  <c r="H252" i="9"/>
  <c r="AE478" i="2"/>
  <c r="H1393" i="9" s="1"/>
  <c r="H1936" i="9"/>
  <c r="H1584" i="9"/>
  <c r="H1037" i="9"/>
  <c r="H254" i="9"/>
  <c r="AE480" i="2"/>
  <c r="H1395" i="9" s="1"/>
  <c r="I1938" i="9"/>
  <c r="I1586" i="9"/>
  <c r="I1039" i="9"/>
  <c r="I256" i="9"/>
  <c r="AF482" i="2"/>
  <c r="I1397" i="9" s="1"/>
  <c r="H1951" i="9"/>
  <c r="H1599" i="9"/>
  <c r="H1052" i="9"/>
  <c r="H269" i="9"/>
  <c r="AE497" i="2"/>
  <c r="H1410" i="9" s="1"/>
  <c r="Z435" i="2"/>
  <c r="D1354" i="9" s="1"/>
  <c r="H1977" i="9"/>
  <c r="H1625" i="9"/>
  <c r="H1078" i="9"/>
  <c r="H295" i="9"/>
  <c r="H1979" i="9"/>
  <c r="H1627" i="9"/>
  <c r="H1080" i="9"/>
  <c r="H297" i="9"/>
  <c r="F2102" i="9"/>
  <c r="D1986" i="9"/>
  <c r="D1634" i="9"/>
  <c r="D1087" i="9"/>
  <c r="D304" i="9"/>
  <c r="Z475" i="2"/>
  <c r="D1390" i="9" s="1"/>
  <c r="H2002" i="9"/>
  <c r="H1650" i="9"/>
  <c r="H1103" i="9"/>
  <c r="H320" i="9"/>
  <c r="F2124" i="9"/>
  <c r="D2007" i="9"/>
  <c r="D1655" i="9"/>
  <c r="D1108" i="9"/>
  <c r="D325" i="9"/>
  <c r="Z499" i="2"/>
  <c r="D1412" i="9" s="1"/>
  <c r="G407" i="4"/>
  <c r="C172" i="8" s="1"/>
  <c r="E172" i="8" s="1"/>
  <c r="F172" i="8" s="1"/>
  <c r="N171" i="8" s="1"/>
  <c r="F191" i="8"/>
  <c r="N190" i="8" s="1"/>
  <c r="I1698" i="9"/>
  <c r="I799" i="9"/>
  <c r="I16" i="9"/>
  <c r="AA27" i="9"/>
  <c r="K134" i="4"/>
  <c r="AE162" i="2"/>
  <c r="H1722" i="9"/>
  <c r="H823" i="9"/>
  <c r="H40" i="9"/>
  <c r="J1730" i="9"/>
  <c r="J831" i="9"/>
  <c r="J48" i="9"/>
  <c r="H1736" i="9"/>
  <c r="H837" i="9"/>
  <c r="H54" i="9"/>
  <c r="I1758" i="9"/>
  <c r="I859" i="9"/>
  <c r="I76" i="9"/>
  <c r="I1763" i="9"/>
  <c r="I864" i="9"/>
  <c r="I81" i="9"/>
  <c r="I1768" i="9"/>
  <c r="I869" i="9"/>
  <c r="I86" i="9"/>
  <c r="J1798" i="9"/>
  <c r="J1446" i="9"/>
  <c r="J899" i="9"/>
  <c r="J116" i="9"/>
  <c r="I1800" i="9"/>
  <c r="I1448" i="9"/>
  <c r="I901" i="9"/>
  <c r="I118" i="9"/>
  <c r="H1810" i="9"/>
  <c r="H1458" i="9"/>
  <c r="H911" i="9"/>
  <c r="H128" i="9"/>
  <c r="H1815" i="9"/>
  <c r="H1463" i="9"/>
  <c r="H916" i="9"/>
  <c r="H133" i="9"/>
  <c r="AE343" i="2"/>
  <c r="H1272" i="9" s="1"/>
  <c r="I1824" i="9"/>
  <c r="I1472" i="9"/>
  <c r="I925" i="9"/>
  <c r="I142" i="9"/>
  <c r="D1832" i="9"/>
  <c r="D1480" i="9"/>
  <c r="D933" i="9"/>
  <c r="D150" i="9"/>
  <c r="H118" i="8"/>
  <c r="P118" i="8" s="1"/>
  <c r="I1844" i="9"/>
  <c r="I1492" i="9"/>
  <c r="I945" i="9"/>
  <c r="I162" i="9"/>
  <c r="AF376" i="2"/>
  <c r="I1301" i="9" s="1"/>
  <c r="I1853" i="9"/>
  <c r="I1501" i="9"/>
  <c r="I954" i="9"/>
  <c r="I171" i="9"/>
  <c r="AF386" i="2"/>
  <c r="I1310" i="9" s="1"/>
  <c r="D738" i="9"/>
  <c r="H160" i="8"/>
  <c r="P160" i="8" s="1"/>
  <c r="H8" i="8"/>
  <c r="P8" i="8" s="1"/>
  <c r="D745" i="9"/>
  <c r="H15" i="8"/>
  <c r="P15" i="8" s="1"/>
  <c r="H167" i="8"/>
  <c r="P167" i="8" s="1"/>
  <c r="D747" i="9"/>
  <c r="H170" i="8"/>
  <c r="P169" i="8" s="1"/>
  <c r="H18" i="8"/>
  <c r="P17" i="8" s="1"/>
  <c r="D750" i="9"/>
  <c r="H173" i="8"/>
  <c r="P172" i="8" s="1"/>
  <c r="H21" i="8"/>
  <c r="P20" i="8" s="1"/>
  <c r="D754" i="9"/>
  <c r="H177" i="8"/>
  <c r="P176" i="8" s="1"/>
  <c r="H25" i="8"/>
  <c r="P24" i="8" s="1"/>
  <c r="D757" i="9"/>
  <c r="H180" i="8"/>
  <c r="P179" i="8" s="1"/>
  <c r="H28" i="8"/>
  <c r="P27" i="8" s="1"/>
  <c r="D760" i="9"/>
  <c r="H183" i="8"/>
  <c r="P182" i="8" s="1"/>
  <c r="H31" i="8"/>
  <c r="P30" i="8" s="1"/>
  <c r="D764" i="9"/>
  <c r="H187" i="8"/>
  <c r="P186" i="8" s="1"/>
  <c r="H35" i="8"/>
  <c r="P34" i="8" s="1"/>
  <c r="D768" i="9"/>
  <c r="H191" i="8"/>
  <c r="P190" i="8" s="1"/>
  <c r="H39" i="8"/>
  <c r="P38" i="8" s="1"/>
  <c r="D772" i="9"/>
  <c r="H195" i="8"/>
  <c r="P194" i="8" s="1"/>
  <c r="H43" i="8"/>
  <c r="P42" i="8" s="1"/>
  <c r="D774" i="9"/>
  <c r="H197" i="8"/>
  <c r="P196" i="8" s="1"/>
  <c r="H45" i="8"/>
  <c r="P44" i="8" s="1"/>
  <c r="D777" i="9"/>
  <c r="H201" i="8"/>
  <c r="P200" i="8" s="1"/>
  <c r="H49" i="8"/>
  <c r="P48" i="8" s="1"/>
  <c r="D784" i="9"/>
  <c r="H207" i="8"/>
  <c r="P206" i="8" s="1"/>
  <c r="H55" i="8"/>
  <c r="P54" i="8" s="1"/>
  <c r="D788" i="9"/>
  <c r="H211" i="8"/>
  <c r="P210" i="8" s="1"/>
  <c r="H59" i="8"/>
  <c r="P58" i="8" s="1"/>
  <c r="AF131" i="2"/>
  <c r="Z133" i="2"/>
  <c r="D1691" i="9"/>
  <c r="D792" i="9"/>
  <c r="D9" i="9"/>
  <c r="AF135" i="2"/>
  <c r="D1694" i="9"/>
  <c r="D795" i="9"/>
  <c r="D12" i="9"/>
  <c r="AF139" i="2"/>
  <c r="Z141" i="2"/>
  <c r="Z145" i="2"/>
  <c r="AF147" i="2"/>
  <c r="Z149" i="2"/>
  <c r="D1703" i="9"/>
  <c r="D804" i="9"/>
  <c r="D21" i="9"/>
  <c r="AF151" i="2"/>
  <c r="Z153" i="2"/>
  <c r="AF155" i="2"/>
  <c r="C1710" i="9"/>
  <c r="C811" i="9"/>
  <c r="C28" i="9"/>
  <c r="AA29" i="9"/>
  <c r="K136" i="4"/>
  <c r="AE160" i="2"/>
  <c r="H1714" i="9"/>
  <c r="H815" i="9"/>
  <c r="H32" i="9"/>
  <c r="I1715" i="9"/>
  <c r="I816" i="9"/>
  <c r="I33" i="9"/>
  <c r="AF165" i="2"/>
  <c r="J1719" i="9"/>
  <c r="J820" i="9"/>
  <c r="J37" i="9"/>
  <c r="H1720" i="9"/>
  <c r="H821" i="9"/>
  <c r="H38" i="9"/>
  <c r="I1721" i="9"/>
  <c r="I822" i="9"/>
  <c r="I39" i="9"/>
  <c r="AF171" i="2"/>
  <c r="I1725" i="9"/>
  <c r="I826" i="9"/>
  <c r="I43" i="9"/>
  <c r="AF177" i="2"/>
  <c r="H1729" i="9"/>
  <c r="H830" i="9"/>
  <c r="H47" i="9"/>
  <c r="I1730" i="9"/>
  <c r="I831" i="9"/>
  <c r="I48" i="9"/>
  <c r="AF183" i="2"/>
  <c r="J1734" i="9"/>
  <c r="J835" i="9"/>
  <c r="J52" i="9"/>
  <c r="H1735" i="9"/>
  <c r="H836" i="9"/>
  <c r="H53" i="9"/>
  <c r="AF189" i="2"/>
  <c r="J1739" i="9"/>
  <c r="J840" i="9"/>
  <c r="J57" i="9"/>
  <c r="H1740" i="9"/>
  <c r="H841" i="9"/>
  <c r="H58" i="9"/>
  <c r="I1741" i="9"/>
  <c r="I842" i="9"/>
  <c r="I59" i="9"/>
  <c r="AF195" i="2"/>
  <c r="I1144" i="9" s="1"/>
  <c r="J1745" i="9"/>
  <c r="J846" i="9"/>
  <c r="J63" i="9"/>
  <c r="H1746" i="9"/>
  <c r="H847" i="9"/>
  <c r="H64" i="9"/>
  <c r="J1750" i="9"/>
  <c r="J851" i="9"/>
  <c r="J68" i="9"/>
  <c r="I1751" i="9"/>
  <c r="I852" i="9"/>
  <c r="I69" i="9"/>
  <c r="AF207" i="2"/>
  <c r="I1154" i="9" s="1"/>
  <c r="J1754" i="9"/>
  <c r="J855" i="9"/>
  <c r="J72" i="9"/>
  <c r="H1755" i="9"/>
  <c r="H856" i="9"/>
  <c r="H73" i="9"/>
  <c r="I1756" i="9"/>
  <c r="I857" i="9"/>
  <c r="I74" i="9"/>
  <c r="J1760" i="9"/>
  <c r="J861" i="9"/>
  <c r="J78" i="9"/>
  <c r="I1761" i="9"/>
  <c r="I862" i="9"/>
  <c r="I79" i="9"/>
  <c r="AF219" i="2"/>
  <c r="I1164" i="9" s="1"/>
  <c r="J1764" i="9"/>
  <c r="J865" i="9"/>
  <c r="J82" i="9"/>
  <c r="H1765" i="9"/>
  <c r="H866" i="9"/>
  <c r="H83" i="9"/>
  <c r="I1766" i="9"/>
  <c r="I867" i="9"/>
  <c r="I84" i="9"/>
  <c r="J1770" i="9"/>
  <c r="J871" i="9"/>
  <c r="J88" i="9"/>
  <c r="H1771" i="9"/>
  <c r="H872" i="9"/>
  <c r="H89" i="9"/>
  <c r="I1772" i="9"/>
  <c r="I873" i="9"/>
  <c r="I90" i="9"/>
  <c r="J1776" i="9"/>
  <c r="J877" i="9"/>
  <c r="J94" i="9"/>
  <c r="H1777" i="9"/>
  <c r="H878" i="9"/>
  <c r="H95" i="9"/>
  <c r="I1778" i="9"/>
  <c r="I879" i="9"/>
  <c r="I96" i="9"/>
  <c r="J1780" i="9"/>
  <c r="J881" i="9"/>
  <c r="J98" i="9"/>
  <c r="H1781" i="9"/>
  <c r="H882" i="9"/>
  <c r="H99" i="9"/>
  <c r="AE304" i="2"/>
  <c r="H1238" i="9" s="1"/>
  <c r="I1782" i="9"/>
  <c r="I883" i="9"/>
  <c r="I100" i="9"/>
  <c r="J1785" i="9"/>
  <c r="J886" i="9"/>
  <c r="J103" i="9"/>
  <c r="H1786" i="9"/>
  <c r="H887" i="9"/>
  <c r="H104" i="9"/>
  <c r="I1787" i="9"/>
  <c r="I888" i="9"/>
  <c r="I105" i="9"/>
  <c r="J1790" i="9"/>
  <c r="J891" i="9"/>
  <c r="J108" i="9"/>
  <c r="H1791" i="9"/>
  <c r="H892" i="9"/>
  <c r="H109" i="9"/>
  <c r="AE316" i="2"/>
  <c r="H1248" i="9" s="1"/>
  <c r="I1792" i="9"/>
  <c r="I893" i="9"/>
  <c r="I110" i="9"/>
  <c r="J1796" i="9"/>
  <c r="J1444" i="9"/>
  <c r="J897" i="9"/>
  <c r="J114" i="9"/>
  <c r="H1797" i="9"/>
  <c r="H1445" i="9"/>
  <c r="H898" i="9"/>
  <c r="H115" i="9"/>
  <c r="I1798" i="9"/>
  <c r="I1446" i="9"/>
  <c r="I899" i="9"/>
  <c r="I116" i="9"/>
  <c r="J1801" i="9"/>
  <c r="J1449" i="9"/>
  <c r="J902" i="9"/>
  <c r="J119" i="9"/>
  <c r="H1802" i="9"/>
  <c r="H1450" i="9"/>
  <c r="H903" i="9"/>
  <c r="H120" i="9"/>
  <c r="AE328" i="2"/>
  <c r="H1259" i="9" s="1"/>
  <c r="I1803" i="9"/>
  <c r="I1451" i="9"/>
  <c r="I904" i="9"/>
  <c r="I121" i="9"/>
  <c r="J1806" i="9"/>
  <c r="J1454" i="9"/>
  <c r="J907" i="9"/>
  <c r="J124" i="9"/>
  <c r="H1807" i="9"/>
  <c r="H1455" i="9"/>
  <c r="H908" i="9"/>
  <c r="H125" i="9"/>
  <c r="Z277" i="2"/>
  <c r="D1214" i="9" s="1"/>
  <c r="D1813" i="9"/>
  <c r="D1461" i="9"/>
  <c r="D914" i="9"/>
  <c r="D131" i="9"/>
  <c r="H99" i="8"/>
  <c r="P99" i="8" s="1"/>
  <c r="C1814" i="9"/>
  <c r="C1462" i="9"/>
  <c r="C1216" i="9"/>
  <c r="C915" i="9"/>
  <c r="C132" i="9"/>
  <c r="AF281" i="2"/>
  <c r="I1218" i="9" s="1"/>
  <c r="Z285" i="2"/>
  <c r="D1221" i="9" s="1"/>
  <c r="D1820" i="9"/>
  <c r="D1468" i="9"/>
  <c r="D921" i="9"/>
  <c r="D138" i="9"/>
  <c r="H106" i="8"/>
  <c r="P106" i="8" s="1"/>
  <c r="C1821" i="9"/>
  <c r="C1469" i="9"/>
  <c r="C1223" i="9"/>
  <c r="C922" i="9"/>
  <c r="C139" i="9"/>
  <c r="AF289" i="2"/>
  <c r="I1225" i="9" s="1"/>
  <c r="H1828" i="9"/>
  <c r="H1476" i="9"/>
  <c r="H929" i="9"/>
  <c r="H146" i="9"/>
  <c r="C1830" i="9"/>
  <c r="C1478" i="9"/>
  <c r="C1232" i="9"/>
  <c r="C931" i="9"/>
  <c r="C148" i="9"/>
  <c r="C1831" i="9"/>
  <c r="C1479" i="9"/>
  <c r="C1233" i="9"/>
  <c r="C932" i="9"/>
  <c r="C149" i="9"/>
  <c r="AA150" i="9"/>
  <c r="K259" i="4"/>
  <c r="AF299" i="2"/>
  <c r="I1235" i="9" s="1"/>
  <c r="Z303" i="2"/>
  <c r="D1237" i="9" s="1"/>
  <c r="H1836" i="9"/>
  <c r="H1484" i="9"/>
  <c r="H937" i="9"/>
  <c r="H154" i="9"/>
  <c r="AE367" i="2"/>
  <c r="H1293" i="9" s="1"/>
  <c r="I1838" i="9"/>
  <c r="I1486" i="9"/>
  <c r="I939" i="9"/>
  <c r="I156" i="9"/>
  <c r="AF370" i="2"/>
  <c r="I1295" i="9" s="1"/>
  <c r="I1840" i="9"/>
  <c r="I1488" i="9"/>
  <c r="I941" i="9"/>
  <c r="I158" i="9"/>
  <c r="AF372" i="2"/>
  <c r="I1297" i="9" s="1"/>
  <c r="AG309" i="2"/>
  <c r="J1242" i="9" s="1"/>
  <c r="AE310" i="2"/>
  <c r="H1243" i="9" s="1"/>
  <c r="Z315" i="2"/>
  <c r="D1247" i="9" s="1"/>
  <c r="H1846" i="9"/>
  <c r="H1494" i="9"/>
  <c r="H947" i="9"/>
  <c r="H164" i="9"/>
  <c r="AE379" i="2"/>
  <c r="H1303" i="9" s="1"/>
  <c r="I1849" i="9"/>
  <c r="I1497" i="9"/>
  <c r="I950" i="9"/>
  <c r="I167" i="9"/>
  <c r="AF382" i="2"/>
  <c r="I1306" i="9" s="1"/>
  <c r="I1851" i="9"/>
  <c r="I1499" i="9"/>
  <c r="I952" i="9"/>
  <c r="I169" i="9"/>
  <c r="AF384" i="2"/>
  <c r="I1308" i="9" s="1"/>
  <c r="AG321" i="2"/>
  <c r="J1253" i="9" s="1"/>
  <c r="AE322" i="2"/>
  <c r="H1254" i="9" s="1"/>
  <c r="Z327" i="2"/>
  <c r="D1258" i="9" s="1"/>
  <c r="H1857" i="9"/>
  <c r="H1505" i="9"/>
  <c r="H958" i="9"/>
  <c r="H175" i="9"/>
  <c r="AE391" i="2"/>
  <c r="H1315" i="9" s="1"/>
  <c r="I1861" i="9"/>
  <c r="I1509" i="9"/>
  <c r="I962" i="9"/>
  <c r="I179" i="9"/>
  <c r="AF396" i="2"/>
  <c r="I1319" i="9" s="1"/>
  <c r="AG333" i="2"/>
  <c r="J1263" i="9" s="1"/>
  <c r="AE334" i="2"/>
  <c r="H1264" i="9" s="1"/>
  <c r="H1867" i="9"/>
  <c r="H1515" i="9"/>
  <c r="H968" i="9"/>
  <c r="H185" i="9"/>
  <c r="AE403" i="2"/>
  <c r="H1325" i="9" s="1"/>
  <c r="AA193" i="9"/>
  <c r="K303" i="4"/>
  <c r="H1882" i="9"/>
  <c r="H1530" i="9"/>
  <c r="H983" i="9"/>
  <c r="H200" i="9"/>
  <c r="AE419" i="2"/>
  <c r="H1340" i="9" s="1"/>
  <c r="D1884" i="9"/>
  <c r="D1532" i="9"/>
  <c r="D985" i="9"/>
  <c r="D202" i="9"/>
  <c r="Z421" i="2"/>
  <c r="D1342" i="9" s="1"/>
  <c r="C1886" i="9"/>
  <c r="C1534" i="9"/>
  <c r="C1288" i="9"/>
  <c r="C987" i="9"/>
  <c r="C204" i="9"/>
  <c r="I1888" i="9"/>
  <c r="I1536" i="9"/>
  <c r="I989" i="9"/>
  <c r="I206" i="9"/>
  <c r="H1930" i="9"/>
  <c r="H1578" i="9"/>
  <c r="H1031" i="9"/>
  <c r="H248" i="9"/>
  <c r="AE474" i="2"/>
  <c r="H1389" i="9" s="1"/>
  <c r="H1932" i="9"/>
  <c r="H1580" i="9"/>
  <c r="H1033" i="9"/>
  <c r="H250" i="9"/>
  <c r="AE476" i="2"/>
  <c r="H1391" i="9" s="1"/>
  <c r="I1934" i="9"/>
  <c r="I1582" i="9"/>
  <c r="I1035" i="9"/>
  <c r="I252" i="9"/>
  <c r="AF478" i="2"/>
  <c r="I1393" i="9" s="1"/>
  <c r="D1946" i="9"/>
  <c r="D1594" i="9"/>
  <c r="D1047" i="9"/>
  <c r="D264" i="9"/>
  <c r="H1948" i="9"/>
  <c r="H1596" i="9"/>
  <c r="H1049" i="9"/>
  <c r="H266" i="9"/>
  <c r="AE493" i="2"/>
  <c r="H1407" i="9" s="1"/>
  <c r="H1974" i="9"/>
  <c r="H1622" i="9"/>
  <c r="H1075" i="9"/>
  <c r="H292" i="9"/>
  <c r="H2000" i="9"/>
  <c r="H1648" i="9"/>
  <c r="H1101" i="9"/>
  <c r="H318" i="9"/>
  <c r="F160" i="8"/>
  <c r="N160" i="8" s="1"/>
  <c r="F164" i="8"/>
  <c r="N164" i="8" s="1"/>
  <c r="F167" i="8"/>
  <c r="N167" i="8" s="1"/>
  <c r="F200" i="8"/>
  <c r="N199" i="8" s="1"/>
  <c r="H1697" i="9"/>
  <c r="H798" i="9"/>
  <c r="H15" i="9"/>
  <c r="I1703" i="9"/>
  <c r="I804" i="9"/>
  <c r="I21" i="9"/>
  <c r="C1714" i="9"/>
  <c r="C815" i="9"/>
  <c r="C32" i="9"/>
  <c r="I765" i="9"/>
  <c r="AF166" i="2"/>
  <c r="I769" i="9"/>
  <c r="AF170" i="2"/>
  <c r="I775" i="9"/>
  <c r="AF178" i="2"/>
  <c r="I778" i="9"/>
  <c r="AF182" i="2"/>
  <c r="I782" i="9"/>
  <c r="AF186" i="2"/>
  <c r="I785" i="9"/>
  <c r="AF190" i="2"/>
  <c r="I1688" i="9"/>
  <c r="I789" i="9"/>
  <c r="I6" i="9"/>
  <c r="AF194" i="2"/>
  <c r="I1143" i="9" s="1"/>
  <c r="H1691" i="9"/>
  <c r="H792" i="9"/>
  <c r="H9" i="9"/>
  <c r="I1692" i="9"/>
  <c r="I793" i="9"/>
  <c r="I10" i="9"/>
  <c r="AF198" i="2"/>
  <c r="I1147" i="9" s="1"/>
  <c r="H1694" i="9"/>
  <c r="H795" i="9"/>
  <c r="H12" i="9"/>
  <c r="I1695" i="9"/>
  <c r="I796" i="9"/>
  <c r="I13" i="9"/>
  <c r="AF202" i="2"/>
  <c r="I1150" i="9" s="1"/>
  <c r="I1700" i="9"/>
  <c r="I801" i="9"/>
  <c r="I18" i="9"/>
  <c r="AF210" i="2"/>
  <c r="I1156" i="9" s="1"/>
  <c r="H1703" i="9"/>
  <c r="H804" i="9"/>
  <c r="H21" i="9"/>
  <c r="I1704" i="9"/>
  <c r="I805" i="9"/>
  <c r="I22" i="9"/>
  <c r="AF214" i="2"/>
  <c r="I1160" i="9" s="1"/>
  <c r="I1707" i="9"/>
  <c r="I808" i="9"/>
  <c r="I25" i="9"/>
  <c r="AF218" i="2"/>
  <c r="I1163" i="9" s="1"/>
  <c r="AG160" i="2"/>
  <c r="J1714" i="9"/>
  <c r="J815" i="9"/>
  <c r="J32" i="9"/>
  <c r="C1715" i="9"/>
  <c r="C816" i="9"/>
  <c r="C33" i="9"/>
  <c r="I1716" i="9"/>
  <c r="I817" i="9"/>
  <c r="I34" i="9"/>
  <c r="AF228" i="2"/>
  <c r="I1172" i="9" s="1"/>
  <c r="AG165" i="2"/>
  <c r="AE166" i="2"/>
  <c r="J1720" i="9"/>
  <c r="J821" i="9"/>
  <c r="J38" i="9"/>
  <c r="C1721" i="9"/>
  <c r="C822" i="9"/>
  <c r="C39" i="9"/>
  <c r="I1722" i="9"/>
  <c r="I823" i="9"/>
  <c r="I40" i="9"/>
  <c r="AF234" i="2"/>
  <c r="I1178" i="9" s="1"/>
  <c r="AE172" i="2"/>
  <c r="C1725" i="9"/>
  <c r="C826" i="9"/>
  <c r="C43" i="9"/>
  <c r="I1726" i="9"/>
  <c r="I827" i="9"/>
  <c r="I44" i="9"/>
  <c r="AF240" i="2"/>
  <c r="I1182" i="9" s="1"/>
  <c r="AG177" i="2"/>
  <c r="AE178" i="2"/>
  <c r="J1729" i="9"/>
  <c r="J830" i="9"/>
  <c r="J47" i="9"/>
  <c r="C1730" i="9"/>
  <c r="C831" i="9"/>
  <c r="C48" i="9"/>
  <c r="I1731" i="9"/>
  <c r="I832" i="9"/>
  <c r="I49" i="9"/>
  <c r="AF246" i="2"/>
  <c r="I1187" i="9" s="1"/>
  <c r="AE184" i="2"/>
  <c r="J1735" i="9"/>
  <c r="J836" i="9"/>
  <c r="J53" i="9"/>
  <c r="I1736" i="9"/>
  <c r="I837" i="9"/>
  <c r="I54" i="9"/>
  <c r="AF252" i="2"/>
  <c r="I1192" i="9" s="1"/>
  <c r="AG189" i="2"/>
  <c r="AE190" i="2"/>
  <c r="J1740" i="9"/>
  <c r="J841" i="9"/>
  <c r="J58" i="9"/>
  <c r="C1741" i="9"/>
  <c r="C1143" i="9"/>
  <c r="C842" i="9"/>
  <c r="C59" i="9"/>
  <c r="I1742" i="9"/>
  <c r="I843" i="9"/>
  <c r="I60" i="9"/>
  <c r="AF258" i="2"/>
  <c r="I1198" i="9" s="1"/>
  <c r="J1746" i="9"/>
  <c r="J847" i="9"/>
  <c r="J64" i="9"/>
  <c r="I1747" i="9"/>
  <c r="I848" i="9"/>
  <c r="I65" i="9"/>
  <c r="AF264" i="2"/>
  <c r="I1203" i="9" s="1"/>
  <c r="AE202" i="2"/>
  <c r="H1150" i="9" s="1"/>
  <c r="C1751" i="9"/>
  <c r="C1153" i="9"/>
  <c r="C852" i="9"/>
  <c r="C69" i="9"/>
  <c r="I1752" i="9"/>
  <c r="I853" i="9"/>
  <c r="I70" i="9"/>
  <c r="AF270" i="2"/>
  <c r="I1208" i="9" s="1"/>
  <c r="J1755" i="9"/>
  <c r="J856" i="9"/>
  <c r="J73" i="9"/>
  <c r="C1756" i="9"/>
  <c r="C1158" i="9"/>
  <c r="C857" i="9"/>
  <c r="C74" i="9"/>
  <c r="I1757" i="9"/>
  <c r="I858" i="9"/>
  <c r="I75" i="9"/>
  <c r="AF276" i="2"/>
  <c r="I1213" i="9" s="1"/>
  <c r="AE214" i="2"/>
  <c r="H1160" i="9" s="1"/>
  <c r="C1761" i="9"/>
  <c r="C1163" i="9"/>
  <c r="C862" i="9"/>
  <c r="C79" i="9"/>
  <c r="I1762" i="9"/>
  <c r="I863" i="9"/>
  <c r="I80" i="9"/>
  <c r="AF282" i="2"/>
  <c r="I1219" i="9" s="1"/>
  <c r="J1765" i="9"/>
  <c r="J866" i="9"/>
  <c r="J83" i="9"/>
  <c r="C1766" i="9"/>
  <c r="C1168" i="9"/>
  <c r="C867" i="9"/>
  <c r="C84" i="9"/>
  <c r="I1767" i="9"/>
  <c r="I868" i="9"/>
  <c r="I85" i="9"/>
  <c r="AF288" i="2"/>
  <c r="I1224" i="9" s="1"/>
  <c r="AE226" i="2"/>
  <c r="H1170" i="9" s="1"/>
  <c r="J1771" i="9"/>
  <c r="J872" i="9"/>
  <c r="J89" i="9"/>
  <c r="AG292" i="2"/>
  <c r="J1228" i="9" s="1"/>
  <c r="C1772" i="9"/>
  <c r="C1174" i="9"/>
  <c r="C873" i="9"/>
  <c r="C90" i="9"/>
  <c r="I1773" i="9"/>
  <c r="I874" i="9"/>
  <c r="I91" i="9"/>
  <c r="AF294" i="2"/>
  <c r="I1230" i="9" s="1"/>
  <c r="AG231" i="2"/>
  <c r="J1175" i="9" s="1"/>
  <c r="AE232" i="2"/>
  <c r="H1176" i="9" s="1"/>
  <c r="J1777" i="9"/>
  <c r="J878" i="9"/>
  <c r="J95" i="9"/>
  <c r="C1778" i="9"/>
  <c r="C1180" i="9"/>
  <c r="C879" i="9"/>
  <c r="C96" i="9"/>
  <c r="J1781" i="9"/>
  <c r="J882" i="9"/>
  <c r="J99" i="9"/>
  <c r="AG304" i="2"/>
  <c r="J1238" i="9" s="1"/>
  <c r="C1782" i="9"/>
  <c r="C1184" i="9"/>
  <c r="C883" i="9"/>
  <c r="C100" i="9"/>
  <c r="AE244" i="2"/>
  <c r="H1185" i="9" s="1"/>
  <c r="J1786" i="9"/>
  <c r="J887" i="9"/>
  <c r="J104" i="9"/>
  <c r="C1787" i="9"/>
  <c r="C1189" i="9"/>
  <c r="C888" i="9"/>
  <c r="C105" i="9"/>
  <c r="I1788" i="9"/>
  <c r="I889" i="9"/>
  <c r="I106" i="9"/>
  <c r="AF312" i="2"/>
  <c r="I1245" i="9" s="1"/>
  <c r="AG249" i="2"/>
  <c r="J1190" i="9" s="1"/>
  <c r="AE250" i="2"/>
  <c r="H1191" i="9" s="1"/>
  <c r="J1791" i="9"/>
  <c r="J892" i="9"/>
  <c r="J109" i="9"/>
  <c r="AG316" i="2"/>
  <c r="J1248" i="9" s="1"/>
  <c r="C1792" i="9"/>
  <c r="C1194" i="9"/>
  <c r="C893" i="9"/>
  <c r="C110" i="9"/>
  <c r="I1793" i="9"/>
  <c r="I894" i="9"/>
  <c r="I111" i="9"/>
  <c r="AF318" i="2"/>
  <c r="I1250" i="9" s="1"/>
  <c r="AG255" i="2"/>
  <c r="J1195" i="9" s="1"/>
  <c r="AE256" i="2"/>
  <c r="H1196" i="9" s="1"/>
  <c r="J1797" i="9"/>
  <c r="J1445" i="9"/>
  <c r="J898" i="9"/>
  <c r="J115" i="9"/>
  <c r="C1798" i="9"/>
  <c r="C1446" i="9"/>
  <c r="C1200" i="9"/>
  <c r="C899" i="9"/>
  <c r="C116" i="9"/>
  <c r="I1799" i="9"/>
  <c r="I1447" i="9"/>
  <c r="I900" i="9"/>
  <c r="I117" i="9"/>
  <c r="AF324" i="2"/>
  <c r="I1256" i="9" s="1"/>
  <c r="AG261" i="2"/>
  <c r="J1201" i="9" s="1"/>
  <c r="AE262" i="2"/>
  <c r="H1202" i="9" s="1"/>
  <c r="J1802" i="9"/>
  <c r="J1450" i="9"/>
  <c r="J903" i="9"/>
  <c r="J120" i="9"/>
  <c r="AG328" i="2"/>
  <c r="J1259" i="9" s="1"/>
  <c r="C1803" i="9"/>
  <c r="C1451" i="9"/>
  <c r="C1205" i="9"/>
  <c r="C904" i="9"/>
  <c r="C121" i="9"/>
  <c r="I1804" i="9"/>
  <c r="I1452" i="9"/>
  <c r="I905" i="9"/>
  <c r="I122" i="9"/>
  <c r="AF330" i="2"/>
  <c r="I1261" i="9" s="1"/>
  <c r="AG267" i="2"/>
  <c r="J1206" i="9" s="1"/>
  <c r="J1807" i="9"/>
  <c r="J1455" i="9"/>
  <c r="J908" i="9"/>
  <c r="J125" i="9"/>
  <c r="I1808" i="9"/>
  <c r="I1456" i="9"/>
  <c r="I909" i="9"/>
  <c r="I126" i="9"/>
  <c r="AF336" i="2"/>
  <c r="I1265" i="9" s="1"/>
  <c r="AG273" i="2"/>
  <c r="J1210" i="9" s="1"/>
  <c r="AE274" i="2"/>
  <c r="H1211" i="9" s="1"/>
  <c r="H1813" i="9"/>
  <c r="H1461" i="9"/>
  <c r="H914" i="9"/>
  <c r="H131" i="9"/>
  <c r="I1816" i="9"/>
  <c r="I1464" i="9"/>
  <c r="I917" i="9"/>
  <c r="I134" i="9"/>
  <c r="AF344" i="2"/>
  <c r="I1273" i="9" s="1"/>
  <c r="AG281" i="2"/>
  <c r="J1218" i="9" s="1"/>
  <c r="AE282" i="2"/>
  <c r="H1219" i="9" s="1"/>
  <c r="H1820" i="9"/>
  <c r="H1468" i="9"/>
  <c r="H921" i="9"/>
  <c r="H138" i="9"/>
  <c r="I1823" i="9"/>
  <c r="I1471" i="9"/>
  <c r="I924" i="9"/>
  <c r="I141" i="9"/>
  <c r="AF352" i="2"/>
  <c r="I1280" i="9" s="1"/>
  <c r="J1828" i="9"/>
  <c r="J1476" i="9"/>
  <c r="J929" i="9"/>
  <c r="J146" i="9"/>
  <c r="AG357" i="2"/>
  <c r="J1285" i="9" s="1"/>
  <c r="J1829" i="9"/>
  <c r="J1477" i="9"/>
  <c r="J930" i="9"/>
  <c r="J147" i="9"/>
  <c r="D1830" i="9"/>
  <c r="D1478" i="9"/>
  <c r="D931" i="9"/>
  <c r="D148" i="9"/>
  <c r="H116" i="8"/>
  <c r="P116" i="8" s="1"/>
  <c r="AG299" i="2"/>
  <c r="J1235" i="9" s="1"/>
  <c r="J1836" i="9"/>
  <c r="J1484" i="9"/>
  <c r="J937" i="9"/>
  <c r="J154" i="9"/>
  <c r="C1840" i="9"/>
  <c r="C1488" i="9"/>
  <c r="C1242" i="9"/>
  <c r="C941" i="9"/>
  <c r="C158" i="9"/>
  <c r="AG310" i="2"/>
  <c r="J1243" i="9" s="1"/>
  <c r="AF311" i="2"/>
  <c r="I1244" i="9" s="1"/>
  <c r="J1846" i="9"/>
  <c r="J1494" i="9"/>
  <c r="J947" i="9"/>
  <c r="J164" i="9"/>
  <c r="D1848" i="9"/>
  <c r="D1496" i="9"/>
  <c r="D949" i="9"/>
  <c r="H135" i="8"/>
  <c r="P135" i="8" s="1"/>
  <c r="D166" i="9"/>
  <c r="C1851" i="9"/>
  <c r="C1499" i="9"/>
  <c r="C1253" i="9"/>
  <c r="C952" i="9"/>
  <c r="C169" i="9"/>
  <c r="AA170" i="9"/>
  <c r="K280" i="4"/>
  <c r="AG322" i="2"/>
  <c r="J1254" i="9" s="1"/>
  <c r="AF323" i="2"/>
  <c r="I1255" i="9" s="1"/>
  <c r="J1857" i="9"/>
  <c r="J1505" i="9"/>
  <c r="J958" i="9"/>
  <c r="J175" i="9"/>
  <c r="D1859" i="9"/>
  <c r="D1507" i="9"/>
  <c r="D960" i="9"/>
  <c r="D177" i="9"/>
  <c r="Z393" i="2"/>
  <c r="D1317" i="9" s="1"/>
  <c r="C1861" i="9"/>
  <c r="C1509" i="9"/>
  <c r="C1263" i="9"/>
  <c r="C962" i="9"/>
  <c r="C179" i="9"/>
  <c r="AA180" i="9"/>
  <c r="K290" i="4"/>
  <c r="AG334" i="2"/>
  <c r="J1264" i="9" s="1"/>
  <c r="J1867" i="9"/>
  <c r="J1515" i="9"/>
  <c r="J968" i="9"/>
  <c r="J185" i="9"/>
  <c r="Z341" i="2"/>
  <c r="D1270" i="9" s="1"/>
  <c r="D1869" i="9"/>
  <c r="D1517" i="9"/>
  <c r="D970" i="9"/>
  <c r="D187" i="9"/>
  <c r="Z405" i="2"/>
  <c r="D1327" i="9" s="1"/>
  <c r="C1871" i="9"/>
  <c r="C1519" i="9"/>
  <c r="C1273" i="9"/>
  <c r="C972" i="9"/>
  <c r="C189" i="9"/>
  <c r="AF349" i="2"/>
  <c r="I1277" i="9" s="1"/>
  <c r="H1884" i="9"/>
  <c r="H1532" i="9"/>
  <c r="H985" i="9"/>
  <c r="H202" i="9"/>
  <c r="AE421" i="2"/>
  <c r="H1342" i="9" s="1"/>
  <c r="J1885" i="9"/>
  <c r="J1533" i="9"/>
  <c r="J986" i="9"/>
  <c r="J203" i="9"/>
  <c r="AG422" i="2"/>
  <c r="J1343" i="9" s="1"/>
  <c r="D1886" i="9"/>
  <c r="D1534" i="9"/>
  <c r="D987" i="9"/>
  <c r="D204" i="9"/>
  <c r="H1887" i="9"/>
  <c r="H1535" i="9"/>
  <c r="H988" i="9"/>
  <c r="H205" i="9"/>
  <c r="AE424" i="2"/>
  <c r="H1345" i="9" s="1"/>
  <c r="H1891" i="9"/>
  <c r="H1539" i="9"/>
  <c r="H992" i="9"/>
  <c r="H209" i="9"/>
  <c r="AE430" i="2"/>
  <c r="H1350" i="9" s="1"/>
  <c r="AE373" i="2"/>
  <c r="H1298" i="9" s="1"/>
  <c r="AE385" i="2"/>
  <c r="H1309" i="9" s="1"/>
  <c r="AA236" i="9"/>
  <c r="K347" i="4"/>
  <c r="AA239" i="9"/>
  <c r="K350" i="4"/>
  <c r="AG403" i="2"/>
  <c r="J1325" i="9" s="1"/>
  <c r="H1927" i="9"/>
  <c r="H1575" i="9"/>
  <c r="H1028" i="9"/>
  <c r="H245" i="9"/>
  <c r="AE470" i="2"/>
  <c r="H1386" i="9" s="1"/>
  <c r="H1929" i="9"/>
  <c r="H1577" i="9"/>
  <c r="H1030" i="9"/>
  <c r="H247" i="9"/>
  <c r="AE472" i="2"/>
  <c r="H1388" i="9" s="1"/>
  <c r="I1930" i="9"/>
  <c r="I1578" i="9"/>
  <c r="I1031" i="9"/>
  <c r="I248" i="9"/>
  <c r="AF474" i="2"/>
  <c r="I1389" i="9" s="1"/>
  <c r="D1943" i="9"/>
  <c r="D1591" i="9"/>
  <c r="D1044" i="9"/>
  <c r="D261" i="9"/>
  <c r="H1945" i="9"/>
  <c r="H1593" i="9"/>
  <c r="H1046" i="9"/>
  <c r="H263" i="9"/>
  <c r="AE489" i="2"/>
  <c r="H1404" i="9" s="1"/>
  <c r="H1971" i="9"/>
  <c r="H1619" i="9"/>
  <c r="H1072" i="9"/>
  <c r="H289" i="9"/>
  <c r="F2098" i="9"/>
  <c r="D1982" i="9"/>
  <c r="D1630" i="9"/>
  <c r="D1083" i="9"/>
  <c r="D300" i="9"/>
  <c r="H1998" i="9"/>
  <c r="H1646" i="9"/>
  <c r="H1099" i="9"/>
  <c r="H316" i="9"/>
  <c r="F2120" i="9"/>
  <c r="D2004" i="9"/>
  <c r="D1652" i="9"/>
  <c r="D1105" i="9"/>
  <c r="D322" i="9"/>
  <c r="F178" i="8"/>
  <c r="N177" i="8" s="1"/>
  <c r="M24" i="5"/>
  <c r="J24" i="5"/>
  <c r="D1711" i="9"/>
  <c r="D812" i="9"/>
  <c r="D29" i="9"/>
  <c r="I1691" i="9"/>
  <c r="I792" i="9"/>
  <c r="I9" i="9"/>
  <c r="I1694" i="9"/>
  <c r="I795" i="9"/>
  <c r="I12" i="9"/>
  <c r="H1699" i="9"/>
  <c r="H800" i="9"/>
  <c r="H17" i="9"/>
  <c r="H1702" i="9"/>
  <c r="H803" i="9"/>
  <c r="H20" i="9"/>
  <c r="C25" i="11"/>
  <c r="B25" i="11"/>
  <c r="D145" i="12" s="1"/>
  <c r="F145" i="12" s="1"/>
  <c r="G145" i="12" s="1"/>
  <c r="C1688" i="9"/>
  <c r="C789" i="9"/>
  <c r="C6" i="9"/>
  <c r="AA7" i="9"/>
  <c r="K114" i="4"/>
  <c r="AE132" i="2"/>
  <c r="J1691" i="9"/>
  <c r="J792" i="9"/>
  <c r="J9" i="9"/>
  <c r="C1692" i="9"/>
  <c r="C793" i="9"/>
  <c r="C10" i="9"/>
  <c r="AA11" i="9"/>
  <c r="K118" i="4"/>
  <c r="AE136" i="2"/>
  <c r="J1694" i="9"/>
  <c r="J795" i="9"/>
  <c r="J12" i="9"/>
  <c r="C1695" i="9"/>
  <c r="C796" i="9"/>
  <c r="C13" i="9"/>
  <c r="AE140" i="2"/>
  <c r="AA16" i="9"/>
  <c r="K123" i="4"/>
  <c r="AE144" i="2"/>
  <c r="C1700" i="9"/>
  <c r="C801" i="9"/>
  <c r="C18" i="9"/>
  <c r="AA19" i="9"/>
  <c r="K126" i="4"/>
  <c r="AE148" i="2"/>
  <c r="J1703" i="9"/>
  <c r="J804" i="9"/>
  <c r="J21" i="9"/>
  <c r="C1704" i="9"/>
  <c r="C805" i="9"/>
  <c r="C22" i="9"/>
  <c r="AA23" i="9"/>
  <c r="K130" i="4"/>
  <c r="AE152" i="2"/>
  <c r="C1707" i="9"/>
  <c r="C808" i="9"/>
  <c r="C25" i="9"/>
  <c r="AE156" i="2"/>
  <c r="I1711" i="9"/>
  <c r="I812" i="9"/>
  <c r="I29" i="9"/>
  <c r="AE161" i="2"/>
  <c r="Z163" i="2"/>
  <c r="D1715" i="9"/>
  <c r="D816" i="9"/>
  <c r="D33" i="9"/>
  <c r="C1716" i="9"/>
  <c r="C817" i="9"/>
  <c r="C34" i="9"/>
  <c r="AA35" i="9"/>
  <c r="K142" i="4"/>
  <c r="AG166" i="2"/>
  <c r="Z169" i="2"/>
  <c r="D1721" i="9"/>
  <c r="D822" i="9"/>
  <c r="D39" i="9"/>
  <c r="C1722" i="9"/>
  <c r="C823" i="9"/>
  <c r="C40" i="9"/>
  <c r="AA41" i="9"/>
  <c r="K148" i="4"/>
  <c r="AG172" i="2"/>
  <c r="D1725" i="9"/>
  <c r="D826" i="9"/>
  <c r="D43" i="9"/>
  <c r="C1726" i="9"/>
  <c r="C827" i="9"/>
  <c r="C44" i="9"/>
  <c r="AA45" i="9"/>
  <c r="K152" i="4"/>
  <c r="Z181" i="2"/>
  <c r="D1730" i="9"/>
  <c r="D831" i="9"/>
  <c r="D48" i="9"/>
  <c r="C1731" i="9"/>
  <c r="C832" i="9"/>
  <c r="C49" i="9"/>
  <c r="AA50" i="9"/>
  <c r="K158" i="4"/>
  <c r="AG184" i="2"/>
  <c r="Z187" i="2"/>
  <c r="C1736" i="9"/>
  <c r="C837" i="9"/>
  <c r="C54" i="9"/>
  <c r="AA55" i="9"/>
  <c r="K163" i="4"/>
  <c r="Z193" i="2"/>
  <c r="D1741" i="9"/>
  <c r="D842" i="9"/>
  <c r="D59" i="9"/>
  <c r="C1742" i="9"/>
  <c r="C1144" i="9"/>
  <c r="C843" i="9"/>
  <c r="C60" i="9"/>
  <c r="AG196" i="2"/>
  <c r="J1145" i="9" s="1"/>
  <c r="Z199" i="2"/>
  <c r="D1148" i="9" s="1"/>
  <c r="C1747" i="9"/>
  <c r="C1149" i="9"/>
  <c r="C848" i="9"/>
  <c r="C65" i="9"/>
  <c r="AA66" i="9"/>
  <c r="K174" i="4"/>
  <c r="D1751" i="9"/>
  <c r="D852" i="9"/>
  <c r="D69" i="9"/>
  <c r="C1752" i="9"/>
  <c r="C1154" i="9"/>
  <c r="C853" i="9"/>
  <c r="C70" i="9"/>
  <c r="AA71" i="9"/>
  <c r="K179" i="4"/>
  <c r="AG208" i="2"/>
  <c r="J1155" i="9" s="1"/>
  <c r="Z211" i="2"/>
  <c r="D1157" i="9" s="1"/>
  <c r="D1756" i="9"/>
  <c r="D857" i="9"/>
  <c r="D74" i="9"/>
  <c r="C1757" i="9"/>
  <c r="C858" i="9"/>
  <c r="C1159" i="9"/>
  <c r="C75" i="9"/>
  <c r="AA76" i="9"/>
  <c r="K184" i="4"/>
  <c r="D1761" i="9"/>
  <c r="D862" i="9"/>
  <c r="D79" i="9"/>
  <c r="C1762" i="9"/>
  <c r="C1164" i="9"/>
  <c r="C863" i="9"/>
  <c r="C80" i="9"/>
  <c r="AG220" i="2"/>
  <c r="J1165" i="9" s="1"/>
  <c r="Z223" i="2"/>
  <c r="D1167" i="9" s="1"/>
  <c r="D1766" i="9"/>
  <c r="D867" i="9"/>
  <c r="D84" i="9"/>
  <c r="C1767" i="9"/>
  <c r="C1169" i="9"/>
  <c r="C868" i="9"/>
  <c r="C85" i="9"/>
  <c r="AA86" i="9"/>
  <c r="K194" i="4"/>
  <c r="AG226" i="2"/>
  <c r="J1170" i="9" s="1"/>
  <c r="Z229" i="2"/>
  <c r="D1173" i="9" s="1"/>
  <c r="D1772" i="9"/>
  <c r="D873" i="9"/>
  <c r="D90" i="9"/>
  <c r="C1773" i="9"/>
  <c r="C1175" i="9"/>
  <c r="C874" i="9"/>
  <c r="C91" i="9"/>
  <c r="AA92" i="9"/>
  <c r="K200" i="4"/>
  <c r="AG232" i="2"/>
  <c r="J1176" i="9" s="1"/>
  <c r="Z235" i="2"/>
  <c r="D1179" i="9" s="1"/>
  <c r="D1778" i="9"/>
  <c r="D879" i="9"/>
  <c r="D96" i="9"/>
  <c r="Z241" i="2"/>
  <c r="D1183" i="9" s="1"/>
  <c r="D1782" i="9"/>
  <c r="D883" i="9"/>
  <c r="D100" i="9"/>
  <c r="AA101" i="9"/>
  <c r="K210" i="4"/>
  <c r="AG244" i="2"/>
  <c r="J1185" i="9" s="1"/>
  <c r="Z247" i="2"/>
  <c r="D1188" i="9" s="1"/>
  <c r="D1787" i="9"/>
  <c r="D888" i="9"/>
  <c r="D105" i="9"/>
  <c r="C1788" i="9"/>
  <c r="C1190" i="9"/>
  <c r="C889" i="9"/>
  <c r="C106" i="9"/>
  <c r="AA107" i="9"/>
  <c r="K216" i="4"/>
  <c r="AG250" i="2"/>
  <c r="J1191" i="9" s="1"/>
  <c r="Z253" i="2"/>
  <c r="D1193" i="9" s="1"/>
  <c r="D1792" i="9"/>
  <c r="D893" i="9"/>
  <c r="D110" i="9"/>
  <c r="C1793" i="9"/>
  <c r="C1195" i="9"/>
  <c r="C894" i="9"/>
  <c r="C111" i="9"/>
  <c r="AG256" i="2"/>
  <c r="J1196" i="9" s="1"/>
  <c r="Z259" i="2"/>
  <c r="D1199" i="9" s="1"/>
  <c r="D1798" i="9"/>
  <c r="D1446" i="9"/>
  <c r="D899" i="9"/>
  <c r="D116" i="9"/>
  <c r="H84" i="8"/>
  <c r="P84" i="8" s="1"/>
  <c r="C1799" i="9"/>
  <c r="C1447" i="9"/>
  <c r="C1201" i="9"/>
  <c r="C900" i="9"/>
  <c r="C117" i="9"/>
  <c r="AA118" i="9"/>
  <c r="K227" i="4"/>
  <c r="AG262" i="2"/>
  <c r="J1202" i="9" s="1"/>
  <c r="Z265" i="2"/>
  <c r="D1204" i="9" s="1"/>
  <c r="D1803" i="9"/>
  <c r="D1451" i="9"/>
  <c r="D904" i="9"/>
  <c r="D121" i="9"/>
  <c r="H89" i="8"/>
  <c r="P89" i="8" s="1"/>
  <c r="C1804" i="9"/>
  <c r="C1452" i="9"/>
  <c r="C1206" i="9"/>
  <c r="C905" i="9"/>
  <c r="C122" i="9"/>
  <c r="Z271" i="2"/>
  <c r="D1209" i="9" s="1"/>
  <c r="C1808" i="9"/>
  <c r="C1456" i="9"/>
  <c r="C1210" i="9"/>
  <c r="C909" i="9"/>
  <c r="C126" i="9"/>
  <c r="AA127" i="9"/>
  <c r="K236" i="4"/>
  <c r="AG274" i="2"/>
  <c r="J1211" i="9" s="1"/>
  <c r="J1813" i="9"/>
  <c r="J1461" i="9"/>
  <c r="J914" i="9"/>
  <c r="J131" i="9"/>
  <c r="J1814" i="9"/>
  <c r="J1462" i="9"/>
  <c r="J915" i="9"/>
  <c r="J132" i="9"/>
  <c r="C1815" i="9"/>
  <c r="C1463" i="9"/>
  <c r="C1217" i="9"/>
  <c r="C916" i="9"/>
  <c r="C133" i="9"/>
  <c r="C1816" i="9"/>
  <c r="C1464" i="9"/>
  <c r="C1218" i="9"/>
  <c r="C917" i="9"/>
  <c r="C134" i="9"/>
  <c r="AA135" i="9"/>
  <c r="K244" i="4"/>
  <c r="AG282" i="2"/>
  <c r="J1219" i="9" s="1"/>
  <c r="AE283" i="2"/>
  <c r="H1220" i="9" s="1"/>
  <c r="J1820" i="9"/>
  <c r="J1468" i="9"/>
  <c r="J921" i="9"/>
  <c r="J138" i="9"/>
  <c r="J1821" i="9"/>
  <c r="J1469" i="9"/>
  <c r="J922" i="9"/>
  <c r="J139" i="9"/>
  <c r="C1822" i="9"/>
  <c r="C1470" i="9"/>
  <c r="C1224" i="9"/>
  <c r="C923" i="9"/>
  <c r="C140" i="9"/>
  <c r="C1823" i="9"/>
  <c r="C1471" i="9"/>
  <c r="C1225" i="9"/>
  <c r="C924" i="9"/>
  <c r="C141" i="9"/>
  <c r="AA142" i="9"/>
  <c r="K251" i="4"/>
  <c r="AG290" i="2"/>
  <c r="J1226" i="9" s="1"/>
  <c r="AF291" i="2"/>
  <c r="I1227" i="9" s="1"/>
  <c r="Z295" i="2"/>
  <c r="D1231" i="9" s="1"/>
  <c r="H1830" i="9"/>
  <c r="H1478" i="9"/>
  <c r="H931" i="9"/>
  <c r="H148" i="9"/>
  <c r="AE359" i="2"/>
  <c r="H1287" i="9" s="1"/>
  <c r="I1832" i="9"/>
  <c r="I1480" i="9"/>
  <c r="I933" i="9"/>
  <c r="I150" i="9"/>
  <c r="H1833" i="9"/>
  <c r="H1481" i="9"/>
  <c r="H934" i="9"/>
  <c r="H151" i="9"/>
  <c r="AE362" i="2"/>
  <c r="H1290" i="9" s="1"/>
  <c r="C1839" i="9"/>
  <c r="C1487" i="9"/>
  <c r="C1241" i="9"/>
  <c r="C940" i="9"/>
  <c r="C157" i="9"/>
  <c r="AG311" i="2"/>
  <c r="J1244" i="9" s="1"/>
  <c r="AA162" i="9"/>
  <c r="K272" i="4"/>
  <c r="AE313" i="2"/>
  <c r="H1246" i="9" s="1"/>
  <c r="H1848" i="9"/>
  <c r="H1496" i="9"/>
  <c r="H949" i="9"/>
  <c r="H166" i="9"/>
  <c r="C1850" i="9"/>
  <c r="C1498" i="9"/>
  <c r="C1252" i="9"/>
  <c r="C951" i="9"/>
  <c r="C168" i="9"/>
  <c r="AG323" i="2"/>
  <c r="J1255" i="9" s="1"/>
  <c r="AA173" i="9"/>
  <c r="K283" i="4"/>
  <c r="AE325" i="2"/>
  <c r="H1257" i="9" s="1"/>
  <c r="H1859" i="9"/>
  <c r="H1507" i="9"/>
  <c r="H960" i="9"/>
  <c r="H177" i="9"/>
  <c r="C1860" i="9"/>
  <c r="C1508" i="9"/>
  <c r="C1262" i="9"/>
  <c r="C961" i="9"/>
  <c r="C178" i="9"/>
  <c r="AA182" i="9"/>
  <c r="K292" i="4"/>
  <c r="AE337" i="2"/>
  <c r="H1266" i="9" s="1"/>
  <c r="H1869" i="9"/>
  <c r="H1517" i="9"/>
  <c r="H970" i="9"/>
  <c r="H187" i="9"/>
  <c r="AE405" i="2"/>
  <c r="H1327" i="9" s="1"/>
  <c r="J1870" i="9"/>
  <c r="J1518" i="9"/>
  <c r="J971" i="9"/>
  <c r="J188" i="9"/>
  <c r="AG406" i="2"/>
  <c r="J1328" i="9" s="1"/>
  <c r="D1871" i="9"/>
  <c r="D1519" i="9"/>
  <c r="D972" i="9"/>
  <c r="D189" i="9"/>
  <c r="I1873" i="9"/>
  <c r="I1521" i="9"/>
  <c r="I974" i="9"/>
  <c r="I191" i="9"/>
  <c r="I1875" i="9"/>
  <c r="I1523" i="9"/>
  <c r="I976" i="9"/>
  <c r="I193" i="9"/>
  <c r="AF412" i="2"/>
  <c r="I1333" i="9" s="1"/>
  <c r="AG349" i="2"/>
  <c r="J1277" i="9" s="1"/>
  <c r="AG350" i="2"/>
  <c r="J1278" i="9" s="1"/>
  <c r="Z359" i="2"/>
  <c r="D1287" i="9" s="1"/>
  <c r="D1888" i="9"/>
  <c r="D1536" i="9"/>
  <c r="D989" i="9"/>
  <c r="D206" i="9"/>
  <c r="Z425" i="2"/>
  <c r="D1346" i="9" s="1"/>
  <c r="I1890" i="9"/>
  <c r="I1538" i="9"/>
  <c r="I991" i="9"/>
  <c r="I208" i="9"/>
  <c r="I1891" i="9"/>
  <c r="I1539" i="9"/>
  <c r="I992" i="9"/>
  <c r="I209" i="9"/>
  <c r="AF430" i="2"/>
  <c r="I1350" i="9" s="1"/>
  <c r="AG371" i="2"/>
  <c r="J1296" i="9" s="1"/>
  <c r="AG375" i="2"/>
  <c r="J1300" i="9" s="1"/>
  <c r="AG379" i="2"/>
  <c r="J1303" i="9" s="1"/>
  <c r="AA221" i="9"/>
  <c r="K332" i="4"/>
  <c r="AF381" i="2"/>
  <c r="I1305" i="9" s="1"/>
  <c r="AG383" i="2"/>
  <c r="J1307" i="9" s="1"/>
  <c r="AA225" i="9"/>
  <c r="K336" i="4"/>
  <c r="AG387" i="2"/>
  <c r="J1311" i="9" s="1"/>
  <c r="AA229" i="9"/>
  <c r="K340" i="4"/>
  <c r="AG391" i="2"/>
  <c r="J1315" i="9" s="1"/>
  <c r="AA233" i="9"/>
  <c r="K344" i="4"/>
  <c r="H1916" i="9"/>
  <c r="H1564" i="9"/>
  <c r="H1017" i="9"/>
  <c r="H234" i="9"/>
  <c r="AE458" i="2"/>
  <c r="H1375" i="9" s="1"/>
  <c r="H1918" i="9"/>
  <c r="H1566" i="9"/>
  <c r="H1019" i="9"/>
  <c r="H236" i="9"/>
  <c r="AE460" i="2"/>
  <c r="H1377" i="9" s="1"/>
  <c r="H1919" i="9"/>
  <c r="H1567" i="9"/>
  <c r="H1020" i="9"/>
  <c r="H237" i="9"/>
  <c r="AE462" i="2"/>
  <c r="H1378" i="9" s="1"/>
  <c r="H1921" i="9"/>
  <c r="H1569" i="9"/>
  <c r="H1022" i="9"/>
  <c r="H239" i="9"/>
  <c r="AE464" i="2"/>
  <c r="H1380" i="9" s="1"/>
  <c r="H1923" i="9"/>
  <c r="H1571" i="9"/>
  <c r="H1024" i="9"/>
  <c r="H241" i="9"/>
  <c r="AE466" i="2"/>
  <c r="H1382" i="9" s="1"/>
  <c r="H1925" i="9"/>
  <c r="H1573" i="9"/>
  <c r="H1026" i="9"/>
  <c r="H243" i="9"/>
  <c r="AE468" i="2"/>
  <c r="H1384" i="9" s="1"/>
  <c r="I1927" i="9"/>
  <c r="I1575" i="9"/>
  <c r="I1028" i="9"/>
  <c r="I245" i="9"/>
  <c r="AF470" i="2"/>
  <c r="I1386" i="9" s="1"/>
  <c r="D1939" i="9"/>
  <c r="D1587" i="9"/>
  <c r="D1040" i="9"/>
  <c r="D257" i="9"/>
  <c r="H1941" i="9"/>
  <c r="H1589" i="9"/>
  <c r="H1042" i="9"/>
  <c r="H259" i="9"/>
  <c r="AE485" i="2"/>
  <c r="H1400" i="9" s="1"/>
  <c r="Z423" i="2"/>
  <c r="D1344" i="9" s="1"/>
  <c r="H1967" i="9"/>
  <c r="H1615" i="9"/>
  <c r="H1068" i="9"/>
  <c r="H285" i="9"/>
  <c r="H1969" i="9"/>
  <c r="H1617" i="9"/>
  <c r="H1070" i="9"/>
  <c r="H287" i="9"/>
  <c r="H1996" i="9"/>
  <c r="H1644" i="9"/>
  <c r="H1097" i="9"/>
  <c r="H314" i="9"/>
  <c r="H2017" i="9"/>
  <c r="H1665" i="9"/>
  <c r="H1118" i="9"/>
  <c r="H335" i="9"/>
  <c r="K117" i="4"/>
  <c r="K125" i="4"/>
  <c r="K133" i="4"/>
  <c r="K141" i="4"/>
  <c r="K149" i="4"/>
  <c r="K157" i="4"/>
  <c r="K165" i="4"/>
  <c r="K173" i="4"/>
  <c r="K181" i="4"/>
  <c r="K189" i="4"/>
  <c r="K197" i="4"/>
  <c r="K205" i="4"/>
  <c r="K213" i="4"/>
  <c r="K221" i="4"/>
  <c r="K229" i="4"/>
  <c r="K237" i="4"/>
  <c r="K245" i="4"/>
  <c r="K253" i="4"/>
  <c r="K261" i="4"/>
  <c r="K269" i="4"/>
  <c r="K293" i="4"/>
  <c r="K317" i="4"/>
  <c r="K325" i="4"/>
  <c r="H1690" i="9"/>
  <c r="H791" i="9"/>
  <c r="H8" i="9"/>
  <c r="AA33" i="9"/>
  <c r="K140" i="4"/>
  <c r="AF68" i="2"/>
  <c r="D739" i="9"/>
  <c r="H161" i="8"/>
  <c r="P161" i="8" s="1"/>
  <c r="H9" i="8"/>
  <c r="P9" i="8" s="1"/>
  <c r="D742" i="9"/>
  <c r="H164" i="8"/>
  <c r="P164" i="8" s="1"/>
  <c r="H12" i="8"/>
  <c r="P12" i="8" s="1"/>
  <c r="D751" i="9"/>
  <c r="H22" i="8"/>
  <c r="P21" i="8" s="1"/>
  <c r="H174" i="8"/>
  <c r="P173" i="8" s="1"/>
  <c r="D761" i="9"/>
  <c r="H184" i="8"/>
  <c r="P183" i="8" s="1"/>
  <c r="H32" i="8"/>
  <c r="P31" i="8" s="1"/>
  <c r="Z162" i="2"/>
  <c r="D765" i="9"/>
  <c r="H188" i="8"/>
  <c r="P187" i="8" s="1"/>
  <c r="H36" i="8"/>
  <c r="P35" i="8" s="1"/>
  <c r="Z166" i="2"/>
  <c r="D769" i="9"/>
  <c r="H192" i="8"/>
  <c r="P191" i="8" s="1"/>
  <c r="H40" i="8"/>
  <c r="P39" i="8" s="1"/>
  <c r="Z170" i="2"/>
  <c r="D775" i="9"/>
  <c r="H46" i="8"/>
  <c r="P45" i="8" s="1"/>
  <c r="H198" i="8"/>
  <c r="P197" i="8" s="1"/>
  <c r="Z178" i="2"/>
  <c r="D778" i="9"/>
  <c r="H202" i="8"/>
  <c r="P201" i="8" s="1"/>
  <c r="H50" i="8"/>
  <c r="P49" i="8" s="1"/>
  <c r="Z182" i="2"/>
  <c r="D782" i="9"/>
  <c r="H205" i="8"/>
  <c r="P204" i="8" s="1"/>
  <c r="H53" i="8"/>
  <c r="P52" i="8" s="1"/>
  <c r="Z186" i="2"/>
  <c r="D785" i="9"/>
  <c r="H208" i="8"/>
  <c r="P207" i="8" s="1"/>
  <c r="H56" i="8"/>
  <c r="P55" i="8" s="1"/>
  <c r="Z190" i="2"/>
  <c r="D1688" i="9"/>
  <c r="D789" i="9"/>
  <c r="D6" i="9"/>
  <c r="Z194" i="2"/>
  <c r="D1143" i="9" s="1"/>
  <c r="AF132" i="2"/>
  <c r="Z134" i="2"/>
  <c r="D1692" i="9"/>
  <c r="D793" i="9"/>
  <c r="D10" i="9"/>
  <c r="Z198" i="2"/>
  <c r="D1147" i="9" s="1"/>
  <c r="AF136" i="2"/>
  <c r="Z138" i="2"/>
  <c r="D1695" i="9"/>
  <c r="D796" i="9"/>
  <c r="D13" i="9"/>
  <c r="Z202" i="2"/>
  <c r="D1150" i="9" s="1"/>
  <c r="AF140" i="2"/>
  <c r="AF144" i="2"/>
  <c r="D1700" i="9"/>
  <c r="D801" i="9"/>
  <c r="D18" i="9"/>
  <c r="Z210" i="2"/>
  <c r="D1156" i="9" s="1"/>
  <c r="AF148" i="2"/>
  <c r="Z150" i="2"/>
  <c r="D1704" i="9"/>
  <c r="D805" i="9"/>
  <c r="D22" i="9"/>
  <c r="Z214" i="2"/>
  <c r="D1160" i="9" s="1"/>
  <c r="AF152" i="2"/>
  <c r="D1707" i="9"/>
  <c r="D808" i="9"/>
  <c r="D25" i="9"/>
  <c r="Z218" i="2"/>
  <c r="D1163" i="9" s="1"/>
  <c r="AG156" i="2"/>
  <c r="J1710" i="9"/>
  <c r="J811" i="9"/>
  <c r="J28" i="9"/>
  <c r="C1711" i="9"/>
  <c r="C812" i="9"/>
  <c r="C29" i="9"/>
  <c r="AF161" i="2"/>
  <c r="H1715" i="9"/>
  <c r="H816" i="9"/>
  <c r="H33" i="9"/>
  <c r="AA36" i="9"/>
  <c r="K143" i="4"/>
  <c r="H1721" i="9"/>
  <c r="H822" i="9"/>
  <c r="H39" i="9"/>
  <c r="AE173" i="2"/>
  <c r="H1725" i="9"/>
  <c r="H826" i="9"/>
  <c r="H43" i="9"/>
  <c r="H1730" i="9"/>
  <c r="H831" i="9"/>
  <c r="H48" i="9"/>
  <c r="AA51" i="9"/>
  <c r="K159" i="4"/>
  <c r="AE185" i="2"/>
  <c r="AA56" i="9"/>
  <c r="K164" i="4"/>
  <c r="H1741" i="9"/>
  <c r="H842" i="9"/>
  <c r="H59" i="9"/>
  <c r="AA62" i="9"/>
  <c r="K170" i="4"/>
  <c r="AE197" i="2"/>
  <c r="H1146" i="9" s="1"/>
  <c r="AA67" i="9"/>
  <c r="K175" i="4"/>
  <c r="H1751" i="9"/>
  <c r="H852" i="9"/>
  <c r="H69" i="9"/>
  <c r="H1756" i="9"/>
  <c r="H857" i="9"/>
  <c r="H74" i="9"/>
  <c r="H1761" i="9"/>
  <c r="H862" i="9"/>
  <c r="H79" i="9"/>
  <c r="H1766" i="9"/>
  <c r="H867" i="9"/>
  <c r="H84" i="9"/>
  <c r="AA87" i="9"/>
  <c r="K195" i="4"/>
  <c r="AE227" i="2"/>
  <c r="H1171" i="9" s="1"/>
  <c r="H1772" i="9"/>
  <c r="H873" i="9"/>
  <c r="H90" i="9"/>
  <c r="AE233" i="2"/>
  <c r="H1177" i="9" s="1"/>
  <c r="H1778" i="9"/>
  <c r="H879" i="9"/>
  <c r="H96" i="9"/>
  <c r="AE299" i="2"/>
  <c r="H1235" i="9" s="1"/>
  <c r="AE239" i="2"/>
  <c r="H1181" i="9" s="1"/>
  <c r="H1782" i="9"/>
  <c r="H883" i="9"/>
  <c r="H100" i="9"/>
  <c r="AA102" i="9"/>
  <c r="K211" i="4"/>
  <c r="AE245" i="2"/>
  <c r="H1186" i="9" s="1"/>
  <c r="H1787" i="9"/>
  <c r="H888" i="9"/>
  <c r="H105" i="9"/>
  <c r="AE311" i="2"/>
  <c r="H1244" i="9" s="1"/>
  <c r="H1792" i="9"/>
  <c r="H893" i="9"/>
  <c r="H110" i="9"/>
  <c r="AA113" i="9"/>
  <c r="K222" i="4"/>
  <c r="AE257" i="2"/>
  <c r="H1197" i="9" s="1"/>
  <c r="H1798" i="9"/>
  <c r="H1446" i="9"/>
  <c r="H899" i="9"/>
  <c r="H116" i="9"/>
  <c r="AE323" i="2"/>
  <c r="H1255" i="9" s="1"/>
  <c r="H1803" i="9"/>
  <c r="H1451" i="9"/>
  <c r="H904" i="9"/>
  <c r="H121" i="9"/>
  <c r="AA123" i="9"/>
  <c r="K232" i="4"/>
  <c r="AE269" i="2"/>
  <c r="H1207" i="9" s="1"/>
  <c r="AF275" i="2"/>
  <c r="I1212" i="9" s="1"/>
  <c r="Z279" i="2"/>
  <c r="D1216" i="9" s="1"/>
  <c r="D1815" i="9"/>
  <c r="D1463" i="9"/>
  <c r="D916" i="9"/>
  <c r="D133" i="9"/>
  <c r="H101" i="8"/>
  <c r="P101" i="8" s="1"/>
  <c r="AF283" i="2"/>
  <c r="I1220" i="9" s="1"/>
  <c r="Z287" i="2"/>
  <c r="D1223" i="9" s="1"/>
  <c r="D1822" i="9"/>
  <c r="D1470" i="9"/>
  <c r="D923" i="9"/>
  <c r="D140" i="9"/>
  <c r="H108" i="8"/>
  <c r="P108" i="8" s="1"/>
  <c r="AG291" i="2"/>
  <c r="J1227" i="9" s="1"/>
  <c r="AE292" i="2"/>
  <c r="H1228" i="9" s="1"/>
  <c r="J1830" i="9"/>
  <c r="J1478" i="9"/>
  <c r="J931" i="9"/>
  <c r="J148" i="9"/>
  <c r="I1833" i="9"/>
  <c r="I1481" i="9"/>
  <c r="I934" i="9"/>
  <c r="I151" i="9"/>
  <c r="AF362" i="2"/>
  <c r="I1290" i="9" s="1"/>
  <c r="J1838" i="9"/>
  <c r="J1486" i="9"/>
  <c r="J939" i="9"/>
  <c r="J156" i="9"/>
  <c r="D1839" i="9"/>
  <c r="D1487" i="9"/>
  <c r="D940" i="9"/>
  <c r="D157" i="9"/>
  <c r="H126" i="8"/>
  <c r="P126" i="8" s="1"/>
  <c r="H1840" i="9"/>
  <c r="H1488" i="9"/>
  <c r="H941" i="9"/>
  <c r="H158" i="9"/>
  <c r="AE372" i="2"/>
  <c r="H1297" i="9" s="1"/>
  <c r="I1841" i="9"/>
  <c r="I1489" i="9"/>
  <c r="I942" i="9"/>
  <c r="I159" i="9"/>
  <c r="H1842" i="9"/>
  <c r="H1490" i="9"/>
  <c r="H943" i="9"/>
  <c r="H160" i="9"/>
  <c r="AE374" i="2"/>
  <c r="H1299" i="9" s="1"/>
  <c r="AF313" i="2"/>
  <c r="I1246" i="9" s="1"/>
  <c r="J1849" i="9"/>
  <c r="J1497" i="9"/>
  <c r="J950" i="9"/>
  <c r="J167" i="9"/>
  <c r="AG382" i="2"/>
  <c r="J1306" i="9" s="1"/>
  <c r="D1850" i="9"/>
  <c r="D1498" i="9"/>
  <c r="D951" i="9"/>
  <c r="D168" i="9"/>
  <c r="H1851" i="9"/>
  <c r="H1499" i="9"/>
  <c r="H952" i="9"/>
  <c r="H169" i="9"/>
  <c r="AE384" i="2"/>
  <c r="H1308" i="9" s="1"/>
  <c r="I1852" i="9"/>
  <c r="I1500" i="9"/>
  <c r="I953" i="9"/>
  <c r="I170" i="9"/>
  <c r="H1853" i="9"/>
  <c r="H1501" i="9"/>
  <c r="H954" i="9"/>
  <c r="H171" i="9"/>
  <c r="AE386" i="2"/>
  <c r="H1310" i="9" s="1"/>
  <c r="AF325" i="2"/>
  <c r="I1257" i="9" s="1"/>
  <c r="D1860" i="9"/>
  <c r="D1508" i="9"/>
  <c r="D961" i="9"/>
  <c r="D178" i="9"/>
  <c r="H1861" i="9"/>
  <c r="H1509" i="9"/>
  <c r="H962" i="9"/>
  <c r="H179" i="9"/>
  <c r="AE396" i="2"/>
  <c r="H1319" i="9" s="1"/>
  <c r="I1862" i="9"/>
  <c r="I1510" i="9"/>
  <c r="I963" i="9"/>
  <c r="I180" i="9"/>
  <c r="AF337" i="2"/>
  <c r="I1266" i="9" s="1"/>
  <c r="Z343" i="2"/>
  <c r="D1272" i="9" s="1"/>
  <c r="H1871" i="9"/>
  <c r="H1519" i="9"/>
  <c r="H972" i="9"/>
  <c r="H189" i="9"/>
  <c r="AE407" i="2"/>
  <c r="H1329" i="9" s="1"/>
  <c r="AA197" i="9"/>
  <c r="K307" i="4"/>
  <c r="AE353" i="2"/>
  <c r="H1281" i="9" s="1"/>
  <c r="Z361" i="2"/>
  <c r="D1289" i="9" s="1"/>
  <c r="H1888" i="9"/>
  <c r="H1536" i="9"/>
  <c r="H989" i="9"/>
  <c r="H206" i="9"/>
  <c r="AE425" i="2"/>
  <c r="H1346" i="9" s="1"/>
  <c r="H1889" i="9"/>
  <c r="H1537" i="9"/>
  <c r="H990" i="9"/>
  <c r="H207" i="9"/>
  <c r="AE428" i="2"/>
  <c r="H1348" i="9" s="1"/>
  <c r="H1894" i="9"/>
  <c r="H1542" i="9"/>
  <c r="H995" i="9"/>
  <c r="H212" i="9"/>
  <c r="AE434" i="2"/>
  <c r="H1353" i="9" s="1"/>
  <c r="H1896" i="9"/>
  <c r="H1544" i="9"/>
  <c r="H997" i="9"/>
  <c r="H214" i="9"/>
  <c r="AE436" i="2"/>
  <c r="H1355" i="9" s="1"/>
  <c r="H1898" i="9"/>
  <c r="H1546" i="9"/>
  <c r="H999" i="9"/>
  <c r="H216" i="9"/>
  <c r="AE438" i="2"/>
  <c r="H1357" i="9" s="1"/>
  <c r="H1901" i="9"/>
  <c r="H1549" i="9"/>
  <c r="H1002" i="9"/>
  <c r="H219" i="9"/>
  <c r="AE442" i="2"/>
  <c r="H1360" i="9" s="1"/>
  <c r="H1903" i="9"/>
  <c r="H1551" i="9"/>
  <c r="H1004" i="9"/>
  <c r="H221" i="9"/>
  <c r="AE444" i="2"/>
  <c r="H1362" i="9" s="1"/>
  <c r="H1905" i="9"/>
  <c r="H1553" i="9"/>
  <c r="H1006" i="9"/>
  <c r="H223" i="9"/>
  <c r="AE446" i="2"/>
  <c r="H1364" i="9" s="1"/>
  <c r="H1907" i="9"/>
  <c r="H1555" i="9"/>
  <c r="H1008" i="9"/>
  <c r="H225" i="9"/>
  <c r="AE448" i="2"/>
  <c r="H1366" i="9" s="1"/>
  <c r="H1909" i="9"/>
  <c r="H1557" i="9"/>
  <c r="H1010" i="9"/>
  <c r="H227" i="9"/>
  <c r="AE450" i="2"/>
  <c r="H1368" i="9" s="1"/>
  <c r="H1911" i="9"/>
  <c r="H1559" i="9"/>
  <c r="H1012" i="9"/>
  <c r="H229" i="9"/>
  <c r="AE452" i="2"/>
  <c r="H1370" i="9" s="1"/>
  <c r="H1913" i="9"/>
  <c r="H1561" i="9"/>
  <c r="H1014" i="9"/>
  <c r="H231" i="9"/>
  <c r="AE454" i="2"/>
  <c r="H1372" i="9" s="1"/>
  <c r="H1915" i="9"/>
  <c r="H1563" i="9"/>
  <c r="H1016" i="9"/>
  <c r="H233" i="9"/>
  <c r="AE456" i="2"/>
  <c r="H1374" i="9" s="1"/>
  <c r="I1916" i="9"/>
  <c r="I1564" i="9"/>
  <c r="I1017" i="9"/>
  <c r="I234" i="9"/>
  <c r="AF458" i="2"/>
  <c r="I1375" i="9" s="1"/>
  <c r="I1919" i="9"/>
  <c r="I1567" i="9"/>
  <c r="I1020" i="9"/>
  <c r="I237" i="9"/>
  <c r="AF462" i="2"/>
  <c r="I1378" i="9" s="1"/>
  <c r="I1923" i="9"/>
  <c r="I1571" i="9"/>
  <c r="I1024" i="9"/>
  <c r="I241" i="9"/>
  <c r="AF466" i="2"/>
  <c r="I1382" i="9" s="1"/>
  <c r="D1935" i="9"/>
  <c r="D1583" i="9"/>
  <c r="D1036" i="9"/>
  <c r="D253" i="9"/>
  <c r="H1937" i="9"/>
  <c r="H1585" i="9"/>
  <c r="H1038" i="9"/>
  <c r="H255" i="9"/>
  <c r="AE481" i="2"/>
  <c r="H1396" i="9" s="1"/>
  <c r="H1963" i="9"/>
  <c r="H1611" i="9"/>
  <c r="H1064" i="9"/>
  <c r="H281" i="9"/>
  <c r="H1965" i="9"/>
  <c r="H1613" i="9"/>
  <c r="H1066" i="9"/>
  <c r="H283" i="9"/>
  <c r="F2094" i="9"/>
  <c r="D1978" i="9"/>
  <c r="D1626" i="9"/>
  <c r="D1079" i="9"/>
  <c r="D296" i="9"/>
  <c r="Z467" i="2"/>
  <c r="D1383" i="9" s="1"/>
  <c r="H1994" i="9"/>
  <c r="H1642" i="9"/>
  <c r="H1095" i="9"/>
  <c r="H312" i="9"/>
  <c r="F2117" i="9"/>
  <c r="D2001" i="9"/>
  <c r="D1649" i="9"/>
  <c r="D1102" i="9"/>
  <c r="D319" i="9"/>
  <c r="Z491" i="2"/>
  <c r="D1405" i="9" s="1"/>
  <c r="H2015" i="9"/>
  <c r="H1663" i="9"/>
  <c r="H1116" i="9"/>
  <c r="H333" i="9"/>
  <c r="F159" i="8"/>
  <c r="N159" i="8" s="1"/>
  <c r="F166" i="8"/>
  <c r="N166" i="8" s="1"/>
  <c r="I1883" i="9"/>
  <c r="I1531" i="9"/>
  <c r="I984" i="9"/>
  <c r="I201" i="9"/>
  <c r="H1886" i="9"/>
  <c r="H1534" i="9"/>
  <c r="H987" i="9"/>
  <c r="H204" i="9"/>
  <c r="I1887" i="9"/>
  <c r="I1535" i="9"/>
  <c r="I988" i="9"/>
  <c r="I205" i="9"/>
  <c r="I1889" i="9"/>
  <c r="I1537" i="9"/>
  <c r="I990" i="9"/>
  <c r="I207" i="9"/>
  <c r="H1892" i="9"/>
  <c r="H1540" i="9"/>
  <c r="H993" i="9"/>
  <c r="H210" i="9"/>
  <c r="H1895" i="9"/>
  <c r="H1543" i="9"/>
  <c r="H996" i="9"/>
  <c r="H213" i="9"/>
  <c r="I1896" i="9"/>
  <c r="I1544" i="9"/>
  <c r="I997" i="9"/>
  <c r="I214" i="9"/>
  <c r="H1899" i="9"/>
  <c r="H1547" i="9"/>
  <c r="H1000" i="9"/>
  <c r="H217" i="9"/>
  <c r="H1902" i="9"/>
  <c r="H1550" i="9"/>
  <c r="H1003" i="9"/>
  <c r="H220" i="9"/>
  <c r="I1903" i="9"/>
  <c r="I1551" i="9"/>
  <c r="I1004" i="9"/>
  <c r="I221" i="9"/>
  <c r="H1906" i="9"/>
  <c r="H1554" i="9"/>
  <c r="H1007" i="9"/>
  <c r="H224" i="9"/>
  <c r="I1907" i="9"/>
  <c r="I1555" i="9"/>
  <c r="I1008" i="9"/>
  <c r="I225" i="9"/>
  <c r="H1910" i="9"/>
  <c r="H1558" i="9"/>
  <c r="H1011" i="9"/>
  <c r="H228" i="9"/>
  <c r="I1911" i="9"/>
  <c r="I1559" i="9"/>
  <c r="I1012" i="9"/>
  <c r="I229" i="9"/>
  <c r="H1914" i="9"/>
  <c r="H1562" i="9"/>
  <c r="H1015" i="9"/>
  <c r="H232" i="9"/>
  <c r="I1915" i="9"/>
  <c r="I1563" i="9"/>
  <c r="I1016" i="9"/>
  <c r="I233" i="9"/>
  <c r="H1917" i="9"/>
  <c r="H1565" i="9"/>
  <c r="H1018" i="9"/>
  <c r="H235" i="9"/>
  <c r="I1918" i="9"/>
  <c r="I1566" i="9"/>
  <c r="I1019" i="9"/>
  <c r="I236" i="9"/>
  <c r="H1920" i="9"/>
  <c r="H1568" i="9"/>
  <c r="H1021" i="9"/>
  <c r="H238" i="9"/>
  <c r="I1921" i="9"/>
  <c r="I1569" i="9"/>
  <c r="I1022" i="9"/>
  <c r="I239" i="9"/>
  <c r="H1924" i="9"/>
  <c r="H1572" i="9"/>
  <c r="H1025" i="9"/>
  <c r="H242" i="9"/>
  <c r="I1925" i="9"/>
  <c r="I1573" i="9"/>
  <c r="I1026" i="9"/>
  <c r="I243" i="9"/>
  <c r="H1928" i="9"/>
  <c r="H1576" i="9"/>
  <c r="H1029" i="9"/>
  <c r="H246" i="9"/>
  <c r="I1929" i="9"/>
  <c r="I1577" i="9"/>
  <c r="I1030" i="9"/>
  <c r="I247" i="9"/>
  <c r="H1931" i="9"/>
  <c r="H1579" i="9"/>
  <c r="H1032" i="9"/>
  <c r="H249" i="9"/>
  <c r="I1932" i="9"/>
  <c r="I1580" i="9"/>
  <c r="I1033" i="9"/>
  <c r="I250" i="9"/>
  <c r="H1935" i="9"/>
  <c r="H1583" i="9"/>
  <c r="H1036" i="9"/>
  <c r="H253" i="9"/>
  <c r="I1936" i="9"/>
  <c r="I1584" i="9"/>
  <c r="I1037" i="9"/>
  <c r="I254" i="9"/>
  <c r="H1939" i="9"/>
  <c r="H1587" i="9"/>
  <c r="H1040" i="9"/>
  <c r="H257" i="9"/>
  <c r="I1940" i="9"/>
  <c r="I1588" i="9"/>
  <c r="I1041" i="9"/>
  <c r="I258" i="9"/>
  <c r="H1943" i="9"/>
  <c r="H1591" i="9"/>
  <c r="H1044" i="9"/>
  <c r="H261" i="9"/>
  <c r="I1944" i="9"/>
  <c r="I1592" i="9"/>
  <c r="I1045" i="9"/>
  <c r="I262" i="9"/>
  <c r="H1946" i="9"/>
  <c r="H1594" i="9"/>
  <c r="H1047" i="9"/>
  <c r="H264" i="9"/>
  <c r="I1947" i="9"/>
  <c r="I1595" i="9"/>
  <c r="I1048" i="9"/>
  <c r="I265" i="9"/>
  <c r="I1950" i="9"/>
  <c r="I1598" i="9"/>
  <c r="I1051" i="9"/>
  <c r="I268" i="9"/>
  <c r="H1953" i="9"/>
  <c r="H1601" i="9"/>
  <c r="H1054" i="9"/>
  <c r="H271" i="9"/>
  <c r="I1954" i="9"/>
  <c r="I1602" i="9"/>
  <c r="I1055" i="9"/>
  <c r="I272" i="9"/>
  <c r="I1957" i="9"/>
  <c r="I1605" i="9"/>
  <c r="I1058" i="9"/>
  <c r="I275" i="9"/>
  <c r="H1960" i="9"/>
  <c r="H1608" i="9"/>
  <c r="H1061" i="9"/>
  <c r="H278" i="9"/>
  <c r="I1961" i="9"/>
  <c r="I1609" i="9"/>
  <c r="I1062" i="9"/>
  <c r="I279" i="9"/>
  <c r="H1964" i="9"/>
  <c r="H1612" i="9"/>
  <c r="H1065" i="9"/>
  <c r="H282" i="9"/>
  <c r="I1965" i="9"/>
  <c r="I1613" i="9"/>
  <c r="I1066" i="9"/>
  <c r="I283" i="9"/>
  <c r="H1968" i="9"/>
  <c r="H1616" i="9"/>
  <c r="H1069" i="9"/>
  <c r="H286" i="9"/>
  <c r="I1969" i="9"/>
  <c r="I1617" i="9"/>
  <c r="I1070" i="9"/>
  <c r="I287" i="9"/>
  <c r="H1972" i="9"/>
  <c r="H1620" i="9"/>
  <c r="H1073" i="9"/>
  <c r="H290" i="9"/>
  <c r="H1975" i="9"/>
  <c r="H1623" i="9"/>
  <c r="H1076" i="9"/>
  <c r="H293" i="9"/>
  <c r="H1978" i="9"/>
  <c r="H1626" i="9"/>
  <c r="H1079" i="9"/>
  <c r="H296" i="9"/>
  <c r="I1979" i="9"/>
  <c r="I1627" i="9"/>
  <c r="I1080" i="9"/>
  <c r="I297" i="9"/>
  <c r="H1982" i="9"/>
  <c r="H1630" i="9"/>
  <c r="H1083" i="9"/>
  <c r="H300" i="9"/>
  <c r="I1983" i="9"/>
  <c r="I1631" i="9"/>
  <c r="I1084" i="9"/>
  <c r="I301" i="9"/>
  <c r="H1986" i="9"/>
  <c r="H1634" i="9"/>
  <c r="H1087" i="9"/>
  <c r="H304" i="9"/>
  <c r="H1989" i="9"/>
  <c r="H1637" i="9"/>
  <c r="H1090" i="9"/>
  <c r="H307" i="9"/>
  <c r="I1990" i="9"/>
  <c r="I1638" i="9"/>
  <c r="I1091" i="9"/>
  <c r="I308" i="9"/>
  <c r="H1993" i="9"/>
  <c r="H1641" i="9"/>
  <c r="H1094" i="9"/>
  <c r="H311" i="9"/>
  <c r="I1994" i="9"/>
  <c r="I1642" i="9"/>
  <c r="I1095" i="9"/>
  <c r="I312" i="9"/>
  <c r="H1997" i="9"/>
  <c r="H1645" i="9"/>
  <c r="H1098" i="9"/>
  <c r="H315" i="9"/>
  <c r="I1998" i="9"/>
  <c r="I1646" i="9"/>
  <c r="I1099" i="9"/>
  <c r="I316" i="9"/>
  <c r="H2001" i="9"/>
  <c r="H1649" i="9"/>
  <c r="H1102" i="9"/>
  <c r="H319" i="9"/>
  <c r="I2002" i="9"/>
  <c r="I1650" i="9"/>
  <c r="I1103" i="9"/>
  <c r="I320" i="9"/>
  <c r="H2004" i="9"/>
  <c r="H1652" i="9"/>
  <c r="H1105" i="9"/>
  <c r="H322" i="9"/>
  <c r="I2005" i="9"/>
  <c r="I1653" i="9"/>
  <c r="I1106" i="9"/>
  <c r="I323" i="9"/>
  <c r="H2007" i="9"/>
  <c r="H1655" i="9"/>
  <c r="H1108" i="9"/>
  <c r="H325" i="9"/>
  <c r="I2008" i="9"/>
  <c r="I1656" i="9"/>
  <c r="I1109" i="9"/>
  <c r="I326" i="9"/>
  <c r="H2011" i="9"/>
  <c r="H1659" i="9"/>
  <c r="H1112" i="9"/>
  <c r="H329" i="9"/>
  <c r="I2012" i="9"/>
  <c r="I1660" i="9"/>
  <c r="I1113" i="9"/>
  <c r="I330" i="9"/>
  <c r="H2014" i="9"/>
  <c r="H1662" i="9"/>
  <c r="H1115" i="9"/>
  <c r="H332" i="9"/>
  <c r="I2015" i="9"/>
  <c r="I1663" i="9"/>
  <c r="I1116" i="9"/>
  <c r="I333" i="9"/>
  <c r="H2018" i="9"/>
  <c r="H1666" i="9"/>
  <c r="H1119" i="9"/>
  <c r="H336" i="9"/>
  <c r="K408" i="4"/>
  <c r="K415" i="4"/>
  <c r="K425" i="4"/>
  <c r="K428" i="4"/>
  <c r="F194" i="8"/>
  <c r="N193" i="8" s="1"/>
  <c r="G448" i="4"/>
  <c r="C210" i="8" s="1"/>
  <c r="E210" i="8" s="1"/>
  <c r="F210" i="8" s="1"/>
  <c r="N209" i="8" s="1"/>
  <c r="K449" i="4"/>
  <c r="D467" i="4"/>
  <c r="N19" i="5"/>
  <c r="H169" i="5"/>
  <c r="I169" i="5" s="1"/>
  <c r="C1868" i="9"/>
  <c r="C1516" i="9"/>
  <c r="C1270" i="9"/>
  <c r="C969" i="9"/>
  <c r="C186" i="9"/>
  <c r="J1871" i="9"/>
  <c r="J1519" i="9"/>
  <c r="J972" i="9"/>
  <c r="J189" i="9"/>
  <c r="C1872" i="9"/>
  <c r="C1520" i="9"/>
  <c r="C1274" i="9"/>
  <c r="C973" i="9"/>
  <c r="C190" i="9"/>
  <c r="J1874" i="9"/>
  <c r="J1522" i="9"/>
  <c r="J975" i="9"/>
  <c r="J192" i="9"/>
  <c r="C1875" i="9"/>
  <c r="C1523" i="9"/>
  <c r="C1277" i="9"/>
  <c r="C976" i="9"/>
  <c r="C193" i="9"/>
  <c r="J1878" i="9"/>
  <c r="J1526" i="9"/>
  <c r="J979" i="9"/>
  <c r="J196" i="9"/>
  <c r="C1879" i="9"/>
  <c r="C1527" i="9"/>
  <c r="C1281" i="9"/>
  <c r="C980" i="9"/>
  <c r="C197" i="9"/>
  <c r="J1882" i="9"/>
  <c r="J1530" i="9"/>
  <c r="J983" i="9"/>
  <c r="J200" i="9"/>
  <c r="C1883" i="9"/>
  <c r="C1531" i="9"/>
  <c r="C1285" i="9"/>
  <c r="C984" i="9"/>
  <c r="C201" i="9"/>
  <c r="J1886" i="9"/>
  <c r="J1534" i="9"/>
  <c r="J987" i="9"/>
  <c r="J204" i="9"/>
  <c r="C1887" i="9"/>
  <c r="C1535" i="9"/>
  <c r="C1289" i="9"/>
  <c r="C988" i="9"/>
  <c r="C205" i="9"/>
  <c r="C1889" i="9"/>
  <c r="C1537" i="9"/>
  <c r="C1291" i="9"/>
  <c r="C990" i="9"/>
  <c r="C207" i="9"/>
  <c r="J1892" i="9"/>
  <c r="J1540" i="9"/>
  <c r="J993" i="9"/>
  <c r="J210" i="9"/>
  <c r="J1895" i="9"/>
  <c r="J1543" i="9"/>
  <c r="J996" i="9"/>
  <c r="J213" i="9"/>
  <c r="C1896" i="9"/>
  <c r="C1544" i="9"/>
  <c r="C1298" i="9"/>
  <c r="C997" i="9"/>
  <c r="C214" i="9"/>
  <c r="J1899" i="9"/>
  <c r="J1547" i="9"/>
  <c r="J1000" i="9"/>
  <c r="J217" i="9"/>
  <c r="J1902" i="9"/>
  <c r="J1550" i="9"/>
  <c r="J1003" i="9"/>
  <c r="J220" i="9"/>
  <c r="C1903" i="9"/>
  <c r="C1551" i="9"/>
  <c r="C1305" i="9"/>
  <c r="C1004" i="9"/>
  <c r="C221" i="9"/>
  <c r="J1906" i="9"/>
  <c r="J1554" i="9"/>
  <c r="J1007" i="9"/>
  <c r="J224" i="9"/>
  <c r="C1907" i="9"/>
  <c r="C1555" i="9"/>
  <c r="C1309" i="9"/>
  <c r="C1008" i="9"/>
  <c r="C225" i="9"/>
  <c r="J1910" i="9"/>
  <c r="J1558" i="9"/>
  <c r="J1011" i="9"/>
  <c r="J228" i="9"/>
  <c r="C1911" i="9"/>
  <c r="C1559" i="9"/>
  <c r="C1313" i="9"/>
  <c r="C1012" i="9"/>
  <c r="C229" i="9"/>
  <c r="J1914" i="9"/>
  <c r="J1562" i="9"/>
  <c r="J1015" i="9"/>
  <c r="J232" i="9"/>
  <c r="C1915" i="9"/>
  <c r="C1563" i="9"/>
  <c r="C1317" i="9"/>
  <c r="C1016" i="9"/>
  <c r="C233" i="9"/>
  <c r="J1917" i="9"/>
  <c r="J1565" i="9"/>
  <c r="J1018" i="9"/>
  <c r="J235" i="9"/>
  <c r="C1918" i="9"/>
  <c r="C1566" i="9"/>
  <c r="C1320" i="9"/>
  <c r="C1019" i="9"/>
  <c r="C236" i="9"/>
  <c r="J1920" i="9"/>
  <c r="J1568" i="9"/>
  <c r="J1021" i="9"/>
  <c r="J238" i="9"/>
  <c r="C1921" i="9"/>
  <c r="C1569" i="9"/>
  <c r="C1323" i="9"/>
  <c r="C1022" i="9"/>
  <c r="C239" i="9"/>
  <c r="J1924" i="9"/>
  <c r="J1572" i="9"/>
  <c r="J1025" i="9"/>
  <c r="J242" i="9"/>
  <c r="C1925" i="9"/>
  <c r="C1573" i="9"/>
  <c r="C1327" i="9"/>
  <c r="C1026" i="9"/>
  <c r="C243" i="9"/>
  <c r="J1928" i="9"/>
  <c r="J1576" i="9"/>
  <c r="J1029" i="9"/>
  <c r="J246" i="9"/>
  <c r="C1929" i="9"/>
  <c r="C1577" i="9"/>
  <c r="C1331" i="9"/>
  <c r="C1030" i="9"/>
  <c r="C247" i="9"/>
  <c r="J1931" i="9"/>
  <c r="J1579" i="9"/>
  <c r="J1032" i="9"/>
  <c r="J249" i="9"/>
  <c r="C1932" i="9"/>
  <c r="C1580" i="9"/>
  <c r="C1334" i="9"/>
  <c r="C1033" i="9"/>
  <c r="C250" i="9"/>
  <c r="J1935" i="9"/>
  <c r="J1583" i="9"/>
  <c r="J1036" i="9"/>
  <c r="J253" i="9"/>
  <c r="C1936" i="9"/>
  <c r="C1584" i="9"/>
  <c r="C1338" i="9"/>
  <c r="C1037" i="9"/>
  <c r="C254" i="9"/>
  <c r="J1939" i="9"/>
  <c r="J1587" i="9"/>
  <c r="J1040" i="9"/>
  <c r="J257" i="9"/>
  <c r="C1940" i="9"/>
  <c r="C1588" i="9"/>
  <c r="C1342" i="9"/>
  <c r="C1041" i="9"/>
  <c r="C258" i="9"/>
  <c r="J1943" i="9"/>
  <c r="J1591" i="9"/>
  <c r="J1044" i="9"/>
  <c r="J261" i="9"/>
  <c r="C1944" i="9"/>
  <c r="C1592" i="9"/>
  <c r="C1346" i="9"/>
  <c r="C1045" i="9"/>
  <c r="C262" i="9"/>
  <c r="J1946" i="9"/>
  <c r="J1594" i="9"/>
  <c r="J1047" i="9"/>
  <c r="J264" i="9"/>
  <c r="C1947" i="9"/>
  <c r="C1595" i="9"/>
  <c r="C1349" i="9"/>
  <c r="C1048" i="9"/>
  <c r="C265" i="9"/>
  <c r="C1950" i="9"/>
  <c r="C1598" i="9"/>
  <c r="C1352" i="9"/>
  <c r="C1051" i="9"/>
  <c r="C268" i="9"/>
  <c r="J1953" i="9"/>
  <c r="J1601" i="9"/>
  <c r="J1054" i="9"/>
  <c r="J271" i="9"/>
  <c r="C1954" i="9"/>
  <c r="C1602" i="9"/>
  <c r="C1356" i="9"/>
  <c r="C1055" i="9"/>
  <c r="C272" i="9"/>
  <c r="C1957" i="9"/>
  <c r="C1605" i="9"/>
  <c r="C1359" i="9"/>
  <c r="C1058" i="9"/>
  <c r="C275" i="9"/>
  <c r="J1960" i="9"/>
  <c r="J1608" i="9"/>
  <c r="J1061" i="9"/>
  <c r="J278" i="9"/>
  <c r="C1961" i="9"/>
  <c r="C1609" i="9"/>
  <c r="C1363" i="9"/>
  <c r="C1062" i="9"/>
  <c r="C279" i="9"/>
  <c r="J1964" i="9"/>
  <c r="J1612" i="9"/>
  <c r="J1065" i="9"/>
  <c r="J282" i="9"/>
  <c r="B2081" i="9"/>
  <c r="C1965" i="9"/>
  <c r="C1613" i="9"/>
  <c r="C1367" i="9"/>
  <c r="C1066" i="9"/>
  <c r="C283" i="9"/>
  <c r="J1968" i="9"/>
  <c r="J1616" i="9"/>
  <c r="J1069" i="9"/>
  <c r="J286" i="9"/>
  <c r="C1969" i="9"/>
  <c r="B2085" i="9"/>
  <c r="C1617" i="9"/>
  <c r="C1371" i="9"/>
  <c r="C1070" i="9"/>
  <c r="C287" i="9"/>
  <c r="J1972" i="9"/>
  <c r="J1620" i="9"/>
  <c r="J1073" i="9"/>
  <c r="J290" i="9"/>
  <c r="J1975" i="9"/>
  <c r="J1623" i="9"/>
  <c r="J1076" i="9"/>
  <c r="J293" i="9"/>
  <c r="J1978" i="9"/>
  <c r="J1626" i="9"/>
  <c r="J1079" i="9"/>
  <c r="J296" i="9"/>
  <c r="C1979" i="9"/>
  <c r="B2095" i="9"/>
  <c r="C1627" i="9"/>
  <c r="C1381" i="9"/>
  <c r="C1080" i="9"/>
  <c r="C297" i="9"/>
  <c r="J1982" i="9"/>
  <c r="J1630" i="9"/>
  <c r="J1083" i="9"/>
  <c r="J300" i="9"/>
  <c r="B2099" i="9"/>
  <c r="C1983" i="9"/>
  <c r="C1631" i="9"/>
  <c r="C1385" i="9"/>
  <c r="C1084" i="9"/>
  <c r="C301" i="9"/>
  <c r="J1986" i="9"/>
  <c r="J1634" i="9"/>
  <c r="J1087" i="9"/>
  <c r="J304" i="9"/>
  <c r="J1989" i="9"/>
  <c r="J1637" i="9"/>
  <c r="J1090" i="9"/>
  <c r="J307" i="9"/>
  <c r="B2106" i="9"/>
  <c r="C1990" i="9"/>
  <c r="C1638" i="9"/>
  <c r="C1392" i="9"/>
  <c r="C1091" i="9"/>
  <c r="C308" i="9"/>
  <c r="J1993" i="9"/>
  <c r="J1641" i="9"/>
  <c r="J1094" i="9"/>
  <c r="J311" i="9"/>
  <c r="B2110" i="9"/>
  <c r="C1994" i="9"/>
  <c r="C1642" i="9"/>
  <c r="C1396" i="9"/>
  <c r="C1095" i="9"/>
  <c r="C312" i="9"/>
  <c r="J1997" i="9"/>
  <c r="J1645" i="9"/>
  <c r="J1098" i="9"/>
  <c r="J315" i="9"/>
  <c r="C1998" i="9"/>
  <c r="B2114" i="9"/>
  <c r="C1646" i="9"/>
  <c r="C1400" i="9"/>
  <c r="C1099" i="9"/>
  <c r="C316" i="9"/>
  <c r="J2001" i="9"/>
  <c r="J1649" i="9"/>
  <c r="J1102" i="9"/>
  <c r="J319" i="9"/>
  <c r="B2118" i="9"/>
  <c r="C2002" i="9"/>
  <c r="C1650" i="9"/>
  <c r="C1404" i="9"/>
  <c r="C1103" i="9"/>
  <c r="C320" i="9"/>
  <c r="J2004" i="9"/>
  <c r="J1652" i="9"/>
  <c r="J1105" i="9"/>
  <c r="J322" i="9"/>
  <c r="C2005" i="9"/>
  <c r="B2121" i="9"/>
  <c r="C1653" i="9"/>
  <c r="C1407" i="9"/>
  <c r="C1106" i="9"/>
  <c r="C323" i="9"/>
  <c r="J2007" i="9"/>
  <c r="J1655" i="9"/>
  <c r="J1108" i="9"/>
  <c r="J325" i="9"/>
  <c r="B2125" i="9"/>
  <c r="C2008" i="9"/>
  <c r="C1656" i="9"/>
  <c r="C1410" i="9"/>
  <c r="C1109" i="9"/>
  <c r="C326" i="9"/>
  <c r="AA327" i="9"/>
  <c r="K440" i="4"/>
  <c r="J2011" i="9"/>
  <c r="J1659" i="9"/>
  <c r="J1112" i="9"/>
  <c r="J329" i="9"/>
  <c r="C2012" i="9"/>
  <c r="B2129" i="9"/>
  <c r="C1414" i="9"/>
  <c r="C1660" i="9"/>
  <c r="C1113" i="9"/>
  <c r="C330" i="9"/>
  <c r="AA331" i="9"/>
  <c r="K444" i="4"/>
  <c r="J2014" i="9"/>
  <c r="J1662" i="9"/>
  <c r="J1115" i="9"/>
  <c r="J332" i="9"/>
  <c r="C2015" i="9"/>
  <c r="B2132" i="9"/>
  <c r="C1663" i="9"/>
  <c r="C1417" i="9"/>
  <c r="C1116" i="9"/>
  <c r="C333" i="9"/>
  <c r="J2018" i="9"/>
  <c r="J1666" i="9"/>
  <c r="J1119" i="9"/>
  <c r="J336" i="9"/>
  <c r="K404" i="4"/>
  <c r="F184" i="8"/>
  <c r="N183" i="8" s="1"/>
  <c r="K431" i="4"/>
  <c r="F199" i="8"/>
  <c r="N198" i="8" s="1"/>
  <c r="B454" i="4"/>
  <c r="G458" i="4"/>
  <c r="G467" i="4"/>
  <c r="H14" i="5"/>
  <c r="I14" i="5" s="1"/>
  <c r="N21" i="5"/>
  <c r="H21" i="5"/>
  <c r="I21" i="5" s="1"/>
  <c r="G24" i="5"/>
  <c r="O24" i="5" s="1"/>
  <c r="F26" i="5"/>
  <c r="M26" i="5" s="1"/>
  <c r="G33" i="5"/>
  <c r="O33" i="5" s="1"/>
  <c r="P33" i="5" s="1"/>
  <c r="N221" i="5"/>
  <c r="H221" i="5"/>
  <c r="I221" i="5" s="1"/>
  <c r="J241" i="5"/>
  <c r="M241" i="5"/>
  <c r="O284" i="5"/>
  <c r="P284" i="5" s="1"/>
  <c r="O286" i="5"/>
  <c r="O299" i="5"/>
  <c r="P299" i="5" s="1"/>
  <c r="D1716" i="9"/>
  <c r="D817" i="9"/>
  <c r="D34" i="9"/>
  <c r="D1720" i="9"/>
  <c r="D821" i="9"/>
  <c r="D38" i="9"/>
  <c r="D1724" i="9"/>
  <c r="D825" i="9"/>
  <c r="D42" i="9"/>
  <c r="D1726" i="9"/>
  <c r="D827" i="9"/>
  <c r="D44" i="9"/>
  <c r="D1729" i="9"/>
  <c r="D830" i="9"/>
  <c r="D47" i="9"/>
  <c r="D1733" i="9"/>
  <c r="D834" i="9"/>
  <c r="D51" i="9"/>
  <c r="D1736" i="9"/>
  <c r="D837" i="9"/>
  <c r="D54" i="9"/>
  <c r="D1740" i="9"/>
  <c r="D841" i="9"/>
  <c r="D58" i="9"/>
  <c r="D1744" i="9"/>
  <c r="D845" i="9"/>
  <c r="D62" i="9"/>
  <c r="D1747" i="9"/>
  <c r="D848" i="9"/>
  <c r="D65" i="9"/>
  <c r="D1757" i="9"/>
  <c r="D858" i="9"/>
  <c r="D75" i="9"/>
  <c r="D1767" i="9"/>
  <c r="D868" i="9"/>
  <c r="D85" i="9"/>
  <c r="Z228" i="2"/>
  <c r="D1172" i="9" s="1"/>
  <c r="D1771" i="9"/>
  <c r="D872" i="9"/>
  <c r="D89" i="9"/>
  <c r="Z232" i="2"/>
  <c r="D1176" i="9" s="1"/>
  <c r="D1775" i="9"/>
  <c r="D876" i="9"/>
  <c r="D93" i="9"/>
  <c r="Z236" i="2"/>
  <c r="D1180" i="9" s="1"/>
  <c r="Z240" i="2"/>
  <c r="D1182" i="9" s="1"/>
  <c r="D1781" i="9"/>
  <c r="D882" i="9"/>
  <c r="D99" i="9"/>
  <c r="Z244" i="2"/>
  <c r="D1185" i="9" s="1"/>
  <c r="D1784" i="9"/>
  <c r="D885" i="9"/>
  <c r="D102" i="9"/>
  <c r="Z248" i="2"/>
  <c r="D1189" i="9" s="1"/>
  <c r="D1788" i="9"/>
  <c r="D889" i="9"/>
  <c r="D106" i="9"/>
  <c r="Z252" i="2"/>
  <c r="D1192" i="9" s="1"/>
  <c r="D1791" i="9"/>
  <c r="D892" i="9"/>
  <c r="D109" i="9"/>
  <c r="Z256" i="2"/>
  <c r="D1196" i="9" s="1"/>
  <c r="D1795" i="9"/>
  <c r="D1443" i="9"/>
  <c r="D896" i="9"/>
  <c r="D113" i="9"/>
  <c r="H81" i="8"/>
  <c r="P81" i="8" s="1"/>
  <c r="Z260" i="2"/>
  <c r="D1200" i="9" s="1"/>
  <c r="D1799" i="9"/>
  <c r="D1447" i="9"/>
  <c r="D900" i="9"/>
  <c r="D117" i="9"/>
  <c r="H85" i="8"/>
  <c r="P85" i="8" s="1"/>
  <c r="Z264" i="2"/>
  <c r="D1203" i="9" s="1"/>
  <c r="D1802" i="9"/>
  <c r="D1450" i="9"/>
  <c r="D903" i="9"/>
  <c r="D120" i="9"/>
  <c r="H88" i="8"/>
  <c r="P88" i="8" s="1"/>
  <c r="D1805" i="9"/>
  <c r="D1453" i="9"/>
  <c r="D906" i="9"/>
  <c r="D123" i="9"/>
  <c r="H91" i="8"/>
  <c r="P91" i="8" s="1"/>
  <c r="D1808" i="9"/>
  <c r="D1456" i="9"/>
  <c r="D909" i="9"/>
  <c r="D126" i="9"/>
  <c r="H94" i="8"/>
  <c r="P94" i="8" s="1"/>
  <c r="Z276" i="2"/>
  <c r="D1213" i="9" s="1"/>
  <c r="D1812" i="9"/>
  <c r="D1460" i="9"/>
  <c r="D913" i="9"/>
  <c r="D130" i="9"/>
  <c r="H98" i="8"/>
  <c r="P98" i="8" s="1"/>
  <c r="D1816" i="9"/>
  <c r="D1464" i="9"/>
  <c r="D917" i="9"/>
  <c r="D134" i="9"/>
  <c r="H102" i="8"/>
  <c r="P102" i="8" s="1"/>
  <c r="D1819" i="9"/>
  <c r="D1467" i="9"/>
  <c r="D920" i="9"/>
  <c r="D137" i="9"/>
  <c r="H105" i="8"/>
  <c r="P105" i="8" s="1"/>
  <c r="Z288" i="2"/>
  <c r="D1224" i="9" s="1"/>
  <c r="D1823" i="9"/>
  <c r="D1471" i="9"/>
  <c r="D924" i="9"/>
  <c r="D141" i="9"/>
  <c r="H109" i="8"/>
  <c r="P109" i="8" s="1"/>
  <c r="Z292" i="2"/>
  <c r="D1228" i="9" s="1"/>
  <c r="D1827" i="9"/>
  <c r="D1475" i="9"/>
  <c r="D928" i="9"/>
  <c r="D145" i="9"/>
  <c r="H113" i="8"/>
  <c r="P113" i="8" s="1"/>
  <c r="Z296" i="2"/>
  <c r="D1232" i="9" s="1"/>
  <c r="D1831" i="9"/>
  <c r="D1479" i="9"/>
  <c r="D932" i="9"/>
  <c r="D149" i="9"/>
  <c r="H117" i="8"/>
  <c r="P117" i="8" s="1"/>
  <c r="Z304" i="2"/>
  <c r="D1238" i="9" s="1"/>
  <c r="D1837" i="9"/>
  <c r="D1485" i="9"/>
  <c r="D938" i="9"/>
  <c r="D155" i="9"/>
  <c r="H123" i="8"/>
  <c r="P123" i="8" s="1"/>
  <c r="Z308" i="2"/>
  <c r="D1241" i="9" s="1"/>
  <c r="D1840" i="9"/>
  <c r="D1488" i="9"/>
  <c r="D941" i="9"/>
  <c r="D158" i="9"/>
  <c r="H127" i="8"/>
  <c r="P127" i="8" s="1"/>
  <c r="Z312" i="2"/>
  <c r="D1245" i="9" s="1"/>
  <c r="D1844" i="9"/>
  <c r="D1492" i="9"/>
  <c r="D945" i="9"/>
  <c r="D162" i="9"/>
  <c r="H131" i="8"/>
  <c r="P131" i="8" s="1"/>
  <c r="Z316" i="2"/>
  <c r="D1248" i="9" s="1"/>
  <c r="D1847" i="9"/>
  <c r="D1495" i="9"/>
  <c r="D948" i="9"/>
  <c r="D165" i="9"/>
  <c r="H134" i="8"/>
  <c r="P134" i="8" s="1"/>
  <c r="Z320" i="2"/>
  <c r="D1252" i="9" s="1"/>
  <c r="D1851" i="9"/>
  <c r="D1499" i="9"/>
  <c r="D952" i="9"/>
  <c r="D169" i="9"/>
  <c r="Z324" i="2"/>
  <c r="D1256" i="9" s="1"/>
  <c r="D1855" i="9"/>
  <c r="D1503" i="9"/>
  <c r="D956" i="9"/>
  <c r="D173" i="9"/>
  <c r="Z328" i="2"/>
  <c r="D1259" i="9" s="1"/>
  <c r="D1858" i="9"/>
  <c r="D1506" i="9"/>
  <c r="D959" i="9"/>
  <c r="D176" i="9"/>
  <c r="Z332" i="2"/>
  <c r="D1262" i="9" s="1"/>
  <c r="D1861" i="9"/>
  <c r="D1509" i="9"/>
  <c r="D962" i="9"/>
  <c r="D179" i="9"/>
  <c r="Z336" i="2"/>
  <c r="D1265" i="9" s="1"/>
  <c r="D1864" i="9"/>
  <c r="D1512" i="9"/>
  <c r="D965" i="9"/>
  <c r="D182" i="9"/>
  <c r="Z340" i="2"/>
  <c r="D1269" i="9" s="1"/>
  <c r="D1868" i="9"/>
  <c r="D1516" i="9"/>
  <c r="D969" i="9"/>
  <c r="D186" i="9"/>
  <c r="Z344" i="2"/>
  <c r="D1273" i="9" s="1"/>
  <c r="D1872" i="9"/>
  <c r="D1520" i="9"/>
  <c r="D973" i="9"/>
  <c r="D190" i="9"/>
  <c r="Z348" i="2"/>
  <c r="D1276" i="9" s="1"/>
  <c r="D1875" i="9"/>
  <c r="D1523" i="9"/>
  <c r="D976" i="9"/>
  <c r="D193" i="9"/>
  <c r="Z352" i="2"/>
  <c r="D1280" i="9" s="1"/>
  <c r="D1879" i="9"/>
  <c r="D1527" i="9"/>
  <c r="D980" i="9"/>
  <c r="D197" i="9"/>
  <c r="Z356" i="2"/>
  <c r="D1284" i="9" s="1"/>
  <c r="D1883" i="9"/>
  <c r="D1531" i="9"/>
  <c r="D984" i="9"/>
  <c r="D201" i="9"/>
  <c r="Z360" i="2"/>
  <c r="D1288" i="9" s="1"/>
  <c r="D1887" i="9"/>
  <c r="D1535" i="9"/>
  <c r="D988" i="9"/>
  <c r="D205" i="9"/>
  <c r="D1889" i="9"/>
  <c r="D1537" i="9"/>
  <c r="D990" i="9"/>
  <c r="D207" i="9"/>
  <c r="Z368" i="2"/>
  <c r="D1294" i="9" s="1"/>
  <c r="Z372" i="2"/>
  <c r="D1297" i="9" s="1"/>
  <c r="D1896" i="9"/>
  <c r="D1544" i="9"/>
  <c r="D997" i="9"/>
  <c r="D214" i="9"/>
  <c r="Z376" i="2"/>
  <c r="D1301" i="9" s="1"/>
  <c r="Z380" i="2"/>
  <c r="D1304" i="9" s="1"/>
  <c r="D1903" i="9"/>
  <c r="D1551" i="9"/>
  <c r="D1004" i="9"/>
  <c r="D221" i="9"/>
  <c r="Z384" i="2"/>
  <c r="D1308" i="9" s="1"/>
  <c r="D1907" i="9"/>
  <c r="D1555" i="9"/>
  <c r="D1008" i="9"/>
  <c r="D225" i="9"/>
  <c r="Z388" i="2"/>
  <c r="D1312" i="9" s="1"/>
  <c r="D1911" i="9"/>
  <c r="D1559" i="9"/>
  <c r="D1012" i="9"/>
  <c r="D229" i="9"/>
  <c r="Z392" i="2"/>
  <c r="D1316" i="9" s="1"/>
  <c r="D1915" i="9"/>
  <c r="D1563" i="9"/>
  <c r="D1016" i="9"/>
  <c r="D233" i="9"/>
  <c r="Z396" i="2"/>
  <c r="D1319" i="9" s="1"/>
  <c r="D1918" i="9"/>
  <c r="D1566" i="9"/>
  <c r="D1019" i="9"/>
  <c r="D236" i="9"/>
  <c r="Z400" i="2"/>
  <c r="D1322" i="9" s="1"/>
  <c r="D1921" i="9"/>
  <c r="D1569" i="9"/>
  <c r="D1022" i="9"/>
  <c r="D239" i="9"/>
  <c r="Z404" i="2"/>
  <c r="D1326" i="9" s="1"/>
  <c r="D1925" i="9"/>
  <c r="D1573" i="9"/>
  <c r="D1026" i="9"/>
  <c r="D243" i="9"/>
  <c r="Z408" i="2"/>
  <c r="D1330" i="9" s="1"/>
  <c r="D1929" i="9"/>
  <c r="D1577" i="9"/>
  <c r="D1030" i="9"/>
  <c r="D247" i="9"/>
  <c r="Z412" i="2"/>
  <c r="D1333" i="9" s="1"/>
  <c r="D1932" i="9"/>
  <c r="D1580" i="9"/>
  <c r="D1033" i="9"/>
  <c r="D250" i="9"/>
  <c r="Z416" i="2"/>
  <c r="D1337" i="9" s="1"/>
  <c r="D1936" i="9"/>
  <c r="D1584" i="9"/>
  <c r="D1037" i="9"/>
  <c r="D254" i="9"/>
  <c r="Z420" i="2"/>
  <c r="D1341" i="9" s="1"/>
  <c r="D1940" i="9"/>
  <c r="D1588" i="9"/>
  <c r="D1041" i="9"/>
  <c r="D258" i="9"/>
  <c r="Z424" i="2"/>
  <c r="D1345" i="9" s="1"/>
  <c r="D1944" i="9"/>
  <c r="D1592" i="9"/>
  <c r="D1045" i="9"/>
  <c r="D262" i="9"/>
  <c r="Z428" i="2"/>
  <c r="D1348" i="9" s="1"/>
  <c r="D1947" i="9"/>
  <c r="D1595" i="9"/>
  <c r="D1048" i="9"/>
  <c r="D265" i="9"/>
  <c r="D1950" i="9"/>
  <c r="D1598" i="9"/>
  <c r="D1051" i="9"/>
  <c r="D268" i="9"/>
  <c r="Z436" i="2"/>
  <c r="D1355" i="9" s="1"/>
  <c r="D1954" i="9"/>
  <c r="D1602" i="9"/>
  <c r="D1055" i="9"/>
  <c r="D272" i="9"/>
  <c r="D1957" i="9"/>
  <c r="D1605" i="9"/>
  <c r="D1058" i="9"/>
  <c r="D275" i="9"/>
  <c r="Z444" i="2"/>
  <c r="D1362" i="9" s="1"/>
  <c r="D1961" i="9"/>
  <c r="D1609" i="9"/>
  <c r="D1062" i="9"/>
  <c r="D279" i="9"/>
  <c r="Z448" i="2"/>
  <c r="D1366" i="9" s="1"/>
  <c r="F2081" i="9"/>
  <c r="D1965" i="9"/>
  <c r="D1613" i="9"/>
  <c r="D1066" i="9"/>
  <c r="D283" i="9"/>
  <c r="Z452" i="2"/>
  <c r="D1370" i="9" s="1"/>
  <c r="F2085" i="9"/>
  <c r="D1969" i="9"/>
  <c r="D1617" i="9"/>
  <c r="D1070" i="9"/>
  <c r="D287" i="9"/>
  <c r="Z456" i="2"/>
  <c r="D1374" i="9" s="1"/>
  <c r="Z460" i="2"/>
  <c r="D1377" i="9" s="1"/>
  <c r="Z464" i="2"/>
  <c r="D1380" i="9" s="1"/>
  <c r="F2095" i="9"/>
  <c r="D1979" i="9"/>
  <c r="D1627" i="9"/>
  <c r="D1080" i="9"/>
  <c r="D297" i="9"/>
  <c r="Z468" i="2"/>
  <c r="D1384" i="9" s="1"/>
  <c r="F2099" i="9"/>
  <c r="D1983" i="9"/>
  <c r="D1631" i="9"/>
  <c r="D1084" i="9"/>
  <c r="D301" i="9"/>
  <c r="Z472" i="2"/>
  <c r="D1388" i="9" s="1"/>
  <c r="Z476" i="2"/>
  <c r="D1391" i="9" s="1"/>
  <c r="F2106" i="9"/>
  <c r="D1990" i="9"/>
  <c r="D1638" i="9"/>
  <c r="D1091" i="9"/>
  <c r="D308" i="9"/>
  <c r="Z480" i="2"/>
  <c r="D1395" i="9" s="1"/>
  <c r="F2110" i="9"/>
  <c r="D1994" i="9"/>
  <c r="D1642" i="9"/>
  <c r="D1095" i="9"/>
  <c r="D312" i="9"/>
  <c r="Z484" i="2"/>
  <c r="D1399" i="9" s="1"/>
  <c r="F2114" i="9"/>
  <c r="D1998" i="9"/>
  <c r="D1646" i="9"/>
  <c r="D1099" i="9"/>
  <c r="D316" i="9"/>
  <c r="Z488" i="2"/>
  <c r="D1403" i="9" s="1"/>
  <c r="F2118" i="9"/>
  <c r="D2002" i="9"/>
  <c r="D1650" i="9"/>
  <c r="D1103" i="9"/>
  <c r="D320" i="9"/>
  <c r="Z492" i="2"/>
  <c r="D1406" i="9" s="1"/>
  <c r="F2121" i="9"/>
  <c r="D2005" i="9"/>
  <c r="D1653" i="9"/>
  <c r="D1106" i="9"/>
  <c r="D323" i="9"/>
  <c r="Z496" i="2"/>
  <c r="D1409" i="9" s="1"/>
  <c r="F2125" i="9"/>
  <c r="D2008" i="9"/>
  <c r="D1656" i="9"/>
  <c r="D1109" i="9"/>
  <c r="D326" i="9"/>
  <c r="Z500" i="2"/>
  <c r="D1413" i="9" s="1"/>
  <c r="F2129" i="9"/>
  <c r="D2012" i="9"/>
  <c r="D1660" i="9"/>
  <c r="D1113" i="9"/>
  <c r="D330" i="9"/>
  <c r="Z504" i="2"/>
  <c r="D1416" i="9" s="1"/>
  <c r="F2132" i="9"/>
  <c r="D2015" i="9"/>
  <c r="D1663" i="9"/>
  <c r="D1116" i="9"/>
  <c r="D333" i="9"/>
  <c r="Z508" i="2"/>
  <c r="D1420" i="9" s="1"/>
  <c r="K252" i="4"/>
  <c r="K256" i="4"/>
  <c r="K260" i="4"/>
  <c r="K284" i="4"/>
  <c r="K288" i="4"/>
  <c r="K304" i="4"/>
  <c r="K308" i="4"/>
  <c r="K312" i="4"/>
  <c r="K316" i="4"/>
  <c r="K320" i="4"/>
  <c r="K324" i="4"/>
  <c r="K328" i="4"/>
  <c r="K348" i="4"/>
  <c r="K352" i="4"/>
  <c r="K356" i="4"/>
  <c r="K360" i="4"/>
  <c r="K364" i="4"/>
  <c r="K368" i="4"/>
  <c r="K372" i="4"/>
  <c r="K376" i="4"/>
  <c r="K380" i="4"/>
  <c r="K384" i="4"/>
  <c r="K388" i="4"/>
  <c r="K392" i="4"/>
  <c r="K396" i="4"/>
  <c r="K400" i="4"/>
  <c r="K411" i="4"/>
  <c r="K418" i="4"/>
  <c r="G423" i="4"/>
  <c r="C187" i="8" s="1"/>
  <c r="E187" i="8" s="1"/>
  <c r="F187" i="8" s="1"/>
  <c r="N186" i="8" s="1"/>
  <c r="K434" i="4"/>
  <c r="G439" i="4"/>
  <c r="C202" i="8" s="1"/>
  <c r="E202" i="8" s="1"/>
  <c r="F202" i="8" s="1"/>
  <c r="N201" i="8" s="1"/>
  <c r="K443" i="4"/>
  <c r="G454" i="4"/>
  <c r="C459" i="4"/>
  <c r="G25" i="5"/>
  <c r="O25" i="5" s="1"/>
  <c r="P25" i="5" s="1"/>
  <c r="G19" i="5"/>
  <c r="O19" i="5" s="1"/>
  <c r="P19" i="5" s="1"/>
  <c r="G13" i="5"/>
  <c r="O13" i="5" s="1"/>
  <c r="P13" i="5" s="1"/>
  <c r="G7" i="5"/>
  <c r="O7" i="5" s="1"/>
  <c r="P7" i="5" s="1"/>
  <c r="F37" i="5"/>
  <c r="M37" i="5" s="1"/>
  <c r="H36" i="5"/>
  <c r="I36" i="5" s="1"/>
  <c r="F31" i="5"/>
  <c r="M31" i="5" s="1"/>
  <c r="H30" i="5"/>
  <c r="I30" i="5" s="1"/>
  <c r="F25" i="5"/>
  <c r="M25" i="5" s="1"/>
  <c r="H24" i="5"/>
  <c r="I24" i="5" s="1"/>
  <c r="F19" i="5"/>
  <c r="M19" i="5" s="1"/>
  <c r="H18" i="5"/>
  <c r="I18" i="5" s="1"/>
  <c r="F13" i="5"/>
  <c r="M13" i="5" s="1"/>
  <c r="H12" i="5"/>
  <c r="I12" i="5" s="1"/>
  <c r="F7" i="5"/>
  <c r="M7" i="5" s="1"/>
  <c r="H6" i="5"/>
  <c r="I6" i="5" s="1"/>
  <c r="G11" i="5"/>
  <c r="O11" i="5" s="1"/>
  <c r="G5" i="5"/>
  <c r="N7" i="5"/>
  <c r="F5" i="5"/>
  <c r="G16" i="5"/>
  <c r="O16" i="5" s="1"/>
  <c r="G10" i="5"/>
  <c r="O10" i="5" s="1"/>
  <c r="P10" i="5" s="1"/>
  <c r="F12" i="5"/>
  <c r="H19" i="5"/>
  <c r="I19" i="5" s="1"/>
  <c r="H35" i="5"/>
  <c r="I35" i="5" s="1"/>
  <c r="H39" i="5"/>
  <c r="I39" i="5" s="1"/>
  <c r="H197" i="5"/>
  <c r="I197" i="5" s="1"/>
  <c r="I1897" i="9"/>
  <c r="I1545" i="9"/>
  <c r="I998" i="9"/>
  <c r="I215" i="9"/>
  <c r="I1900" i="9"/>
  <c r="I1548" i="9"/>
  <c r="I1001" i="9"/>
  <c r="I218" i="9"/>
  <c r="I1904" i="9"/>
  <c r="I1552" i="9"/>
  <c r="I1005" i="9"/>
  <c r="I222" i="9"/>
  <c r="I1908" i="9"/>
  <c r="I1556" i="9"/>
  <c r="I1009" i="9"/>
  <c r="I226" i="9"/>
  <c r="I1912" i="9"/>
  <c r="I1560" i="9"/>
  <c r="I1013" i="9"/>
  <c r="I230" i="9"/>
  <c r="I1922" i="9"/>
  <c r="I1570" i="9"/>
  <c r="I1023" i="9"/>
  <c r="I240" i="9"/>
  <c r="I1926" i="9"/>
  <c r="I1574" i="9"/>
  <c r="I1027" i="9"/>
  <c r="I244" i="9"/>
  <c r="I1933" i="9"/>
  <c r="I1581" i="9"/>
  <c r="I1034" i="9"/>
  <c r="I251" i="9"/>
  <c r="I1937" i="9"/>
  <c r="I1585" i="9"/>
  <c r="I1038" i="9"/>
  <c r="I255" i="9"/>
  <c r="I1941" i="9"/>
  <c r="I1589" i="9"/>
  <c r="I1042" i="9"/>
  <c r="I259" i="9"/>
  <c r="I1945" i="9"/>
  <c r="I1593" i="9"/>
  <c r="I1046" i="9"/>
  <c r="I263" i="9"/>
  <c r="I1948" i="9"/>
  <c r="I1596" i="9"/>
  <c r="I1049" i="9"/>
  <c r="I266" i="9"/>
  <c r="I1951" i="9"/>
  <c r="I1599" i="9"/>
  <c r="I1052" i="9"/>
  <c r="I269" i="9"/>
  <c r="I1955" i="9"/>
  <c r="I1603" i="9"/>
  <c r="I1056" i="9"/>
  <c r="I273" i="9"/>
  <c r="I1958" i="9"/>
  <c r="I1606" i="9"/>
  <c r="I1059" i="9"/>
  <c r="I276" i="9"/>
  <c r="I1962" i="9"/>
  <c r="I1610" i="9"/>
  <c r="I1063" i="9"/>
  <c r="I280" i="9"/>
  <c r="I1966" i="9"/>
  <c r="I1614" i="9"/>
  <c r="I1067" i="9"/>
  <c r="I284" i="9"/>
  <c r="I1970" i="9"/>
  <c r="I1618" i="9"/>
  <c r="I1071" i="9"/>
  <c r="I288" i="9"/>
  <c r="I1973" i="9"/>
  <c r="I1621" i="9"/>
  <c r="I1074" i="9"/>
  <c r="I291" i="9"/>
  <c r="I1976" i="9"/>
  <c r="I1624" i="9"/>
  <c r="I1077" i="9"/>
  <c r="I294" i="9"/>
  <c r="I1980" i="9"/>
  <c r="I1628" i="9"/>
  <c r="I1081" i="9"/>
  <c r="I298" i="9"/>
  <c r="I1984" i="9"/>
  <c r="I1632" i="9"/>
  <c r="I1085" i="9"/>
  <c r="I302" i="9"/>
  <c r="I1987" i="9"/>
  <c r="I1635" i="9"/>
  <c r="I1088" i="9"/>
  <c r="I305" i="9"/>
  <c r="I1991" i="9"/>
  <c r="I1639" i="9"/>
  <c r="I1092" i="9"/>
  <c r="I309" i="9"/>
  <c r="I1995" i="9"/>
  <c r="I1643" i="9"/>
  <c r="I1096" i="9"/>
  <c r="I313" i="9"/>
  <c r="I1999" i="9"/>
  <c r="I1647" i="9"/>
  <c r="I1100" i="9"/>
  <c r="I317" i="9"/>
  <c r="I2006" i="9"/>
  <c r="I1654" i="9"/>
  <c r="I1107" i="9"/>
  <c r="I324" i="9"/>
  <c r="I2009" i="9"/>
  <c r="I1657" i="9"/>
  <c r="I1110" i="9"/>
  <c r="I327" i="9"/>
  <c r="I2013" i="9"/>
  <c r="I1661" i="9"/>
  <c r="I1114" i="9"/>
  <c r="I331" i="9"/>
  <c r="I2016" i="9"/>
  <c r="I1664" i="9"/>
  <c r="I1117" i="9"/>
  <c r="I334" i="9"/>
  <c r="E469" i="4"/>
  <c r="E466" i="4"/>
  <c r="B459" i="4"/>
  <c r="H470" i="4"/>
  <c r="D469" i="4"/>
  <c r="H467" i="4"/>
  <c r="D466" i="4"/>
  <c r="H458" i="4"/>
  <c r="C457" i="4"/>
  <c r="F470" i="4"/>
  <c r="B469" i="4"/>
  <c r="F467" i="4"/>
  <c r="B466" i="4"/>
  <c r="F458" i="4"/>
  <c r="H456" i="4"/>
  <c r="C455" i="4"/>
  <c r="E470" i="4"/>
  <c r="E467" i="4"/>
  <c r="I465" i="4"/>
  <c r="G456" i="4"/>
  <c r="B455" i="4"/>
  <c r="B470" i="4"/>
  <c r="F468" i="4"/>
  <c r="B467" i="4"/>
  <c r="F465" i="4"/>
  <c r="G459" i="4"/>
  <c r="B458" i="4"/>
  <c r="F454" i="4"/>
  <c r="E468" i="4"/>
  <c r="E465" i="4"/>
  <c r="F459" i="4"/>
  <c r="H457" i="4"/>
  <c r="C456" i="4"/>
  <c r="E454" i="4"/>
  <c r="H469" i="4"/>
  <c r="D468" i="4"/>
  <c r="H466" i="4"/>
  <c r="D465" i="4"/>
  <c r="G457" i="4"/>
  <c r="B456" i="4"/>
  <c r="D454" i="4"/>
  <c r="G469" i="4"/>
  <c r="C468" i="4"/>
  <c r="G466" i="4"/>
  <c r="C465" i="4"/>
  <c r="F457" i="4"/>
  <c r="H455" i="4"/>
  <c r="C454" i="4"/>
  <c r="C460" i="4" s="1"/>
  <c r="F180" i="8"/>
  <c r="N179" i="8" s="1"/>
  <c r="K421" i="4"/>
  <c r="K424" i="4"/>
  <c r="F190" i="8"/>
  <c r="N189" i="8" s="1"/>
  <c r="H454" i="4"/>
  <c r="H459" i="4"/>
  <c r="G468" i="4"/>
  <c r="N9" i="5"/>
  <c r="H9" i="5"/>
  <c r="I9" i="5" s="1"/>
  <c r="G12" i="5"/>
  <c r="O12" i="5" s="1"/>
  <c r="P12" i="5" s="1"/>
  <c r="F14" i="5"/>
  <c r="M14" i="5" s="1"/>
  <c r="G21" i="5"/>
  <c r="O21" i="5" s="1"/>
  <c r="P21" i="5" s="1"/>
  <c r="J37" i="5"/>
  <c r="N37" i="5"/>
  <c r="J259" i="5"/>
  <c r="M259" i="5"/>
  <c r="O296" i="5"/>
  <c r="P296" i="5" s="1"/>
  <c r="O278" i="5"/>
  <c r="P278" i="5" s="1"/>
  <c r="O279" i="5"/>
  <c r="P279" i="5" s="1"/>
  <c r="O291" i="5"/>
  <c r="O288" i="5"/>
  <c r="P288" i="5" s="1"/>
  <c r="O290" i="5"/>
  <c r="P290" i="5" s="1"/>
  <c r="J1823" i="9"/>
  <c r="J1471" i="9"/>
  <c r="J924" i="9"/>
  <c r="J141" i="9"/>
  <c r="C1824" i="9"/>
  <c r="C1472" i="9"/>
  <c r="C1226" i="9"/>
  <c r="C925" i="9"/>
  <c r="C142" i="9"/>
  <c r="J1827" i="9"/>
  <c r="J1475" i="9"/>
  <c r="J928" i="9"/>
  <c r="J145" i="9"/>
  <c r="C1828" i="9"/>
  <c r="C1476" i="9"/>
  <c r="C1230" i="9"/>
  <c r="C929" i="9"/>
  <c r="C146" i="9"/>
  <c r="J1831" i="9"/>
  <c r="J1479" i="9"/>
  <c r="J932" i="9"/>
  <c r="J149" i="9"/>
  <c r="C1832" i="9"/>
  <c r="C1480" i="9"/>
  <c r="C1234" i="9"/>
  <c r="C933" i="9"/>
  <c r="C150" i="9"/>
  <c r="C1834" i="9"/>
  <c r="C1482" i="9"/>
  <c r="C1236" i="9"/>
  <c r="C935" i="9"/>
  <c r="C152" i="9"/>
  <c r="J1837" i="9"/>
  <c r="J1485" i="9"/>
  <c r="J938" i="9"/>
  <c r="J155" i="9"/>
  <c r="J1840" i="9"/>
  <c r="J1488" i="9"/>
  <c r="J941" i="9"/>
  <c r="J158" i="9"/>
  <c r="C1841" i="9"/>
  <c r="C1489" i="9"/>
  <c r="C1243" i="9"/>
  <c r="C942" i="9"/>
  <c r="C159" i="9"/>
  <c r="J1844" i="9"/>
  <c r="J1492" i="9"/>
  <c r="J945" i="9"/>
  <c r="J162" i="9"/>
  <c r="J1847" i="9"/>
  <c r="J1495" i="9"/>
  <c r="J948" i="9"/>
  <c r="J165" i="9"/>
  <c r="C1848" i="9"/>
  <c r="C1496" i="9"/>
  <c r="C1250" i="9"/>
  <c r="C949" i="9"/>
  <c r="C166" i="9"/>
  <c r="J1851" i="9"/>
  <c r="J1499" i="9"/>
  <c r="J952" i="9"/>
  <c r="J169" i="9"/>
  <c r="C1852" i="9"/>
  <c r="C1500" i="9"/>
  <c r="C1254" i="9"/>
  <c r="C953" i="9"/>
  <c r="C170" i="9"/>
  <c r="J1855" i="9"/>
  <c r="J1503" i="9"/>
  <c r="J956" i="9"/>
  <c r="J173" i="9"/>
  <c r="J1858" i="9"/>
  <c r="J1506" i="9"/>
  <c r="J959" i="9"/>
  <c r="J176" i="9"/>
  <c r="C1859" i="9"/>
  <c r="C1507" i="9"/>
  <c r="C1261" i="9"/>
  <c r="C960" i="9"/>
  <c r="C177" i="9"/>
  <c r="J1861" i="9"/>
  <c r="J1509" i="9"/>
  <c r="J962" i="9"/>
  <c r="J179" i="9"/>
  <c r="C1862" i="9"/>
  <c r="C1510" i="9"/>
  <c r="C1264" i="9"/>
  <c r="C963" i="9"/>
  <c r="C180" i="9"/>
  <c r="J1864" i="9"/>
  <c r="J1512" i="9"/>
  <c r="J965" i="9"/>
  <c r="J182" i="9"/>
  <c r="C1865" i="9"/>
  <c r="C1513" i="9"/>
  <c r="C1267" i="9"/>
  <c r="C966" i="9"/>
  <c r="C183" i="9"/>
  <c r="J1868" i="9"/>
  <c r="J1516" i="9"/>
  <c r="J969" i="9"/>
  <c r="J186" i="9"/>
  <c r="C1869" i="9"/>
  <c r="C1517" i="9"/>
  <c r="C1271" i="9"/>
  <c r="C970" i="9"/>
  <c r="C187" i="9"/>
  <c r="J1872" i="9"/>
  <c r="J1520" i="9"/>
  <c r="J973" i="9"/>
  <c r="J190" i="9"/>
  <c r="C1873" i="9"/>
  <c r="C1521" i="9"/>
  <c r="C1275" i="9"/>
  <c r="C974" i="9"/>
  <c r="C191" i="9"/>
  <c r="J1875" i="9"/>
  <c r="J1523" i="9"/>
  <c r="J976" i="9"/>
  <c r="J193" i="9"/>
  <c r="C1876" i="9"/>
  <c r="C1524" i="9"/>
  <c r="C1278" i="9"/>
  <c r="C977" i="9"/>
  <c r="C194" i="9"/>
  <c r="J1879" i="9"/>
  <c r="J1527" i="9"/>
  <c r="J980" i="9"/>
  <c r="J197" i="9"/>
  <c r="C1880" i="9"/>
  <c r="C1528" i="9"/>
  <c r="C1282" i="9"/>
  <c r="C981" i="9"/>
  <c r="C198" i="9"/>
  <c r="J1883" i="9"/>
  <c r="J1531" i="9"/>
  <c r="J984" i="9"/>
  <c r="J201" i="9"/>
  <c r="C1884" i="9"/>
  <c r="C1532" i="9"/>
  <c r="C1286" i="9"/>
  <c r="C985" i="9"/>
  <c r="C202" i="9"/>
  <c r="J1887" i="9"/>
  <c r="J1535" i="9"/>
  <c r="J988" i="9"/>
  <c r="J205" i="9"/>
  <c r="C1888" i="9"/>
  <c r="C1536" i="9"/>
  <c r="C1290" i="9"/>
  <c r="C989" i="9"/>
  <c r="C206" i="9"/>
  <c r="J1889" i="9"/>
  <c r="J1537" i="9"/>
  <c r="J990" i="9"/>
  <c r="J207" i="9"/>
  <c r="C1890" i="9"/>
  <c r="C1538" i="9"/>
  <c r="C1292" i="9"/>
  <c r="C991" i="9"/>
  <c r="C208" i="9"/>
  <c r="C1893" i="9"/>
  <c r="C1541" i="9"/>
  <c r="C1295" i="9"/>
  <c r="C994" i="9"/>
  <c r="C211" i="9"/>
  <c r="J1896" i="9"/>
  <c r="J1544" i="9"/>
  <c r="J997" i="9"/>
  <c r="J214" i="9"/>
  <c r="C1897" i="9"/>
  <c r="C1545" i="9"/>
  <c r="C1299" i="9"/>
  <c r="C998" i="9"/>
  <c r="C215" i="9"/>
  <c r="C1900" i="9"/>
  <c r="C1548" i="9"/>
  <c r="C1302" i="9"/>
  <c r="C1001" i="9"/>
  <c r="C218" i="9"/>
  <c r="J1903" i="9"/>
  <c r="J1551" i="9"/>
  <c r="J1004" i="9"/>
  <c r="J221" i="9"/>
  <c r="C1904" i="9"/>
  <c r="C1552" i="9"/>
  <c r="C1306" i="9"/>
  <c r="C1005" i="9"/>
  <c r="C222" i="9"/>
  <c r="J1907" i="9"/>
  <c r="J1555" i="9"/>
  <c r="J1008" i="9"/>
  <c r="J225" i="9"/>
  <c r="C1908" i="9"/>
  <c r="C1556" i="9"/>
  <c r="C1310" i="9"/>
  <c r="C1009" i="9"/>
  <c r="C226" i="9"/>
  <c r="J1911" i="9"/>
  <c r="J1559" i="9"/>
  <c r="J1012" i="9"/>
  <c r="J229" i="9"/>
  <c r="C1912" i="9"/>
  <c r="C1560" i="9"/>
  <c r="C1314" i="9"/>
  <c r="C1013" i="9"/>
  <c r="C230" i="9"/>
  <c r="J1915" i="9"/>
  <c r="J1563" i="9"/>
  <c r="J1016" i="9"/>
  <c r="J233" i="9"/>
  <c r="J1918" i="9"/>
  <c r="J1566" i="9"/>
  <c r="J1019" i="9"/>
  <c r="J236" i="9"/>
  <c r="J1921" i="9"/>
  <c r="J1569" i="9"/>
  <c r="J1022" i="9"/>
  <c r="J239" i="9"/>
  <c r="C1922" i="9"/>
  <c r="C1570" i="9"/>
  <c r="C1324" i="9"/>
  <c r="C1023" i="9"/>
  <c r="C240" i="9"/>
  <c r="J1925" i="9"/>
  <c r="J1573" i="9"/>
  <c r="J1026" i="9"/>
  <c r="J243" i="9"/>
  <c r="C1926" i="9"/>
  <c r="C1574" i="9"/>
  <c r="C1328" i="9"/>
  <c r="C1027" i="9"/>
  <c r="C244" i="9"/>
  <c r="J1929" i="9"/>
  <c r="J1577" i="9"/>
  <c r="J1030" i="9"/>
  <c r="J247" i="9"/>
  <c r="J1932" i="9"/>
  <c r="J1580" i="9"/>
  <c r="J1033" i="9"/>
  <c r="J250" i="9"/>
  <c r="C1933" i="9"/>
  <c r="C1581" i="9"/>
  <c r="C1335" i="9"/>
  <c r="C1034" i="9"/>
  <c r="C251" i="9"/>
  <c r="J1936" i="9"/>
  <c r="J1584" i="9"/>
  <c r="J1037" i="9"/>
  <c r="J254" i="9"/>
  <c r="C1937" i="9"/>
  <c r="C1585" i="9"/>
  <c r="C1339" i="9"/>
  <c r="C1038" i="9"/>
  <c r="C255" i="9"/>
  <c r="J1940" i="9"/>
  <c r="J1588" i="9"/>
  <c r="J1041" i="9"/>
  <c r="J258" i="9"/>
  <c r="C1941" i="9"/>
  <c r="C1589" i="9"/>
  <c r="C1343" i="9"/>
  <c r="C1042" i="9"/>
  <c r="C259" i="9"/>
  <c r="AE423" i="2"/>
  <c r="H1344" i="9" s="1"/>
  <c r="J1944" i="9"/>
  <c r="J1592" i="9"/>
  <c r="J1045" i="9"/>
  <c r="J262" i="9"/>
  <c r="C1945" i="9"/>
  <c r="C1593" i="9"/>
  <c r="C1347" i="9"/>
  <c r="C1046" i="9"/>
  <c r="C263" i="9"/>
  <c r="J1947" i="9"/>
  <c r="J1595" i="9"/>
  <c r="J1048" i="9"/>
  <c r="J265" i="9"/>
  <c r="C1948" i="9"/>
  <c r="C1596" i="9"/>
  <c r="C1350" i="9"/>
  <c r="C1049" i="9"/>
  <c r="C266" i="9"/>
  <c r="AE431" i="2"/>
  <c r="H1351" i="9" s="1"/>
  <c r="J1950" i="9"/>
  <c r="J1598" i="9"/>
  <c r="J1051" i="9"/>
  <c r="J268" i="9"/>
  <c r="C1951" i="9"/>
  <c r="C1599" i="9"/>
  <c r="C1353" i="9"/>
  <c r="C1052" i="9"/>
  <c r="C269" i="9"/>
  <c r="AE435" i="2"/>
  <c r="H1354" i="9" s="1"/>
  <c r="J1954" i="9"/>
  <c r="J1602" i="9"/>
  <c r="J1055" i="9"/>
  <c r="J272" i="9"/>
  <c r="C1955" i="9"/>
  <c r="C1603" i="9"/>
  <c r="C1357" i="9"/>
  <c r="C1056" i="9"/>
  <c r="C273" i="9"/>
  <c r="AE439" i="2"/>
  <c r="H1358" i="9" s="1"/>
  <c r="J1957" i="9"/>
  <c r="J1605" i="9"/>
  <c r="J1058" i="9"/>
  <c r="J275" i="9"/>
  <c r="C1958" i="9"/>
  <c r="C1606" i="9"/>
  <c r="C1360" i="9"/>
  <c r="C1059" i="9"/>
  <c r="C276" i="9"/>
  <c r="AE443" i="2"/>
  <c r="H1361" i="9" s="1"/>
  <c r="J1961" i="9"/>
  <c r="J1062" i="9"/>
  <c r="J279" i="9"/>
  <c r="J1609" i="9"/>
  <c r="C1962" i="9"/>
  <c r="B2078" i="9"/>
  <c r="C1610" i="9"/>
  <c r="C1364" i="9"/>
  <c r="C1063" i="9"/>
  <c r="C280" i="9"/>
  <c r="AE447" i="2"/>
  <c r="H1365" i="9" s="1"/>
  <c r="J1965" i="9"/>
  <c r="J1613" i="9"/>
  <c r="J1066" i="9"/>
  <c r="J283" i="9"/>
  <c r="B2082" i="9"/>
  <c r="C1966" i="9"/>
  <c r="C1614" i="9"/>
  <c r="C1368" i="9"/>
  <c r="C1067" i="9"/>
  <c r="C284" i="9"/>
  <c r="AE451" i="2"/>
  <c r="H1369" i="9" s="1"/>
  <c r="J1969" i="9"/>
  <c r="J1617" i="9"/>
  <c r="J1070" i="9"/>
  <c r="J287" i="9"/>
  <c r="B2086" i="9"/>
  <c r="C1970" i="9"/>
  <c r="C1618" i="9"/>
  <c r="C1372" i="9"/>
  <c r="C1071" i="9"/>
  <c r="C288" i="9"/>
  <c r="AE455" i="2"/>
  <c r="H1373" i="9" s="1"/>
  <c r="B2089" i="9"/>
  <c r="C1973" i="9"/>
  <c r="C1621" i="9"/>
  <c r="C1375" i="9"/>
  <c r="C1074" i="9"/>
  <c r="C291" i="9"/>
  <c r="AE459" i="2"/>
  <c r="H1376" i="9" s="1"/>
  <c r="C1976" i="9"/>
  <c r="B2092" i="9"/>
  <c r="C1378" i="9"/>
  <c r="C1624" i="9"/>
  <c r="C1077" i="9"/>
  <c r="C294" i="9"/>
  <c r="AE463" i="2"/>
  <c r="H1379" i="9" s="1"/>
  <c r="J1979" i="9"/>
  <c r="J1627" i="9"/>
  <c r="J1080" i="9"/>
  <c r="J297" i="9"/>
  <c r="B2096" i="9"/>
  <c r="C1980" i="9"/>
  <c r="C1628" i="9"/>
  <c r="C1382" i="9"/>
  <c r="C1081" i="9"/>
  <c r="C298" i="9"/>
  <c r="AE467" i="2"/>
  <c r="H1383" i="9" s="1"/>
  <c r="J1983" i="9"/>
  <c r="J1631" i="9"/>
  <c r="J1084" i="9"/>
  <c r="J301" i="9"/>
  <c r="C1984" i="9"/>
  <c r="B2100" i="9"/>
  <c r="C1632" i="9"/>
  <c r="C1386" i="9"/>
  <c r="C1085" i="9"/>
  <c r="C302" i="9"/>
  <c r="AE471" i="2"/>
  <c r="H1387" i="9" s="1"/>
  <c r="B2103" i="9"/>
  <c r="C1987" i="9"/>
  <c r="C1635" i="9"/>
  <c r="C1389" i="9"/>
  <c r="C1088" i="9"/>
  <c r="C305" i="9"/>
  <c r="AE475" i="2"/>
  <c r="H1390" i="9" s="1"/>
  <c r="J1990" i="9"/>
  <c r="J1638" i="9"/>
  <c r="J1091" i="9"/>
  <c r="J308" i="9"/>
  <c r="C1991" i="9"/>
  <c r="B2107" i="9"/>
  <c r="C1639" i="9"/>
  <c r="C1393" i="9"/>
  <c r="C1092" i="9"/>
  <c r="C309" i="9"/>
  <c r="AE479" i="2"/>
  <c r="H1394" i="9" s="1"/>
  <c r="J1994" i="9"/>
  <c r="J1642" i="9"/>
  <c r="J1095" i="9"/>
  <c r="J312" i="9"/>
  <c r="B2111" i="9"/>
  <c r="C1995" i="9"/>
  <c r="C1643" i="9"/>
  <c r="C1397" i="9"/>
  <c r="C1096" i="9"/>
  <c r="C313" i="9"/>
  <c r="AE483" i="2"/>
  <c r="H1398" i="9" s="1"/>
  <c r="J1998" i="9"/>
  <c r="J1646" i="9"/>
  <c r="J1099" i="9"/>
  <c r="J316" i="9"/>
  <c r="B2115" i="9"/>
  <c r="C1999" i="9"/>
  <c r="C1647" i="9"/>
  <c r="C1401" i="9"/>
  <c r="C1100" i="9"/>
  <c r="C317" i="9"/>
  <c r="AE487" i="2"/>
  <c r="H1402" i="9" s="1"/>
  <c r="J2002" i="9"/>
  <c r="J1650" i="9"/>
  <c r="J1103" i="9"/>
  <c r="J320" i="9"/>
  <c r="AE491" i="2"/>
  <c r="H1405" i="9" s="1"/>
  <c r="J2005" i="9"/>
  <c r="J1653" i="9"/>
  <c r="J1106" i="9"/>
  <c r="J323" i="9"/>
  <c r="B2122" i="9"/>
  <c r="C2006" i="9"/>
  <c r="C1654" i="9"/>
  <c r="C1408" i="9"/>
  <c r="C1107" i="9"/>
  <c r="C324" i="9"/>
  <c r="J2008" i="9"/>
  <c r="J1656" i="9"/>
  <c r="J1109" i="9"/>
  <c r="J326" i="9"/>
  <c r="C2009" i="9"/>
  <c r="B2126" i="9"/>
  <c r="C1657" i="9"/>
  <c r="C1411" i="9"/>
  <c r="C1110" i="9"/>
  <c r="C327" i="9"/>
  <c r="AE499" i="2"/>
  <c r="H1412" i="9" s="1"/>
  <c r="J2012" i="9"/>
  <c r="J1660" i="9"/>
  <c r="J1113" i="9"/>
  <c r="J330" i="9"/>
  <c r="C2013" i="9"/>
  <c r="B2130" i="9"/>
  <c r="C1661" i="9"/>
  <c r="C1415" i="9"/>
  <c r="C1114" i="9"/>
  <c r="C331" i="9"/>
  <c r="J2015" i="9"/>
  <c r="J1663" i="9"/>
  <c r="J1116" i="9"/>
  <c r="J333" i="9"/>
  <c r="C2016" i="9"/>
  <c r="B2133" i="9"/>
  <c r="C1664" i="9"/>
  <c r="C1418" i="9"/>
  <c r="C1117" i="9"/>
  <c r="C334" i="9"/>
  <c r="AA335" i="9"/>
  <c r="K448" i="4"/>
  <c r="AE507" i="2"/>
  <c r="H1419" i="9" s="1"/>
  <c r="K407" i="4"/>
  <c r="K414" i="4"/>
  <c r="K427" i="4"/>
  <c r="G432" i="4"/>
  <c r="D457" i="4" s="1"/>
  <c r="G447" i="4"/>
  <c r="C209" i="8" s="1"/>
  <c r="E209" i="8" s="1"/>
  <c r="F209" i="8" s="1"/>
  <c r="N208" i="8" s="1"/>
  <c r="H468" i="4"/>
  <c r="H7" i="5"/>
  <c r="I7" i="5" s="1"/>
  <c r="P16" i="5"/>
  <c r="H23" i="5"/>
  <c r="I23" i="5" s="1"/>
  <c r="H32" i="5"/>
  <c r="I32" i="5" s="1"/>
  <c r="G39" i="5"/>
  <c r="O39" i="5" s="1"/>
  <c r="P39" i="5" s="1"/>
  <c r="O318" i="5"/>
  <c r="L320" i="5"/>
  <c r="K320" i="5"/>
  <c r="D1912" i="9"/>
  <c r="D1560" i="9"/>
  <c r="D1013" i="9"/>
  <c r="D230" i="9"/>
  <c r="D1922" i="9"/>
  <c r="D1570" i="9"/>
  <c r="D1023" i="9"/>
  <c r="D240" i="9"/>
  <c r="D1926" i="9"/>
  <c r="D1574" i="9"/>
  <c r="D1027" i="9"/>
  <c r="D244" i="9"/>
  <c r="D1933" i="9"/>
  <c r="D1581" i="9"/>
  <c r="D1034" i="9"/>
  <c r="D251" i="9"/>
  <c r="D1937" i="9"/>
  <c r="D1585" i="9"/>
  <c r="D1038" i="9"/>
  <c r="D255" i="9"/>
  <c r="D1941" i="9"/>
  <c r="D1589" i="9"/>
  <c r="D1042" i="9"/>
  <c r="D259" i="9"/>
  <c r="D1945" i="9"/>
  <c r="D1593" i="9"/>
  <c r="D1046" i="9"/>
  <c r="D263" i="9"/>
  <c r="D1948" i="9"/>
  <c r="D1596" i="9"/>
  <c r="D1049" i="9"/>
  <c r="D266" i="9"/>
  <c r="D1951" i="9"/>
  <c r="D1599" i="9"/>
  <c r="D1052" i="9"/>
  <c r="D269" i="9"/>
  <c r="D1955" i="9"/>
  <c r="D1603" i="9"/>
  <c r="D1056" i="9"/>
  <c r="D273" i="9"/>
  <c r="D1958" i="9"/>
  <c r="D1606" i="9"/>
  <c r="D1059" i="9"/>
  <c r="D276" i="9"/>
  <c r="F2078" i="9"/>
  <c r="D1962" i="9"/>
  <c r="D1610" i="9"/>
  <c r="D1063" i="9"/>
  <c r="D280" i="9"/>
  <c r="F2082" i="9"/>
  <c r="D1966" i="9"/>
  <c r="D1614" i="9"/>
  <c r="D1067" i="9"/>
  <c r="D284" i="9"/>
  <c r="Z453" i="2"/>
  <c r="D1371" i="9" s="1"/>
  <c r="F2086" i="9"/>
  <c r="D1970" i="9"/>
  <c r="D1618" i="9"/>
  <c r="D1071" i="9"/>
  <c r="D288" i="9"/>
  <c r="F2089" i="9"/>
  <c r="D1973" i="9"/>
  <c r="D1621" i="9"/>
  <c r="D1074" i="9"/>
  <c r="D291" i="9"/>
  <c r="F2092" i="9"/>
  <c r="D1976" i="9"/>
  <c r="D1624" i="9"/>
  <c r="D1077" i="9"/>
  <c r="D294" i="9"/>
  <c r="Z465" i="2"/>
  <c r="D1381" i="9" s="1"/>
  <c r="F2096" i="9"/>
  <c r="D1980" i="9"/>
  <c r="D1628" i="9"/>
  <c r="D1081" i="9"/>
  <c r="D298" i="9"/>
  <c r="Z469" i="2"/>
  <c r="D1385" i="9" s="1"/>
  <c r="F2100" i="9"/>
  <c r="D1984" i="9"/>
  <c r="D1632" i="9"/>
  <c r="D1085" i="9"/>
  <c r="D302" i="9"/>
  <c r="F2103" i="9"/>
  <c r="D1987" i="9"/>
  <c r="D1635" i="9"/>
  <c r="D1088" i="9"/>
  <c r="D305" i="9"/>
  <c r="Z477" i="2"/>
  <c r="D1392" i="9" s="1"/>
  <c r="F2107" i="9"/>
  <c r="D1991" i="9"/>
  <c r="D1639" i="9"/>
  <c r="D1092" i="9"/>
  <c r="D309" i="9"/>
  <c r="Z481" i="2"/>
  <c r="D1396" i="9" s="1"/>
  <c r="F2111" i="9"/>
  <c r="D1995" i="9"/>
  <c r="D1643" i="9"/>
  <c r="D1096" i="9"/>
  <c r="D313" i="9"/>
  <c r="Z485" i="2"/>
  <c r="D1400" i="9" s="1"/>
  <c r="F2115" i="9"/>
  <c r="D1999" i="9"/>
  <c r="D1647" i="9"/>
  <c r="D1100" i="9"/>
  <c r="D317" i="9"/>
  <c r="Z489" i="2"/>
  <c r="D1404" i="9" s="1"/>
  <c r="Z493" i="2"/>
  <c r="D1407" i="9" s="1"/>
  <c r="F2122" i="9"/>
  <c r="D2006" i="9"/>
  <c r="D1654" i="9"/>
  <c r="D1107" i="9"/>
  <c r="D324" i="9"/>
  <c r="Z497" i="2"/>
  <c r="D1410" i="9" s="1"/>
  <c r="F2126" i="9"/>
  <c r="D2009" i="9"/>
  <c r="D1657" i="9"/>
  <c r="D1110" i="9"/>
  <c r="D327" i="9"/>
  <c r="Z501" i="2"/>
  <c r="D1414" i="9" s="1"/>
  <c r="F2130" i="9"/>
  <c r="D2013" i="9"/>
  <c r="D1661" i="9"/>
  <c r="D1114" i="9"/>
  <c r="D331" i="9"/>
  <c r="Z505" i="2"/>
  <c r="D1417" i="9" s="1"/>
  <c r="F2133" i="9"/>
  <c r="D2016" i="9"/>
  <c r="D1664" i="9"/>
  <c r="D1117" i="9"/>
  <c r="D334" i="9"/>
  <c r="K263" i="4"/>
  <c r="K267" i="4"/>
  <c r="K271" i="4"/>
  <c r="K291" i="4"/>
  <c r="K295" i="4"/>
  <c r="K299" i="4"/>
  <c r="K319" i="4"/>
  <c r="K323" i="4"/>
  <c r="K327" i="4"/>
  <c r="K331" i="4"/>
  <c r="K335" i="4"/>
  <c r="K339" i="4"/>
  <c r="K343" i="4"/>
  <c r="K351" i="4"/>
  <c r="K355" i="4"/>
  <c r="K359" i="4"/>
  <c r="K363" i="4"/>
  <c r="K367" i="4"/>
  <c r="K371" i="4"/>
  <c r="K375" i="4"/>
  <c r="K383" i="4"/>
  <c r="K387" i="4"/>
  <c r="K391" i="4"/>
  <c r="K395" i="4"/>
  <c r="K399" i="4"/>
  <c r="K403" i="4"/>
  <c r="F174" i="8"/>
  <c r="N173" i="8" s="1"/>
  <c r="G412" i="4"/>
  <c r="C177" i="8" s="1"/>
  <c r="E177" i="8" s="1"/>
  <c r="F177" i="8" s="1"/>
  <c r="N176" i="8" s="1"/>
  <c r="K417" i="4"/>
  <c r="G419" i="4"/>
  <c r="C183" i="8" s="1"/>
  <c r="E183" i="8" s="1"/>
  <c r="F183" i="8" s="1"/>
  <c r="N182" i="8" s="1"/>
  <c r="F193" i="8"/>
  <c r="N192" i="8" s="1"/>
  <c r="K430" i="4"/>
  <c r="G435" i="4"/>
  <c r="C198" i="8" s="1"/>
  <c r="E198" i="8" s="1"/>
  <c r="F198" i="8" s="1"/>
  <c r="N197" i="8" s="1"/>
  <c r="G444" i="4"/>
  <c r="C206" i="8" s="1"/>
  <c r="E206" i="8" s="1"/>
  <c r="F206" i="8" s="1"/>
  <c r="N205" i="8" s="1"/>
  <c r="F455" i="4"/>
  <c r="C469" i="4"/>
  <c r="G9" i="5"/>
  <c r="O9" i="5" s="1"/>
  <c r="P9" i="5" s="1"/>
  <c r="P11" i="5"/>
  <c r="J25" i="5"/>
  <c r="N25" i="5"/>
  <c r="F30" i="5"/>
  <c r="H37" i="5"/>
  <c r="I37" i="5" s="1"/>
  <c r="H43" i="5"/>
  <c r="I43" i="5" s="1"/>
  <c r="H49" i="5"/>
  <c r="I49" i="5" s="1"/>
  <c r="H55" i="5"/>
  <c r="I55" i="5" s="1"/>
  <c r="F218" i="5"/>
  <c r="M218" i="5" s="1"/>
  <c r="H213" i="5"/>
  <c r="I213" i="5" s="1"/>
  <c r="F212" i="5"/>
  <c r="M212" i="5" s="1"/>
  <c r="F205" i="5"/>
  <c r="M205" i="5" s="1"/>
  <c r="F198" i="5"/>
  <c r="H192" i="5"/>
  <c r="I192" i="5" s="1"/>
  <c r="G191" i="5"/>
  <c r="O191" i="5" s="1"/>
  <c r="P191" i="5" s="1"/>
  <c r="F184" i="5"/>
  <c r="N195" i="5"/>
  <c r="H195" i="5"/>
  <c r="I195" i="5" s="1"/>
  <c r="F187" i="5"/>
  <c r="M187" i="5" s="1"/>
  <c r="G204" i="5"/>
  <c r="O204" i="5" s="1"/>
  <c r="P219" i="5"/>
  <c r="O281" i="5"/>
  <c r="P281" i="5" s="1"/>
  <c r="O283" i="5"/>
  <c r="P283" i="5" s="1"/>
  <c r="H1962" i="9"/>
  <c r="H1610" i="9"/>
  <c r="H1063" i="9"/>
  <c r="H280" i="9"/>
  <c r="I1963" i="9"/>
  <c r="I1611" i="9"/>
  <c r="I1064" i="9"/>
  <c r="I281" i="9"/>
  <c r="H1966" i="9"/>
  <c r="H1614" i="9"/>
  <c r="H1067" i="9"/>
  <c r="H284" i="9"/>
  <c r="I1967" i="9"/>
  <c r="I1615" i="9"/>
  <c r="I1068" i="9"/>
  <c r="I285" i="9"/>
  <c r="H1970" i="9"/>
  <c r="H1618" i="9"/>
  <c r="H1071" i="9"/>
  <c r="H288" i="9"/>
  <c r="I1971" i="9"/>
  <c r="I1619" i="9"/>
  <c r="I1072" i="9"/>
  <c r="I289" i="9"/>
  <c r="H1973" i="9"/>
  <c r="H1621" i="9"/>
  <c r="H1074" i="9"/>
  <c r="H291" i="9"/>
  <c r="I1974" i="9"/>
  <c r="I1622" i="9"/>
  <c r="I1075" i="9"/>
  <c r="I292" i="9"/>
  <c r="H1976" i="9"/>
  <c r="H1624" i="9"/>
  <c r="H1077" i="9"/>
  <c r="H294" i="9"/>
  <c r="I1977" i="9"/>
  <c r="I1625" i="9"/>
  <c r="I1078" i="9"/>
  <c r="I295" i="9"/>
  <c r="H1980" i="9"/>
  <c r="H1628" i="9"/>
  <c r="H1081" i="9"/>
  <c r="H298" i="9"/>
  <c r="I1981" i="9"/>
  <c r="I1629" i="9"/>
  <c r="I1082" i="9"/>
  <c r="I299" i="9"/>
  <c r="H1984" i="9"/>
  <c r="H1632" i="9"/>
  <c r="H1085" i="9"/>
  <c r="H302" i="9"/>
  <c r="I1985" i="9"/>
  <c r="I1633" i="9"/>
  <c r="I1086" i="9"/>
  <c r="I303" i="9"/>
  <c r="H1987" i="9"/>
  <c r="H1635" i="9"/>
  <c r="H1088" i="9"/>
  <c r="H305" i="9"/>
  <c r="I1988" i="9"/>
  <c r="I1636" i="9"/>
  <c r="I1089" i="9"/>
  <c r="I306" i="9"/>
  <c r="H1991" i="9"/>
  <c r="H1639" i="9"/>
  <c r="H1092" i="9"/>
  <c r="H309" i="9"/>
  <c r="I1992" i="9"/>
  <c r="I1640" i="9"/>
  <c r="I1093" i="9"/>
  <c r="I310" i="9"/>
  <c r="H1995" i="9"/>
  <c r="H1643" i="9"/>
  <c r="H1096" i="9"/>
  <c r="H313" i="9"/>
  <c r="I1996" i="9"/>
  <c r="I1644" i="9"/>
  <c r="I1097" i="9"/>
  <c r="I314" i="9"/>
  <c r="H1999" i="9"/>
  <c r="H1647" i="9"/>
  <c r="H1100" i="9"/>
  <c r="H317" i="9"/>
  <c r="I2000" i="9"/>
  <c r="I1648" i="9"/>
  <c r="I1101" i="9"/>
  <c r="I318" i="9"/>
  <c r="I2003" i="9"/>
  <c r="I1651" i="9"/>
  <c r="I1104" i="9"/>
  <c r="I321" i="9"/>
  <c r="H2006" i="9"/>
  <c r="H1654" i="9"/>
  <c r="H1107" i="9"/>
  <c r="H324" i="9"/>
  <c r="H2009" i="9"/>
  <c r="H1657" i="9"/>
  <c r="H1110" i="9"/>
  <c r="H327" i="9"/>
  <c r="I2010" i="9"/>
  <c r="I1658" i="9"/>
  <c r="I1111" i="9"/>
  <c r="I328" i="9"/>
  <c r="H2013" i="9"/>
  <c r="H1661" i="9"/>
  <c r="H1114" i="9"/>
  <c r="H331" i="9"/>
  <c r="H2016" i="9"/>
  <c r="H1664" i="9"/>
  <c r="H1117" i="9"/>
  <c r="H334" i="9"/>
  <c r="I2017" i="9"/>
  <c r="I1665" i="9"/>
  <c r="I1118" i="9"/>
  <c r="I335" i="9"/>
  <c r="F170" i="8"/>
  <c r="N169" i="8" s="1"/>
  <c r="K410" i="4"/>
  <c r="K420" i="4"/>
  <c r="F186" i="8"/>
  <c r="N185" i="8" s="1"/>
  <c r="K433" i="4"/>
  <c r="K436" i="4"/>
  <c r="F201" i="8"/>
  <c r="N200" i="8" s="1"/>
  <c r="K445" i="4"/>
  <c r="G455" i="4"/>
  <c r="B465" i="4"/>
  <c r="F469" i="4"/>
  <c r="H20" i="5"/>
  <c r="I20" i="5" s="1"/>
  <c r="N27" i="5"/>
  <c r="H27" i="5"/>
  <c r="I27" i="5" s="1"/>
  <c r="G30" i="5"/>
  <c r="O30" i="5" s="1"/>
  <c r="P30" i="5" s="1"/>
  <c r="F32" i="5"/>
  <c r="M32" i="5" s="1"/>
  <c r="D510" i="5"/>
  <c r="D41" i="12" s="1"/>
  <c r="F41" i="12" s="1"/>
  <c r="G41" i="12" s="1"/>
  <c r="M222" i="5"/>
  <c r="J222" i="5"/>
  <c r="P291" i="5"/>
  <c r="O298" i="5"/>
  <c r="O328" i="5"/>
  <c r="J1834" i="9"/>
  <c r="J1482" i="9"/>
  <c r="J935" i="9"/>
  <c r="J152" i="9"/>
  <c r="C1835" i="9"/>
  <c r="C1483" i="9"/>
  <c r="C1237" i="9"/>
  <c r="C936" i="9"/>
  <c r="C153" i="9"/>
  <c r="C1838" i="9"/>
  <c r="C1486" i="9"/>
  <c r="C1240" i="9"/>
  <c r="C939" i="9"/>
  <c r="C156" i="9"/>
  <c r="J1841" i="9"/>
  <c r="J1489" i="9"/>
  <c r="J942" i="9"/>
  <c r="J159" i="9"/>
  <c r="C1842" i="9"/>
  <c r="C1490" i="9"/>
  <c r="C1244" i="9"/>
  <c r="C943" i="9"/>
  <c r="C160" i="9"/>
  <c r="C1845" i="9"/>
  <c r="C1493" i="9"/>
  <c r="C1247" i="9"/>
  <c r="C946" i="9"/>
  <c r="C163" i="9"/>
  <c r="J1848" i="9"/>
  <c r="J1496" i="9"/>
  <c r="J949" i="9"/>
  <c r="J166" i="9"/>
  <c r="C1849" i="9"/>
  <c r="C1497" i="9"/>
  <c r="C1251" i="9"/>
  <c r="C950" i="9"/>
  <c r="C167" i="9"/>
  <c r="J1852" i="9"/>
  <c r="J1500" i="9"/>
  <c r="J953" i="9"/>
  <c r="J170" i="9"/>
  <c r="C1853" i="9"/>
  <c r="C1501" i="9"/>
  <c r="C1255" i="9"/>
  <c r="C954" i="9"/>
  <c r="C171" i="9"/>
  <c r="C1856" i="9"/>
  <c r="C1504" i="9"/>
  <c r="C1258" i="9"/>
  <c r="C957" i="9"/>
  <c r="C174" i="9"/>
  <c r="J1859" i="9"/>
  <c r="J1507" i="9"/>
  <c r="J960" i="9"/>
  <c r="J177" i="9"/>
  <c r="J1862" i="9"/>
  <c r="J1510" i="9"/>
  <c r="J963" i="9"/>
  <c r="J180" i="9"/>
  <c r="J1865" i="9"/>
  <c r="J1513" i="9"/>
  <c r="J966" i="9"/>
  <c r="J183" i="9"/>
  <c r="C1866" i="9"/>
  <c r="C1514" i="9"/>
  <c r="C1268" i="9"/>
  <c r="C967" i="9"/>
  <c r="C184" i="9"/>
  <c r="J1869" i="9"/>
  <c r="J1517" i="9"/>
  <c r="J970" i="9"/>
  <c r="J187" i="9"/>
  <c r="C1870" i="9"/>
  <c r="C1518" i="9"/>
  <c r="C1272" i="9"/>
  <c r="C971" i="9"/>
  <c r="C188" i="9"/>
  <c r="J1873" i="9"/>
  <c r="J1521" i="9"/>
  <c r="J974" i="9"/>
  <c r="J191" i="9"/>
  <c r="J1876" i="9"/>
  <c r="J1524" i="9"/>
  <c r="J977" i="9"/>
  <c r="J194" i="9"/>
  <c r="C1877" i="9"/>
  <c r="C1525" i="9"/>
  <c r="C1279" i="9"/>
  <c r="C978" i="9"/>
  <c r="C195" i="9"/>
  <c r="J1880" i="9"/>
  <c r="J1528" i="9"/>
  <c r="J981" i="9"/>
  <c r="J198" i="9"/>
  <c r="C1881" i="9"/>
  <c r="C1529" i="9"/>
  <c r="C1283" i="9"/>
  <c r="C982" i="9"/>
  <c r="C199" i="9"/>
  <c r="J1884" i="9"/>
  <c r="J1532" i="9"/>
  <c r="J985" i="9"/>
  <c r="J202" i="9"/>
  <c r="C1885" i="9"/>
  <c r="C1287" i="9"/>
  <c r="C1533" i="9"/>
  <c r="C986" i="9"/>
  <c r="C203" i="9"/>
  <c r="J1888" i="9"/>
  <c r="J1536" i="9"/>
  <c r="J989" i="9"/>
  <c r="J206" i="9"/>
  <c r="J1890" i="9"/>
  <c r="J1538" i="9"/>
  <c r="J991" i="9"/>
  <c r="J208" i="9"/>
  <c r="C1891" i="9"/>
  <c r="C1539" i="9"/>
  <c r="C1293" i="9"/>
  <c r="C992" i="9"/>
  <c r="C209" i="9"/>
  <c r="J1893" i="9"/>
  <c r="J1541" i="9"/>
  <c r="J994" i="9"/>
  <c r="J211" i="9"/>
  <c r="C1894" i="9"/>
  <c r="C1542" i="9"/>
  <c r="C1296" i="9"/>
  <c r="C995" i="9"/>
  <c r="C212" i="9"/>
  <c r="J1897" i="9"/>
  <c r="J1545" i="9"/>
  <c r="J998" i="9"/>
  <c r="J215" i="9"/>
  <c r="C1898" i="9"/>
  <c r="C1546" i="9"/>
  <c r="C1300" i="9"/>
  <c r="C999" i="9"/>
  <c r="C216" i="9"/>
  <c r="J1900" i="9"/>
  <c r="J1548" i="9"/>
  <c r="J1001" i="9"/>
  <c r="J218" i="9"/>
  <c r="C1901" i="9"/>
  <c r="C1549" i="9"/>
  <c r="C1303" i="9"/>
  <c r="C1002" i="9"/>
  <c r="C219" i="9"/>
  <c r="J1904" i="9"/>
  <c r="J1552" i="9"/>
  <c r="J1005" i="9"/>
  <c r="J222" i="9"/>
  <c r="C1905" i="9"/>
  <c r="C1553" i="9"/>
  <c r="C1307" i="9"/>
  <c r="C1006" i="9"/>
  <c r="C223" i="9"/>
  <c r="J1908" i="9"/>
  <c r="J1556" i="9"/>
  <c r="J1009" i="9"/>
  <c r="J226" i="9"/>
  <c r="C1909" i="9"/>
  <c r="C1557" i="9"/>
  <c r="C1311" i="9"/>
  <c r="C1010" i="9"/>
  <c r="C227" i="9"/>
  <c r="J1912" i="9"/>
  <c r="J1560" i="9"/>
  <c r="J1013" i="9"/>
  <c r="J230" i="9"/>
  <c r="C1913" i="9"/>
  <c r="C1561" i="9"/>
  <c r="C1315" i="9"/>
  <c r="C1014" i="9"/>
  <c r="C231" i="9"/>
  <c r="C1916" i="9"/>
  <c r="C1564" i="9"/>
  <c r="C1318" i="9"/>
  <c r="C1017" i="9"/>
  <c r="C234" i="9"/>
  <c r="C1919" i="9"/>
  <c r="C1567" i="9"/>
  <c r="C1321" i="9"/>
  <c r="C1020" i="9"/>
  <c r="C237" i="9"/>
  <c r="J1922" i="9"/>
  <c r="J1570" i="9"/>
  <c r="J1023" i="9"/>
  <c r="J240" i="9"/>
  <c r="C1923" i="9"/>
  <c r="C1571" i="9"/>
  <c r="C1325" i="9"/>
  <c r="C1024" i="9"/>
  <c r="C241" i="9"/>
  <c r="J1926" i="9"/>
  <c r="J1574" i="9"/>
  <c r="J1027" i="9"/>
  <c r="J244" i="9"/>
  <c r="C1927" i="9"/>
  <c r="C1575" i="9"/>
  <c r="C1329" i="9"/>
  <c r="C1028" i="9"/>
  <c r="C245" i="9"/>
  <c r="C1930" i="9"/>
  <c r="C1578" i="9"/>
  <c r="C1332" i="9"/>
  <c r="C1031" i="9"/>
  <c r="C248" i="9"/>
  <c r="J1933" i="9"/>
  <c r="J1581" i="9"/>
  <c r="J1034" i="9"/>
  <c r="J251" i="9"/>
  <c r="C1934" i="9"/>
  <c r="C1582" i="9"/>
  <c r="C1336" i="9"/>
  <c r="C1035" i="9"/>
  <c r="C252" i="9"/>
  <c r="J1937" i="9"/>
  <c r="J1585" i="9"/>
  <c r="J1038" i="9"/>
  <c r="J255" i="9"/>
  <c r="C1938" i="9"/>
  <c r="C1586" i="9"/>
  <c r="C1340" i="9"/>
  <c r="C1039" i="9"/>
  <c r="C256" i="9"/>
  <c r="J1941" i="9"/>
  <c r="J1589" i="9"/>
  <c r="J1042" i="9"/>
  <c r="J259" i="9"/>
  <c r="C1942" i="9"/>
  <c r="C1590" i="9"/>
  <c r="C1344" i="9"/>
  <c r="C1043" i="9"/>
  <c r="C260" i="9"/>
  <c r="J1945" i="9"/>
  <c r="J1593" i="9"/>
  <c r="J1046" i="9"/>
  <c r="J263" i="9"/>
  <c r="J1948" i="9"/>
  <c r="J1596" i="9"/>
  <c r="J1049" i="9"/>
  <c r="J266" i="9"/>
  <c r="C1949" i="9"/>
  <c r="C1597" i="9"/>
  <c r="C1351" i="9"/>
  <c r="C1050" i="9"/>
  <c r="C267" i="9"/>
  <c r="J1951" i="9"/>
  <c r="J1599" i="9"/>
  <c r="J1052" i="9"/>
  <c r="J269" i="9"/>
  <c r="C1952" i="9"/>
  <c r="C1600" i="9"/>
  <c r="C1354" i="9"/>
  <c r="C1053" i="9"/>
  <c r="C270" i="9"/>
  <c r="J1955" i="9"/>
  <c r="J1603" i="9"/>
  <c r="J1056" i="9"/>
  <c r="J273" i="9"/>
  <c r="C1956" i="9"/>
  <c r="C1604" i="9"/>
  <c r="C1358" i="9"/>
  <c r="C1057" i="9"/>
  <c r="C274" i="9"/>
  <c r="J1958" i="9"/>
  <c r="J1606" i="9"/>
  <c r="J1059" i="9"/>
  <c r="J276" i="9"/>
  <c r="C1959" i="9"/>
  <c r="C1607" i="9"/>
  <c r="C1361" i="9"/>
  <c r="C1060" i="9"/>
  <c r="C277" i="9"/>
  <c r="J1962" i="9"/>
  <c r="J1610" i="9"/>
  <c r="J1063" i="9"/>
  <c r="J280" i="9"/>
  <c r="B2079" i="9"/>
  <c r="C1963" i="9"/>
  <c r="C1611" i="9"/>
  <c r="C1365" i="9"/>
  <c r="C1064" i="9"/>
  <c r="C281" i="9"/>
  <c r="J1966" i="9"/>
  <c r="J1614" i="9"/>
  <c r="J1067" i="9"/>
  <c r="J284" i="9"/>
  <c r="C1967" i="9"/>
  <c r="B2083" i="9"/>
  <c r="C1615" i="9"/>
  <c r="C1369" i="9"/>
  <c r="C1068" i="9"/>
  <c r="C285" i="9"/>
  <c r="J1970" i="9"/>
  <c r="J1618" i="9"/>
  <c r="J1071" i="9"/>
  <c r="J288" i="9"/>
  <c r="B2087" i="9"/>
  <c r="C1971" i="9"/>
  <c r="C1619" i="9"/>
  <c r="C1373" i="9"/>
  <c r="C1072" i="9"/>
  <c r="C289" i="9"/>
  <c r="J1973" i="9"/>
  <c r="J1621" i="9"/>
  <c r="J1074" i="9"/>
  <c r="J291" i="9"/>
  <c r="C1974" i="9"/>
  <c r="B2090" i="9"/>
  <c r="C1622" i="9"/>
  <c r="C1376" i="9"/>
  <c r="C1075" i="9"/>
  <c r="C292" i="9"/>
  <c r="J1976" i="9"/>
  <c r="J1624" i="9"/>
  <c r="J1077" i="9"/>
  <c r="J294" i="9"/>
  <c r="B2093" i="9"/>
  <c r="C1977" i="9"/>
  <c r="C1625" i="9"/>
  <c r="C1379" i="9"/>
  <c r="C1078" i="9"/>
  <c r="C295" i="9"/>
  <c r="J1980" i="9"/>
  <c r="J1628" i="9"/>
  <c r="J1081" i="9"/>
  <c r="J298" i="9"/>
  <c r="C1981" i="9"/>
  <c r="B2097" i="9"/>
  <c r="C1629" i="9"/>
  <c r="C1383" i="9"/>
  <c r="C1082" i="9"/>
  <c r="C299" i="9"/>
  <c r="J1984" i="9"/>
  <c r="J1632" i="9"/>
  <c r="J1085" i="9"/>
  <c r="J302" i="9"/>
  <c r="B2101" i="9"/>
  <c r="C1985" i="9"/>
  <c r="C1633" i="9"/>
  <c r="C1387" i="9"/>
  <c r="C1086" i="9"/>
  <c r="C303" i="9"/>
  <c r="J1987" i="9"/>
  <c r="J1635" i="9"/>
  <c r="J1088" i="9"/>
  <c r="J305" i="9"/>
  <c r="C1988" i="9"/>
  <c r="B2104" i="9"/>
  <c r="C1636" i="9"/>
  <c r="C1390" i="9"/>
  <c r="C1089" i="9"/>
  <c r="C306" i="9"/>
  <c r="J1991" i="9"/>
  <c r="J1639" i="9"/>
  <c r="J1092" i="9"/>
  <c r="J309" i="9"/>
  <c r="B2108" i="9"/>
  <c r="C1992" i="9"/>
  <c r="C1640" i="9"/>
  <c r="C1394" i="9"/>
  <c r="C1093" i="9"/>
  <c r="C310" i="9"/>
  <c r="J1995" i="9"/>
  <c r="J1643" i="9"/>
  <c r="J1096" i="9"/>
  <c r="J313" i="9"/>
  <c r="C1996" i="9"/>
  <c r="B2112" i="9"/>
  <c r="C1644" i="9"/>
  <c r="C1398" i="9"/>
  <c r="C1097" i="9"/>
  <c r="C314" i="9"/>
  <c r="J1999" i="9"/>
  <c r="J1647" i="9"/>
  <c r="J1100" i="9"/>
  <c r="J317" i="9"/>
  <c r="C2000" i="9"/>
  <c r="B2116" i="9"/>
  <c r="C1648" i="9"/>
  <c r="C1402" i="9"/>
  <c r="C1101" i="9"/>
  <c r="C318" i="9"/>
  <c r="C2003" i="9"/>
  <c r="B2119" i="9"/>
  <c r="C1651" i="9"/>
  <c r="C1405" i="9"/>
  <c r="C1104" i="9"/>
  <c r="C321" i="9"/>
  <c r="J2006" i="9"/>
  <c r="J1654" i="9"/>
  <c r="J1107" i="9"/>
  <c r="J324" i="9"/>
  <c r="J2009" i="9"/>
  <c r="J1657" i="9"/>
  <c r="J1110" i="9"/>
  <c r="J327" i="9"/>
  <c r="B2127" i="9"/>
  <c r="C2010" i="9"/>
  <c r="C1658" i="9"/>
  <c r="C1412" i="9"/>
  <c r="C1111" i="9"/>
  <c r="C328" i="9"/>
  <c r="AA329" i="9"/>
  <c r="K442" i="4"/>
  <c r="J2013" i="9"/>
  <c r="J1661" i="9"/>
  <c r="J1114" i="9"/>
  <c r="J331" i="9"/>
  <c r="J2016" i="9"/>
  <c r="J1664" i="9"/>
  <c r="J1117" i="9"/>
  <c r="J334" i="9"/>
  <c r="C2017" i="9"/>
  <c r="B2134" i="9"/>
  <c r="C1665" i="9"/>
  <c r="C1419" i="9"/>
  <c r="C1118" i="9"/>
  <c r="C335" i="9"/>
  <c r="K406" i="4"/>
  <c r="F173" i="8"/>
  <c r="N172" i="8" s="1"/>
  <c r="K413" i="4"/>
  <c r="F179" i="8"/>
  <c r="N178" i="8" s="1"/>
  <c r="K423" i="4"/>
  <c r="F192" i="8"/>
  <c r="N191" i="8" s="1"/>
  <c r="K439" i="4"/>
  <c r="F211" i="8"/>
  <c r="N210" i="8" s="1"/>
  <c r="E456" i="4"/>
  <c r="G465" i="4"/>
  <c r="C470" i="4"/>
  <c r="F27" i="5"/>
  <c r="M27" i="5" s="1"/>
  <c r="J13" i="5"/>
  <c r="N13" i="5"/>
  <c r="F18" i="5"/>
  <c r="H25" i="5"/>
  <c r="I25" i="5" s="1"/>
  <c r="K287" i="5"/>
  <c r="L287" i="5" s="1"/>
  <c r="D1710" i="9"/>
  <c r="D811" i="9"/>
  <c r="D28" i="9"/>
  <c r="D1714" i="9"/>
  <c r="D815" i="9"/>
  <c r="D32" i="9"/>
  <c r="D1718" i="9"/>
  <c r="D819" i="9"/>
  <c r="D36" i="9"/>
  <c r="D1722" i="9"/>
  <c r="D823" i="9"/>
  <c r="D40" i="9"/>
  <c r="D1728" i="9"/>
  <c r="D829" i="9"/>
  <c r="D46" i="9"/>
  <c r="D1731" i="9"/>
  <c r="D832" i="9"/>
  <c r="D49" i="9"/>
  <c r="D1735" i="9"/>
  <c r="D836" i="9"/>
  <c r="D53" i="9"/>
  <c r="D1738" i="9"/>
  <c r="D839" i="9"/>
  <c r="D56" i="9"/>
  <c r="D1742" i="9"/>
  <c r="D843" i="9"/>
  <c r="D60" i="9"/>
  <c r="D1746" i="9"/>
  <c r="D847" i="9"/>
  <c r="D64" i="9"/>
  <c r="D1749" i="9"/>
  <c r="D850" i="9"/>
  <c r="D67" i="9"/>
  <c r="D1752" i="9"/>
  <c r="D853" i="9"/>
  <c r="D70" i="9"/>
  <c r="D1755" i="9"/>
  <c r="D856" i="9"/>
  <c r="D73" i="9"/>
  <c r="D1759" i="9"/>
  <c r="D860" i="9"/>
  <c r="D77" i="9"/>
  <c r="D1762" i="9"/>
  <c r="D863" i="9"/>
  <c r="D80" i="9"/>
  <c r="Z222" i="2"/>
  <c r="D1166" i="9" s="1"/>
  <c r="D1765" i="9"/>
  <c r="D866" i="9"/>
  <c r="D83" i="9"/>
  <c r="Z226" i="2"/>
  <c r="D1170" i="9" s="1"/>
  <c r="D1769" i="9"/>
  <c r="D870" i="9"/>
  <c r="D87" i="9"/>
  <c r="Z230" i="2"/>
  <c r="D1174" i="9" s="1"/>
  <c r="D1773" i="9"/>
  <c r="D874" i="9"/>
  <c r="D91" i="9"/>
  <c r="Z234" i="2"/>
  <c r="D1178" i="9" s="1"/>
  <c r="D1777" i="9"/>
  <c r="D878" i="9"/>
  <c r="D95" i="9"/>
  <c r="D1779" i="9"/>
  <c r="D880" i="9"/>
  <c r="D97" i="9"/>
  <c r="Z242" i="2"/>
  <c r="D1184" i="9" s="1"/>
  <c r="Z246" i="2"/>
  <c r="D1187" i="9" s="1"/>
  <c r="D1786" i="9"/>
  <c r="D887" i="9"/>
  <c r="D104" i="9"/>
  <c r="Z250" i="2"/>
  <c r="D1191" i="9" s="1"/>
  <c r="Z254" i="2"/>
  <c r="D1194" i="9" s="1"/>
  <c r="D1793" i="9"/>
  <c r="D894" i="9"/>
  <c r="D111" i="9"/>
  <c r="Z258" i="2"/>
  <c r="D1198" i="9" s="1"/>
  <c r="D1797" i="9"/>
  <c r="D1445" i="9"/>
  <c r="D898" i="9"/>
  <c r="D115" i="9"/>
  <c r="H83" i="8"/>
  <c r="P83" i="8" s="1"/>
  <c r="Z262" i="2"/>
  <c r="D1202" i="9" s="1"/>
  <c r="Z266" i="2"/>
  <c r="D1205" i="9" s="1"/>
  <c r="D1804" i="9"/>
  <c r="D1452" i="9"/>
  <c r="D905" i="9"/>
  <c r="D122" i="9"/>
  <c r="H90" i="8"/>
  <c r="P90" i="8" s="1"/>
  <c r="Z270" i="2"/>
  <c r="D1208" i="9" s="1"/>
  <c r="D1807" i="9"/>
  <c r="D1455" i="9"/>
  <c r="D908" i="9"/>
  <c r="D125" i="9"/>
  <c r="H93" i="8"/>
  <c r="P93" i="8" s="1"/>
  <c r="Z274" i="2"/>
  <c r="D1211" i="9" s="1"/>
  <c r="D1810" i="9"/>
  <c r="D1458" i="9"/>
  <c r="D911" i="9"/>
  <c r="D128" i="9"/>
  <c r="H96" i="8"/>
  <c r="P96" i="8" s="1"/>
  <c r="Z278" i="2"/>
  <c r="D1215" i="9" s="1"/>
  <c r="D1814" i="9"/>
  <c r="D1462" i="9"/>
  <c r="D915" i="9"/>
  <c r="D132" i="9"/>
  <c r="H100" i="8"/>
  <c r="P100" i="8" s="1"/>
  <c r="Z282" i="2"/>
  <c r="D1219" i="9" s="1"/>
  <c r="D1818" i="9"/>
  <c r="D1466" i="9"/>
  <c r="D919" i="9"/>
  <c r="D136" i="9"/>
  <c r="H104" i="8"/>
  <c r="P104" i="8" s="1"/>
  <c r="Z286" i="2"/>
  <c r="D1222" i="9" s="1"/>
  <c r="D1821" i="9"/>
  <c r="D1469" i="9"/>
  <c r="D922" i="9"/>
  <c r="D139" i="9"/>
  <c r="H107" i="8"/>
  <c r="P107" i="8" s="1"/>
  <c r="Z290" i="2"/>
  <c r="D1226" i="9" s="1"/>
  <c r="D1825" i="9"/>
  <c r="D1473" i="9"/>
  <c r="D926" i="9"/>
  <c r="D143" i="9"/>
  <c r="H111" i="8"/>
  <c r="P111" i="8" s="1"/>
  <c r="Z294" i="2"/>
  <c r="D1230" i="9" s="1"/>
  <c r="D1829" i="9"/>
  <c r="D1477" i="9"/>
  <c r="D930" i="9"/>
  <c r="D147" i="9"/>
  <c r="H115" i="8"/>
  <c r="P115" i="8" s="1"/>
  <c r="Z298" i="2"/>
  <c r="D1234" i="9" s="1"/>
  <c r="D1833" i="9"/>
  <c r="D1481" i="9"/>
  <c r="D934" i="9"/>
  <c r="D151" i="9"/>
  <c r="H119" i="8"/>
  <c r="P119" i="8" s="1"/>
  <c r="Z302" i="2"/>
  <c r="D1236" i="9" s="1"/>
  <c r="D1835" i="9"/>
  <c r="D1483" i="9"/>
  <c r="D936" i="9"/>
  <c r="D153" i="9"/>
  <c r="H121" i="8"/>
  <c r="P121" i="8" s="1"/>
  <c r="D1838" i="9"/>
  <c r="D1486" i="9"/>
  <c r="D939" i="9"/>
  <c r="D156" i="9"/>
  <c r="H125" i="8"/>
  <c r="P125" i="8" s="1"/>
  <c r="Z310" i="2"/>
  <c r="D1243" i="9" s="1"/>
  <c r="D1842" i="9"/>
  <c r="D1490" i="9"/>
  <c r="D943" i="9"/>
  <c r="D160" i="9"/>
  <c r="H129" i="8"/>
  <c r="P129" i="8" s="1"/>
  <c r="D1845" i="9"/>
  <c r="D1493" i="9"/>
  <c r="D946" i="9"/>
  <c r="D163" i="9"/>
  <c r="H132" i="8"/>
  <c r="P132" i="8" s="1"/>
  <c r="Z318" i="2"/>
  <c r="D1250" i="9" s="1"/>
  <c r="D1849" i="9"/>
  <c r="D1497" i="9"/>
  <c r="D950" i="9"/>
  <c r="D167" i="9"/>
  <c r="H136" i="8"/>
  <c r="P136" i="8" s="1"/>
  <c r="Z322" i="2"/>
  <c r="D1254" i="9" s="1"/>
  <c r="D1853" i="9"/>
  <c r="D1501" i="9"/>
  <c r="D954" i="9"/>
  <c r="D171" i="9"/>
  <c r="D1856" i="9"/>
  <c r="D1504" i="9"/>
  <c r="D957" i="9"/>
  <c r="D174" i="9"/>
  <c r="Z330" i="2"/>
  <c r="D1261" i="9" s="1"/>
  <c r="Z334" i="2"/>
  <c r="D1264" i="9" s="1"/>
  <c r="Z338" i="2"/>
  <c r="D1267" i="9" s="1"/>
  <c r="D1866" i="9"/>
  <c r="D1514" i="9"/>
  <c r="D967" i="9"/>
  <c r="D184" i="9"/>
  <c r="Z342" i="2"/>
  <c r="D1271" i="9" s="1"/>
  <c r="D1870" i="9"/>
  <c r="D1518" i="9"/>
  <c r="D971" i="9"/>
  <c r="D188" i="9"/>
  <c r="Z346" i="2"/>
  <c r="D1275" i="9" s="1"/>
  <c r="Z350" i="2"/>
  <c r="D1278" i="9" s="1"/>
  <c r="D1877" i="9"/>
  <c r="D1525" i="9"/>
  <c r="D978" i="9"/>
  <c r="D195" i="9"/>
  <c r="Z354" i="2"/>
  <c r="D1282" i="9" s="1"/>
  <c r="D1881" i="9"/>
  <c r="D1529" i="9"/>
  <c r="D982" i="9"/>
  <c r="D199" i="9"/>
  <c r="Z358" i="2"/>
  <c r="D1286" i="9" s="1"/>
  <c r="D1885" i="9"/>
  <c r="D1533" i="9"/>
  <c r="D986" i="9"/>
  <c r="D203" i="9"/>
  <c r="Z362" i="2"/>
  <c r="D1290" i="9" s="1"/>
  <c r="Z366" i="2"/>
  <c r="D1292" i="9" s="1"/>
  <c r="D1891" i="9"/>
  <c r="D1539" i="9"/>
  <c r="D992" i="9"/>
  <c r="D209" i="9"/>
  <c r="Z370" i="2"/>
  <c r="D1295" i="9" s="1"/>
  <c r="D1894" i="9"/>
  <c r="D1542" i="9"/>
  <c r="D995" i="9"/>
  <c r="D212" i="9"/>
  <c r="Z374" i="2"/>
  <c r="D1299" i="9" s="1"/>
  <c r="D1898" i="9"/>
  <c r="D1546" i="9"/>
  <c r="D999" i="9"/>
  <c r="D216" i="9"/>
  <c r="Z378" i="2"/>
  <c r="D1302" i="9" s="1"/>
  <c r="D1901" i="9"/>
  <c r="D1549" i="9"/>
  <c r="D1002" i="9"/>
  <c r="D219" i="9"/>
  <c r="Z382" i="2"/>
  <c r="D1306" i="9" s="1"/>
  <c r="D1905" i="9"/>
  <c r="D1553" i="9"/>
  <c r="D1006" i="9"/>
  <c r="D223" i="9"/>
  <c r="Z386" i="2"/>
  <c r="D1310" i="9" s="1"/>
  <c r="D1909" i="9"/>
  <c r="D1557" i="9"/>
  <c r="D1010" i="9"/>
  <c r="D227" i="9"/>
  <c r="Z390" i="2"/>
  <c r="D1314" i="9" s="1"/>
  <c r="D1913" i="9"/>
  <c r="D1561" i="9"/>
  <c r="D1014" i="9"/>
  <c r="D231" i="9"/>
  <c r="D1916" i="9"/>
  <c r="D1564" i="9"/>
  <c r="D1017" i="9"/>
  <c r="D234" i="9"/>
  <c r="D1919" i="9"/>
  <c r="D1567" i="9"/>
  <c r="D1020" i="9"/>
  <c r="D237" i="9"/>
  <c r="Z402" i="2"/>
  <c r="D1324" i="9" s="1"/>
  <c r="D1923" i="9"/>
  <c r="D1571" i="9"/>
  <c r="D1024" i="9"/>
  <c r="D241" i="9"/>
  <c r="Z406" i="2"/>
  <c r="D1328" i="9" s="1"/>
  <c r="D1927" i="9"/>
  <c r="D1575" i="9"/>
  <c r="D1028" i="9"/>
  <c r="D245" i="9"/>
  <c r="D1930" i="9"/>
  <c r="D1578" i="9"/>
  <c r="D1031" i="9"/>
  <c r="D248" i="9"/>
  <c r="Z414" i="2"/>
  <c r="D1335" i="9" s="1"/>
  <c r="D1934" i="9"/>
  <c r="D1582" i="9"/>
  <c r="D1035" i="9"/>
  <c r="D252" i="9"/>
  <c r="Z418" i="2"/>
  <c r="D1339" i="9" s="1"/>
  <c r="D1938" i="9"/>
  <c r="D1586" i="9"/>
  <c r="D1039" i="9"/>
  <c r="D256" i="9"/>
  <c r="AF420" i="2"/>
  <c r="I1341" i="9" s="1"/>
  <c r="Z422" i="2"/>
  <c r="D1343" i="9" s="1"/>
  <c r="D1942" i="9"/>
  <c r="D1590" i="9"/>
  <c r="D1043" i="9"/>
  <c r="D260" i="9"/>
  <c r="AF424" i="2"/>
  <c r="I1345" i="9" s="1"/>
  <c r="AF428" i="2"/>
  <c r="I1348" i="9" s="1"/>
  <c r="Z430" i="2"/>
  <c r="D1350" i="9" s="1"/>
  <c r="D1949" i="9"/>
  <c r="D1597" i="9"/>
  <c r="D1050" i="9"/>
  <c r="D267" i="9"/>
  <c r="Z434" i="2"/>
  <c r="D1353" i="9" s="1"/>
  <c r="D1952" i="9"/>
  <c r="D1600" i="9"/>
  <c r="D1053" i="9"/>
  <c r="D270" i="9"/>
  <c r="AF436" i="2"/>
  <c r="I1355" i="9" s="1"/>
  <c r="Z438" i="2"/>
  <c r="D1357" i="9" s="1"/>
  <c r="D1956" i="9"/>
  <c r="D1604" i="9"/>
  <c r="D1057" i="9"/>
  <c r="D274" i="9"/>
  <c r="Z442" i="2"/>
  <c r="D1360" i="9" s="1"/>
  <c r="D1959" i="9"/>
  <c r="D1607" i="9"/>
  <c r="D1060" i="9"/>
  <c r="D277" i="9"/>
  <c r="AF444" i="2"/>
  <c r="I1362" i="9" s="1"/>
  <c r="Z446" i="2"/>
  <c r="D1364" i="9" s="1"/>
  <c r="F2079" i="9"/>
  <c r="D1963" i="9"/>
  <c r="D1611" i="9"/>
  <c r="D1064" i="9"/>
  <c r="D281" i="9"/>
  <c r="AF448" i="2"/>
  <c r="I1366" i="9" s="1"/>
  <c r="Z450" i="2"/>
  <c r="D1368" i="9" s="1"/>
  <c r="F2083" i="9"/>
  <c r="D1967" i="9"/>
  <c r="D1615" i="9"/>
  <c r="D1068" i="9"/>
  <c r="D285" i="9"/>
  <c r="AF452" i="2"/>
  <c r="I1370" i="9" s="1"/>
  <c r="Z454" i="2"/>
  <c r="D1372" i="9" s="1"/>
  <c r="F2087" i="9"/>
  <c r="D1971" i="9"/>
  <c r="D1619" i="9"/>
  <c r="D1072" i="9"/>
  <c r="D289" i="9"/>
  <c r="AF456" i="2"/>
  <c r="I1374" i="9" s="1"/>
  <c r="Z458" i="2"/>
  <c r="D1375" i="9" s="1"/>
  <c r="F2090" i="9"/>
  <c r="D1974" i="9"/>
  <c r="D1622" i="9"/>
  <c r="D1075" i="9"/>
  <c r="D292" i="9"/>
  <c r="AF460" i="2"/>
  <c r="I1377" i="9" s="1"/>
  <c r="Z462" i="2"/>
  <c r="D1378" i="9" s="1"/>
  <c r="F2093" i="9"/>
  <c r="D1977" i="9"/>
  <c r="D1625" i="9"/>
  <c r="D1078" i="9"/>
  <c r="D295" i="9"/>
  <c r="AF464" i="2"/>
  <c r="I1380" i="9" s="1"/>
  <c r="Z466" i="2"/>
  <c r="D1382" i="9" s="1"/>
  <c r="F2097" i="9"/>
  <c r="D1981" i="9"/>
  <c r="D1629" i="9"/>
  <c r="D1082" i="9"/>
  <c r="D299" i="9"/>
  <c r="AF468" i="2"/>
  <c r="I1384" i="9" s="1"/>
  <c r="Z470" i="2"/>
  <c r="D1386" i="9" s="1"/>
  <c r="F2101" i="9"/>
  <c r="D1985" i="9"/>
  <c r="D1633" i="9"/>
  <c r="D1086" i="9"/>
  <c r="D303" i="9"/>
  <c r="AF472" i="2"/>
  <c r="I1388" i="9" s="1"/>
  <c r="Z474" i="2"/>
  <c r="D1389" i="9" s="1"/>
  <c r="F2104" i="9"/>
  <c r="D1988" i="9"/>
  <c r="D1636" i="9"/>
  <c r="D1089" i="9"/>
  <c r="D306" i="9"/>
  <c r="AF476" i="2"/>
  <c r="I1391" i="9" s="1"/>
  <c r="Z478" i="2"/>
  <c r="D1393" i="9" s="1"/>
  <c r="F2108" i="9"/>
  <c r="D1992" i="9"/>
  <c r="D1640" i="9"/>
  <c r="D1093" i="9"/>
  <c r="D310" i="9"/>
  <c r="AF480" i="2"/>
  <c r="I1395" i="9" s="1"/>
  <c r="Z482" i="2"/>
  <c r="D1397" i="9" s="1"/>
  <c r="F2112" i="9"/>
  <c r="D1996" i="9"/>
  <c r="D1644" i="9"/>
  <c r="D1097" i="9"/>
  <c r="D314" i="9"/>
  <c r="AF484" i="2"/>
  <c r="I1399" i="9" s="1"/>
  <c r="Z486" i="2"/>
  <c r="D1401" i="9" s="1"/>
  <c r="F2116" i="9"/>
  <c r="D2000" i="9"/>
  <c r="D1648" i="9"/>
  <c r="D1101" i="9"/>
  <c r="D318" i="9"/>
  <c r="AF488" i="2"/>
  <c r="I1403" i="9" s="1"/>
  <c r="F2119" i="9"/>
  <c r="D2003" i="9"/>
  <c r="D1651" i="9"/>
  <c r="D1104" i="9"/>
  <c r="D321" i="9"/>
  <c r="AF492" i="2"/>
  <c r="I1406" i="9" s="1"/>
  <c r="Z494" i="2"/>
  <c r="D1408" i="9" s="1"/>
  <c r="AF496" i="2"/>
  <c r="I1409" i="9" s="1"/>
  <c r="Z498" i="2"/>
  <c r="D1411" i="9" s="1"/>
  <c r="F2127" i="9"/>
  <c r="D2010" i="9"/>
  <c r="D1658" i="9"/>
  <c r="D1111" i="9"/>
  <c r="D328" i="9"/>
  <c r="AF500" i="2"/>
  <c r="I1413" i="9" s="1"/>
  <c r="Z502" i="2"/>
  <c r="D1415" i="9" s="1"/>
  <c r="AF504" i="2"/>
  <c r="I1416" i="9" s="1"/>
  <c r="Z506" i="2"/>
  <c r="D1418" i="9" s="1"/>
  <c r="D2017" i="9"/>
  <c r="F2134" i="9"/>
  <c r="D1665" i="9"/>
  <c r="D1118" i="9"/>
  <c r="D335" i="9"/>
  <c r="AF508" i="2"/>
  <c r="I1420" i="9" s="1"/>
  <c r="K262" i="4"/>
  <c r="K266" i="4"/>
  <c r="K270" i="4"/>
  <c r="K274" i="4"/>
  <c r="K278" i="4"/>
  <c r="K282" i="4"/>
  <c r="K294" i="4"/>
  <c r="K298" i="4"/>
  <c r="K302" i="4"/>
  <c r="K306" i="4"/>
  <c r="K310" i="4"/>
  <c r="K314" i="4"/>
  <c r="K318" i="4"/>
  <c r="K322" i="4"/>
  <c r="K326" i="4"/>
  <c r="K330" i="4"/>
  <c r="K334" i="4"/>
  <c r="K338" i="4"/>
  <c r="K342" i="4"/>
  <c r="K346" i="4"/>
  <c r="K354" i="4"/>
  <c r="K358" i="4"/>
  <c r="K362" i="4"/>
  <c r="K366" i="4"/>
  <c r="K370" i="4"/>
  <c r="K374" i="4"/>
  <c r="K378" i="4"/>
  <c r="K382" i="4"/>
  <c r="K386" i="4"/>
  <c r="K390" i="4"/>
  <c r="K394" i="4"/>
  <c r="K398" i="4"/>
  <c r="K402" i="4"/>
  <c r="F169" i="8"/>
  <c r="N168" i="8" s="1"/>
  <c r="K416" i="4"/>
  <c r="K426" i="4"/>
  <c r="F195" i="8"/>
  <c r="N194" i="8" s="1"/>
  <c r="F456" i="4"/>
  <c r="H465" i="4"/>
  <c r="D470" i="4"/>
  <c r="H8" i="5"/>
  <c r="I8" i="5" s="1"/>
  <c r="N15" i="5"/>
  <c r="H15" i="5"/>
  <c r="I15" i="5" s="1"/>
  <c r="G18" i="5"/>
  <c r="O18" i="5" s="1"/>
  <c r="P18" i="5" s="1"/>
  <c r="F20" i="5"/>
  <c r="M20" i="5" s="1"/>
  <c r="G27" i="5"/>
  <c r="O27" i="5" s="1"/>
  <c r="P27" i="5" s="1"/>
  <c r="P36" i="5"/>
  <c r="H38" i="5"/>
  <c r="I38" i="5" s="1"/>
  <c r="N38" i="5"/>
  <c r="H181" i="5"/>
  <c r="I181" i="5" s="1"/>
  <c r="O305" i="5"/>
  <c r="P305" i="5" s="1"/>
  <c r="O289" i="5"/>
  <c r="P289" i="5" s="1"/>
  <c r="I1811" i="9"/>
  <c r="I1459" i="9"/>
  <c r="I912" i="9"/>
  <c r="I129" i="9"/>
  <c r="I1815" i="9"/>
  <c r="I1463" i="9"/>
  <c r="I916" i="9"/>
  <c r="I133" i="9"/>
  <c r="I1822" i="9"/>
  <c r="I1470" i="9"/>
  <c r="I923" i="9"/>
  <c r="I140" i="9"/>
  <c r="I1826" i="9"/>
  <c r="I1474" i="9"/>
  <c r="I927" i="9"/>
  <c r="I144" i="9"/>
  <c r="I1830" i="9"/>
  <c r="I1478" i="9"/>
  <c r="I931" i="9"/>
  <c r="I148" i="9"/>
  <c r="I1836" i="9"/>
  <c r="I1484" i="9"/>
  <c r="I937" i="9"/>
  <c r="I154" i="9"/>
  <c r="I1839" i="9"/>
  <c r="I1487" i="9"/>
  <c r="I940" i="9"/>
  <c r="I157" i="9"/>
  <c r="I1843" i="9"/>
  <c r="I1491" i="9"/>
  <c r="I944" i="9"/>
  <c r="I161" i="9"/>
  <c r="I1846" i="9"/>
  <c r="I1494" i="9"/>
  <c r="I947" i="9"/>
  <c r="I164" i="9"/>
  <c r="I1850" i="9"/>
  <c r="I1498" i="9"/>
  <c r="I951" i="9"/>
  <c r="I168" i="9"/>
  <c r="I1854" i="9"/>
  <c r="I1502" i="9"/>
  <c r="I955" i="9"/>
  <c r="I172" i="9"/>
  <c r="I1857" i="9"/>
  <c r="I1505" i="9"/>
  <c r="I958" i="9"/>
  <c r="I175" i="9"/>
  <c r="I1860" i="9"/>
  <c r="I1508" i="9"/>
  <c r="I961" i="9"/>
  <c r="I178" i="9"/>
  <c r="I1863" i="9"/>
  <c r="I1511" i="9"/>
  <c r="I964" i="9"/>
  <c r="I181" i="9"/>
  <c r="I1867" i="9"/>
  <c r="I1515" i="9"/>
  <c r="I968" i="9"/>
  <c r="I185" i="9"/>
  <c r="I1871" i="9"/>
  <c r="I1519" i="9"/>
  <c r="I972" i="9"/>
  <c r="I189" i="9"/>
  <c r="I1874" i="9"/>
  <c r="I1522" i="9"/>
  <c r="I975" i="9"/>
  <c r="I192" i="9"/>
  <c r="I1878" i="9"/>
  <c r="I1526" i="9"/>
  <c r="I979" i="9"/>
  <c r="I196" i="9"/>
  <c r="AG352" i="2"/>
  <c r="J1280" i="9" s="1"/>
  <c r="I1882" i="9"/>
  <c r="I1530" i="9"/>
  <c r="I983" i="9"/>
  <c r="I200" i="9"/>
  <c r="AG356" i="2"/>
  <c r="J1284" i="9" s="1"/>
  <c r="I1886" i="9"/>
  <c r="I1534" i="9"/>
  <c r="I987" i="9"/>
  <c r="I204" i="9"/>
  <c r="AG360" i="2"/>
  <c r="J1288" i="9" s="1"/>
  <c r="I1892" i="9"/>
  <c r="I1540" i="9"/>
  <c r="I993" i="9"/>
  <c r="I210" i="9"/>
  <c r="AG368" i="2"/>
  <c r="J1294" i="9" s="1"/>
  <c r="I1895" i="9"/>
  <c r="I1543" i="9"/>
  <c r="I996" i="9"/>
  <c r="I213" i="9"/>
  <c r="AG372" i="2"/>
  <c r="J1297" i="9" s="1"/>
  <c r="I1899" i="9"/>
  <c r="I1547" i="9"/>
  <c r="I1000" i="9"/>
  <c r="I217" i="9"/>
  <c r="AG376" i="2"/>
  <c r="J1301" i="9" s="1"/>
  <c r="I1902" i="9"/>
  <c r="I1550" i="9"/>
  <c r="I1003" i="9"/>
  <c r="I220" i="9"/>
  <c r="AG380" i="2"/>
  <c r="J1304" i="9" s="1"/>
  <c r="I1906" i="9"/>
  <c r="I1554" i="9"/>
  <c r="I1007" i="9"/>
  <c r="I224" i="9"/>
  <c r="AG384" i="2"/>
  <c r="J1308" i="9" s="1"/>
  <c r="I1910" i="9"/>
  <c r="I1558" i="9"/>
  <c r="I1011" i="9"/>
  <c r="I228" i="9"/>
  <c r="AG388" i="2"/>
  <c r="J1312" i="9" s="1"/>
  <c r="I1914" i="9"/>
  <c r="I1562" i="9"/>
  <c r="I1015" i="9"/>
  <c r="I232" i="9"/>
  <c r="AG392" i="2"/>
  <c r="J1316" i="9" s="1"/>
  <c r="I1917" i="9"/>
  <c r="I1565" i="9"/>
  <c r="I1018" i="9"/>
  <c r="I235" i="9"/>
  <c r="AG396" i="2"/>
  <c r="J1319" i="9" s="1"/>
  <c r="I1920" i="9"/>
  <c r="I1568" i="9"/>
  <c r="I1021" i="9"/>
  <c r="I238" i="9"/>
  <c r="AG400" i="2"/>
  <c r="J1322" i="9" s="1"/>
  <c r="I1924" i="9"/>
  <c r="I1572" i="9"/>
  <c r="I1025" i="9"/>
  <c r="I242" i="9"/>
  <c r="AG404" i="2"/>
  <c r="J1326" i="9" s="1"/>
  <c r="I1928" i="9"/>
  <c r="I1576" i="9"/>
  <c r="I1029" i="9"/>
  <c r="I246" i="9"/>
  <c r="AG408" i="2"/>
  <c r="J1330" i="9" s="1"/>
  <c r="I1931" i="9"/>
  <c r="I1579" i="9"/>
  <c r="I1032" i="9"/>
  <c r="I249" i="9"/>
  <c r="AG412" i="2"/>
  <c r="J1333" i="9" s="1"/>
  <c r="I1935" i="9"/>
  <c r="I1583" i="9"/>
  <c r="I1036" i="9"/>
  <c r="I253" i="9"/>
  <c r="AG416" i="2"/>
  <c r="J1337" i="9" s="1"/>
  <c r="I1939" i="9"/>
  <c r="I1587" i="9"/>
  <c r="I1040" i="9"/>
  <c r="I257" i="9"/>
  <c r="AG420" i="2"/>
  <c r="J1341" i="9" s="1"/>
  <c r="I1943" i="9"/>
  <c r="I1591" i="9"/>
  <c r="I1044" i="9"/>
  <c r="I261" i="9"/>
  <c r="AG424" i="2"/>
  <c r="J1345" i="9" s="1"/>
  <c r="I1946" i="9"/>
  <c r="I1594" i="9"/>
  <c r="I1047" i="9"/>
  <c r="I264" i="9"/>
  <c r="AG428" i="2"/>
  <c r="J1348" i="9" s="1"/>
  <c r="I1953" i="9"/>
  <c r="I1601" i="9"/>
  <c r="I1054" i="9"/>
  <c r="I271" i="9"/>
  <c r="AG436" i="2"/>
  <c r="J1355" i="9" s="1"/>
  <c r="I1960" i="9"/>
  <c r="I1608" i="9"/>
  <c r="I1061" i="9"/>
  <c r="I278" i="9"/>
  <c r="AG444" i="2"/>
  <c r="J1362" i="9" s="1"/>
  <c r="I1964" i="9"/>
  <c r="I1612" i="9"/>
  <c r="I1065" i="9"/>
  <c r="I282" i="9"/>
  <c r="AG448" i="2"/>
  <c r="J1366" i="9" s="1"/>
  <c r="I1968" i="9"/>
  <c r="I1616" i="9"/>
  <c r="I1069" i="9"/>
  <c r="I286" i="9"/>
  <c r="AG452" i="2"/>
  <c r="J1370" i="9" s="1"/>
  <c r="I1972" i="9"/>
  <c r="I1620" i="9"/>
  <c r="I1073" i="9"/>
  <c r="I290" i="9"/>
  <c r="AG456" i="2"/>
  <c r="J1374" i="9" s="1"/>
  <c r="I1975" i="9"/>
  <c r="I1623" i="9"/>
  <c r="I1076" i="9"/>
  <c r="I293" i="9"/>
  <c r="AG460" i="2"/>
  <c r="J1377" i="9" s="1"/>
  <c r="I1978" i="9"/>
  <c r="I1626" i="9"/>
  <c r="I1079" i="9"/>
  <c r="I296" i="9"/>
  <c r="AG464" i="2"/>
  <c r="J1380" i="9" s="1"/>
  <c r="I1982" i="9"/>
  <c r="I1630" i="9"/>
  <c r="I1083" i="9"/>
  <c r="I300" i="9"/>
  <c r="AG468" i="2"/>
  <c r="J1384" i="9" s="1"/>
  <c r="I1986" i="9"/>
  <c r="I1634" i="9"/>
  <c r="I1087" i="9"/>
  <c r="I304" i="9"/>
  <c r="AG472" i="2"/>
  <c r="J1388" i="9" s="1"/>
  <c r="I1989" i="9"/>
  <c r="I1637" i="9"/>
  <c r="I1090" i="9"/>
  <c r="I307" i="9"/>
  <c r="AG476" i="2"/>
  <c r="J1391" i="9" s="1"/>
  <c r="I1993" i="9"/>
  <c r="I1641" i="9"/>
  <c r="I1094" i="9"/>
  <c r="I311" i="9"/>
  <c r="AG480" i="2"/>
  <c r="J1395" i="9" s="1"/>
  <c r="I1997" i="9"/>
  <c r="I1645" i="9"/>
  <c r="I1098" i="9"/>
  <c r="I315" i="9"/>
  <c r="AG484" i="2"/>
  <c r="J1399" i="9" s="1"/>
  <c r="I2001" i="9"/>
  <c r="I1649" i="9"/>
  <c r="I1102" i="9"/>
  <c r="I319" i="9"/>
  <c r="AG488" i="2"/>
  <c r="J1403" i="9" s="1"/>
  <c r="I2004" i="9"/>
  <c r="I1652" i="9"/>
  <c r="I1105" i="9"/>
  <c r="I322" i="9"/>
  <c r="AG492" i="2"/>
  <c r="J1406" i="9" s="1"/>
  <c r="I2007" i="9"/>
  <c r="I1655" i="9"/>
  <c r="I1108" i="9"/>
  <c r="I325" i="9"/>
  <c r="AG496" i="2"/>
  <c r="J1409" i="9" s="1"/>
  <c r="I2011" i="9"/>
  <c r="I1659" i="9"/>
  <c r="I1112" i="9"/>
  <c r="I329" i="9"/>
  <c r="AG500" i="2"/>
  <c r="J1413" i="9" s="1"/>
  <c r="I2014" i="9"/>
  <c r="I1662" i="9"/>
  <c r="I1115" i="9"/>
  <c r="I332" i="9"/>
  <c r="AG504" i="2"/>
  <c r="J1416" i="9" s="1"/>
  <c r="I2018" i="9"/>
  <c r="I1666" i="9"/>
  <c r="I1119" i="9"/>
  <c r="I336" i="9"/>
  <c r="AG508" i="2"/>
  <c r="J1420" i="9" s="1"/>
  <c r="K409" i="4"/>
  <c r="G411" i="4"/>
  <c r="C176" i="8" s="1"/>
  <c r="E176" i="8" s="1"/>
  <c r="F176" i="8" s="1"/>
  <c r="N175" i="8" s="1"/>
  <c r="K429" i="4"/>
  <c r="K432" i="4"/>
  <c r="F197" i="8"/>
  <c r="N196" i="8" s="1"/>
  <c r="G443" i="4"/>
  <c r="C205" i="8" s="1"/>
  <c r="E205" i="8" s="1"/>
  <c r="F205" i="8" s="1"/>
  <c r="N204" i="8" s="1"/>
  <c r="F208" i="8"/>
  <c r="N207" i="8" s="1"/>
  <c r="K447" i="4"/>
  <c r="B457" i="4"/>
  <c r="C466" i="4"/>
  <c r="G470" i="4"/>
  <c r="F6" i="5"/>
  <c r="H13" i="5"/>
  <c r="I13" i="5" s="1"/>
  <c r="H29" i="5"/>
  <c r="I29" i="5" s="1"/>
  <c r="P196" i="5"/>
  <c r="H211" i="5"/>
  <c r="I211" i="5" s="1"/>
  <c r="O317" i="5"/>
  <c r="P317" i="5" s="1"/>
  <c r="J1923" i="9"/>
  <c r="J1571" i="9"/>
  <c r="J1024" i="9"/>
  <c r="J241" i="9"/>
  <c r="C1924" i="9"/>
  <c r="C1572" i="9"/>
  <c r="C1326" i="9"/>
  <c r="C1025" i="9"/>
  <c r="C242" i="9"/>
  <c r="J1927" i="9"/>
  <c r="J1575" i="9"/>
  <c r="J1028" i="9"/>
  <c r="J245" i="9"/>
  <c r="C1928" i="9"/>
  <c r="C1576" i="9"/>
  <c r="C1330" i="9"/>
  <c r="C1029" i="9"/>
  <c r="C246" i="9"/>
  <c r="J1930" i="9"/>
  <c r="J1578" i="9"/>
  <c r="J1031" i="9"/>
  <c r="J248" i="9"/>
  <c r="C1931" i="9"/>
  <c r="C1579" i="9"/>
  <c r="C1333" i="9"/>
  <c r="C1032" i="9"/>
  <c r="C249" i="9"/>
  <c r="J1934" i="9"/>
  <c r="J1582" i="9"/>
  <c r="J1035" i="9"/>
  <c r="J252" i="9"/>
  <c r="C1935" i="9"/>
  <c r="C1583" i="9"/>
  <c r="C1337" i="9"/>
  <c r="C1036" i="9"/>
  <c r="C253" i="9"/>
  <c r="J1938" i="9"/>
  <c r="J1586" i="9"/>
  <c r="J1039" i="9"/>
  <c r="J256" i="9"/>
  <c r="C1939" i="9"/>
  <c r="C1587" i="9"/>
  <c r="C1341" i="9"/>
  <c r="C1040" i="9"/>
  <c r="C257" i="9"/>
  <c r="J1942" i="9"/>
  <c r="J1590" i="9"/>
  <c r="J1043" i="9"/>
  <c r="J260" i="9"/>
  <c r="C1943" i="9"/>
  <c r="C1591" i="9"/>
  <c r="C1345" i="9"/>
  <c r="C1044" i="9"/>
  <c r="C261" i="9"/>
  <c r="C1946" i="9"/>
  <c r="C1594" i="9"/>
  <c r="C1348" i="9"/>
  <c r="C1047" i="9"/>
  <c r="C264" i="9"/>
  <c r="J1949" i="9"/>
  <c r="J1597" i="9"/>
  <c r="J1050" i="9"/>
  <c r="J267" i="9"/>
  <c r="J1952" i="9"/>
  <c r="J1600" i="9"/>
  <c r="J1053" i="9"/>
  <c r="J270" i="9"/>
  <c r="C1953" i="9"/>
  <c r="C1601" i="9"/>
  <c r="C1355" i="9"/>
  <c r="C1054" i="9"/>
  <c r="C271" i="9"/>
  <c r="J1956" i="9"/>
  <c r="J1604" i="9"/>
  <c r="J1057" i="9"/>
  <c r="J274" i="9"/>
  <c r="J1959" i="9"/>
  <c r="J1607" i="9"/>
  <c r="J1060" i="9"/>
  <c r="J277" i="9"/>
  <c r="C1960" i="9"/>
  <c r="C1608" i="9"/>
  <c r="C1362" i="9"/>
  <c r="C1061" i="9"/>
  <c r="C278" i="9"/>
  <c r="J1963" i="9"/>
  <c r="J1611" i="9"/>
  <c r="J1064" i="9"/>
  <c r="J281" i="9"/>
  <c r="C1964" i="9"/>
  <c r="B2080" i="9"/>
  <c r="C1612" i="9"/>
  <c r="C1366" i="9"/>
  <c r="C1065" i="9"/>
  <c r="C282" i="9"/>
  <c r="J1967" i="9"/>
  <c r="J1615" i="9"/>
  <c r="J1068" i="9"/>
  <c r="J285" i="9"/>
  <c r="B2084" i="9"/>
  <c r="C1968" i="9"/>
  <c r="C1616" i="9"/>
  <c r="C1370" i="9"/>
  <c r="C1069" i="9"/>
  <c r="C286" i="9"/>
  <c r="J1971" i="9"/>
  <c r="J1619" i="9"/>
  <c r="J1072" i="9"/>
  <c r="J289" i="9"/>
  <c r="C1972" i="9"/>
  <c r="B2088" i="9"/>
  <c r="C1620" i="9"/>
  <c r="C1374" i="9"/>
  <c r="C1073" i="9"/>
  <c r="C290" i="9"/>
  <c r="J1974" i="9"/>
  <c r="J1622" i="9"/>
  <c r="J1075" i="9"/>
  <c r="J292" i="9"/>
  <c r="B2091" i="9"/>
  <c r="C1975" i="9"/>
  <c r="C1623" i="9"/>
  <c r="C1377" i="9"/>
  <c r="C1076" i="9"/>
  <c r="C293" i="9"/>
  <c r="J1977" i="9"/>
  <c r="J1625" i="9"/>
  <c r="J1078" i="9"/>
  <c r="J295" i="9"/>
  <c r="B2094" i="9"/>
  <c r="C1978" i="9"/>
  <c r="C1626" i="9"/>
  <c r="C1380" i="9"/>
  <c r="C1079" i="9"/>
  <c r="C296" i="9"/>
  <c r="J1981" i="9"/>
  <c r="J1629" i="9"/>
  <c r="J1082" i="9"/>
  <c r="J299" i="9"/>
  <c r="B2098" i="9"/>
  <c r="C1982" i="9"/>
  <c r="C1630" i="9"/>
  <c r="C1384" i="9"/>
  <c r="C1083" i="9"/>
  <c r="C300" i="9"/>
  <c r="J1985" i="9"/>
  <c r="J1633" i="9"/>
  <c r="J1086" i="9"/>
  <c r="J303" i="9"/>
  <c r="C1986" i="9"/>
  <c r="B2102" i="9"/>
  <c r="C1634" i="9"/>
  <c r="C1388" i="9"/>
  <c r="C1087" i="9"/>
  <c r="C304" i="9"/>
  <c r="J1988" i="9"/>
  <c r="J1636" i="9"/>
  <c r="J1089" i="9"/>
  <c r="J306" i="9"/>
  <c r="B2105" i="9"/>
  <c r="C1989" i="9"/>
  <c r="C1637" i="9"/>
  <c r="C1391" i="9"/>
  <c r="C1090" i="9"/>
  <c r="C307" i="9"/>
  <c r="J1992" i="9"/>
  <c r="J1640" i="9"/>
  <c r="J1093" i="9"/>
  <c r="J310" i="9"/>
  <c r="C1993" i="9"/>
  <c r="B2109" i="9"/>
  <c r="C1641" i="9"/>
  <c r="C1395" i="9"/>
  <c r="C1094" i="9"/>
  <c r="C311" i="9"/>
  <c r="J1996" i="9"/>
  <c r="J1644" i="9"/>
  <c r="J1097" i="9"/>
  <c r="J314" i="9"/>
  <c r="B2113" i="9"/>
  <c r="C1997" i="9"/>
  <c r="C1645" i="9"/>
  <c r="C1399" i="9"/>
  <c r="C1098" i="9"/>
  <c r="C315" i="9"/>
  <c r="J2000" i="9"/>
  <c r="J1648" i="9"/>
  <c r="J1101" i="9"/>
  <c r="J318" i="9"/>
  <c r="B2117" i="9"/>
  <c r="C2001" i="9"/>
  <c r="C1649" i="9"/>
  <c r="C1403" i="9"/>
  <c r="C1102" i="9"/>
  <c r="C319" i="9"/>
  <c r="J2003" i="9"/>
  <c r="J1651" i="9"/>
  <c r="J1104" i="9"/>
  <c r="J321" i="9"/>
  <c r="B2120" i="9"/>
  <c r="C2004" i="9"/>
  <c r="C1652" i="9"/>
  <c r="C1406" i="9"/>
  <c r="C1105" i="9"/>
  <c r="C322" i="9"/>
  <c r="C2007" i="9"/>
  <c r="B2124" i="9"/>
  <c r="C1655" i="9"/>
  <c r="C1409" i="9"/>
  <c r="C1108" i="9"/>
  <c r="C325" i="9"/>
  <c r="J2010" i="9"/>
  <c r="J1658" i="9"/>
  <c r="J1111" i="9"/>
  <c r="J328" i="9"/>
  <c r="C2011" i="9"/>
  <c r="B2128" i="9"/>
  <c r="C1659" i="9"/>
  <c r="C1413" i="9"/>
  <c r="C1112" i="9"/>
  <c r="C329" i="9"/>
  <c r="C2014" i="9"/>
  <c r="B2131" i="9"/>
  <c r="C1662" i="9"/>
  <c r="C1416" i="9"/>
  <c r="C1115" i="9"/>
  <c r="C332" i="9"/>
  <c r="AA333" i="9"/>
  <c r="K446" i="4"/>
  <c r="J2017" i="9"/>
  <c r="J1665" i="9"/>
  <c r="J1118" i="9"/>
  <c r="J335" i="9"/>
  <c r="B2135" i="9"/>
  <c r="C2018" i="9"/>
  <c r="C1666" i="9"/>
  <c r="C1420" i="9"/>
  <c r="C1119" i="9"/>
  <c r="C336" i="9"/>
  <c r="F158" i="8"/>
  <c r="F162" i="8"/>
  <c r="N162" i="8" s="1"/>
  <c r="F165" i="8"/>
  <c r="N165" i="8" s="1"/>
  <c r="K405" i="4"/>
  <c r="K412" i="4"/>
  <c r="F182" i="8"/>
  <c r="N181" i="8" s="1"/>
  <c r="K419" i="4"/>
  <c r="G424" i="4"/>
  <c r="C188" i="8" s="1"/>
  <c r="E188" i="8" s="1"/>
  <c r="F188" i="8" s="1"/>
  <c r="N187" i="8" s="1"/>
  <c r="K435" i="4"/>
  <c r="G440" i="4"/>
  <c r="C203" i="8" s="1"/>
  <c r="E203" i="8" s="1"/>
  <c r="F203" i="8" s="1"/>
  <c r="N202" i="8" s="1"/>
  <c r="E457" i="4"/>
  <c r="F466" i="4"/>
  <c r="N455" i="5"/>
  <c r="D454" i="5"/>
  <c r="H454" i="5" s="1"/>
  <c r="D459" i="5"/>
  <c r="H459" i="5" s="1"/>
  <c r="N454" i="5"/>
  <c r="O459" i="5"/>
  <c r="C459" i="5"/>
  <c r="N459" i="5"/>
  <c r="D458" i="5"/>
  <c r="H458" i="5" s="1"/>
  <c r="O458" i="5"/>
  <c r="C458" i="5"/>
  <c r="K454" i="5"/>
  <c r="N458" i="5"/>
  <c r="D457" i="5"/>
  <c r="H457" i="5" s="1"/>
  <c r="N457" i="5"/>
  <c r="D456" i="5"/>
  <c r="H456" i="5" s="1"/>
  <c r="O456" i="5"/>
  <c r="C456" i="5"/>
  <c r="N456" i="5"/>
  <c r="D455" i="5"/>
  <c r="H455" i="5" s="1"/>
  <c r="F454" i="5"/>
  <c r="C454" i="5"/>
  <c r="C457" i="5"/>
  <c r="F457" i="5" s="1"/>
  <c r="O455" i="5"/>
  <c r="C455" i="5"/>
  <c r="K455" i="5" s="1"/>
  <c r="O454" i="5"/>
  <c r="O457" i="5"/>
  <c r="G6" i="5"/>
  <c r="O6" i="5" s="1"/>
  <c r="P6" i="5" s="1"/>
  <c r="F8" i="5"/>
  <c r="M8" i="5" s="1"/>
  <c r="G15" i="5"/>
  <c r="O15" i="5" s="1"/>
  <c r="P15" i="5" s="1"/>
  <c r="P24" i="5"/>
  <c r="J31" i="5"/>
  <c r="N31" i="5"/>
  <c r="F36" i="5"/>
  <c r="G38" i="5"/>
  <c r="O38" i="5" s="1"/>
  <c r="P38" i="5" s="1"/>
  <c r="G196" i="5"/>
  <c r="O196" i="5" s="1"/>
  <c r="O280" i="5"/>
  <c r="H58" i="5"/>
  <c r="I58" i="5" s="1"/>
  <c r="F53" i="5"/>
  <c r="M53" i="5" s="1"/>
  <c r="H52" i="5"/>
  <c r="I52" i="5" s="1"/>
  <c r="F47" i="5"/>
  <c r="M47" i="5" s="1"/>
  <c r="H46" i="5"/>
  <c r="I46" i="5" s="1"/>
  <c r="F41" i="5"/>
  <c r="M41" i="5" s="1"/>
  <c r="H40" i="5"/>
  <c r="I40" i="5" s="1"/>
  <c r="F57" i="5"/>
  <c r="M57" i="5" s="1"/>
  <c r="F51" i="5"/>
  <c r="M51" i="5" s="1"/>
  <c r="F45" i="5"/>
  <c r="M45" i="5" s="1"/>
  <c r="F39" i="5"/>
  <c r="N6" i="5"/>
  <c r="F10" i="5"/>
  <c r="J14" i="5"/>
  <c r="F16" i="5"/>
  <c r="J20" i="5"/>
  <c r="F22" i="5"/>
  <c r="N24" i="5"/>
  <c r="J26" i="5"/>
  <c r="F28" i="5"/>
  <c r="N30" i="5"/>
  <c r="J32" i="5"/>
  <c r="F34" i="5"/>
  <c r="N36" i="5"/>
  <c r="J53" i="5"/>
  <c r="J68" i="5"/>
  <c r="N187" i="5"/>
  <c r="J187" i="5"/>
  <c r="F188" i="5"/>
  <c r="H189" i="5"/>
  <c r="I189" i="5" s="1"/>
  <c r="H194" i="5"/>
  <c r="I194" i="5" s="1"/>
  <c r="F196" i="5"/>
  <c r="H202" i="5"/>
  <c r="I202" i="5" s="1"/>
  <c r="G203" i="5"/>
  <c r="O203" i="5" s="1"/>
  <c r="P203" i="5" s="1"/>
  <c r="H204" i="5"/>
  <c r="I204" i="5" s="1"/>
  <c r="F210" i="5"/>
  <c r="H217" i="5"/>
  <c r="I217" i="5" s="1"/>
  <c r="G222" i="5"/>
  <c r="H230" i="5"/>
  <c r="I230" i="5" s="1"/>
  <c r="G231" i="5"/>
  <c r="F236" i="5"/>
  <c r="M236" i="5" s="1"/>
  <c r="G241" i="5"/>
  <c r="O241" i="5" s="1"/>
  <c r="F245" i="5"/>
  <c r="M245" i="5" s="1"/>
  <c r="G250" i="5"/>
  <c r="O250" i="5" s="1"/>
  <c r="P250" i="5" s="1"/>
  <c r="F254" i="5"/>
  <c r="G259" i="5"/>
  <c r="O259" i="5" s="1"/>
  <c r="P259" i="5" s="1"/>
  <c r="F263" i="5"/>
  <c r="G268" i="5"/>
  <c r="O268" i="5" s="1"/>
  <c r="F272" i="5"/>
  <c r="H276" i="5"/>
  <c r="I276" i="5" s="1"/>
  <c r="L283" i="5"/>
  <c r="O315" i="5"/>
  <c r="P315" i="5" s="1"/>
  <c r="L317" i="5"/>
  <c r="P338" i="5"/>
  <c r="O340" i="5"/>
  <c r="P344" i="5"/>
  <c r="O358" i="5"/>
  <c r="F409" i="5"/>
  <c r="M409" i="5" s="1"/>
  <c r="G22" i="5"/>
  <c r="O22" i="5" s="1"/>
  <c r="P22" i="5" s="1"/>
  <c r="G28" i="5"/>
  <c r="O28" i="5" s="1"/>
  <c r="P28" i="5" s="1"/>
  <c r="G34" i="5"/>
  <c r="G195" i="5"/>
  <c r="O195" i="5" s="1"/>
  <c r="P195" i="5" s="1"/>
  <c r="H203" i="5"/>
  <c r="I203" i="5" s="1"/>
  <c r="G210" i="5"/>
  <c r="O210" i="5" s="1"/>
  <c r="P210" i="5" s="1"/>
  <c r="G221" i="5"/>
  <c r="O221" i="5" s="1"/>
  <c r="P221" i="5" s="1"/>
  <c r="H222" i="5"/>
  <c r="I222" i="5" s="1"/>
  <c r="J225" i="5"/>
  <c r="F226" i="5"/>
  <c r="H231" i="5"/>
  <c r="I231" i="5" s="1"/>
  <c r="G236" i="5"/>
  <c r="O236" i="5" s="1"/>
  <c r="P236" i="5" s="1"/>
  <c r="G240" i="5"/>
  <c r="O240" i="5" s="1"/>
  <c r="P240" i="5" s="1"/>
  <c r="H241" i="5"/>
  <c r="I241" i="5" s="1"/>
  <c r="G245" i="5"/>
  <c r="O245" i="5" s="1"/>
  <c r="P245" i="5" s="1"/>
  <c r="G249" i="5"/>
  <c r="O249" i="5" s="1"/>
  <c r="P249" i="5" s="1"/>
  <c r="H250" i="5"/>
  <c r="I250" i="5" s="1"/>
  <c r="G254" i="5"/>
  <c r="O254" i="5" s="1"/>
  <c r="P254" i="5" s="1"/>
  <c r="G258" i="5"/>
  <c r="O258" i="5" s="1"/>
  <c r="P258" i="5" s="1"/>
  <c r="H259" i="5"/>
  <c r="I259" i="5" s="1"/>
  <c r="G263" i="5"/>
  <c r="O263" i="5" s="1"/>
  <c r="P263" i="5" s="1"/>
  <c r="G267" i="5"/>
  <c r="O267" i="5" s="1"/>
  <c r="P267" i="5" s="1"/>
  <c r="H268" i="5"/>
  <c r="I268" i="5" s="1"/>
  <c r="G272" i="5"/>
  <c r="O272" i="5" s="1"/>
  <c r="P272" i="5" s="1"/>
  <c r="P286" i="5"/>
  <c r="L290" i="5"/>
  <c r="O295" i="5"/>
  <c r="O312" i="5"/>
  <c r="P312" i="5" s="1"/>
  <c r="O323" i="5"/>
  <c r="P323" i="5" s="1"/>
  <c r="O346" i="5"/>
  <c r="O389" i="5"/>
  <c r="P389" i="5" s="1"/>
  <c r="H10" i="5"/>
  <c r="I10" i="5" s="1"/>
  <c r="F11" i="5"/>
  <c r="H16" i="5"/>
  <c r="I16" i="5" s="1"/>
  <c r="F17" i="5"/>
  <c r="H22" i="5"/>
  <c r="I22" i="5" s="1"/>
  <c r="F23" i="5"/>
  <c r="H28" i="5"/>
  <c r="I28" i="5" s="1"/>
  <c r="F29" i="5"/>
  <c r="H34" i="5"/>
  <c r="I34" i="5" s="1"/>
  <c r="F35" i="5"/>
  <c r="N193" i="5"/>
  <c r="F194" i="5"/>
  <c r="H200" i="5"/>
  <c r="I200" i="5" s="1"/>
  <c r="F202" i="5"/>
  <c r="H208" i="5"/>
  <c r="I208" i="5" s="1"/>
  <c r="G209" i="5"/>
  <c r="O209" i="5" s="1"/>
  <c r="P209" i="5" s="1"/>
  <c r="H210" i="5"/>
  <c r="I210" i="5" s="1"/>
  <c r="F216" i="5"/>
  <c r="H220" i="5"/>
  <c r="I220" i="5" s="1"/>
  <c r="F230" i="5"/>
  <c r="H240" i="5"/>
  <c r="I240" i="5" s="1"/>
  <c r="H249" i="5"/>
  <c r="I249" i="5" s="1"/>
  <c r="H258" i="5"/>
  <c r="I258" i="5" s="1"/>
  <c r="H267" i="5"/>
  <c r="I267" i="5" s="1"/>
  <c r="O287" i="5"/>
  <c r="P287" i="5" s="1"/>
  <c r="O309" i="5"/>
  <c r="P309" i="5" s="1"/>
  <c r="L311" i="5"/>
  <c r="O320" i="5"/>
  <c r="O325" i="5"/>
  <c r="O369" i="5"/>
  <c r="G17" i="5"/>
  <c r="O17" i="5" s="1"/>
  <c r="P17" i="5" s="1"/>
  <c r="G23" i="5"/>
  <c r="O23" i="5" s="1"/>
  <c r="P23" i="5" s="1"/>
  <c r="G29" i="5"/>
  <c r="O29" i="5" s="1"/>
  <c r="P29" i="5" s="1"/>
  <c r="G35" i="5"/>
  <c r="O35" i="5" s="1"/>
  <c r="P35" i="5" s="1"/>
  <c r="N39" i="5"/>
  <c r="P186" i="5"/>
  <c r="H187" i="5"/>
  <c r="I187" i="5" s="1"/>
  <c r="G201" i="5"/>
  <c r="O201" i="5" s="1"/>
  <c r="G202" i="5"/>
  <c r="O202" i="5" s="1"/>
  <c r="P202" i="5" s="1"/>
  <c r="H209" i="5"/>
  <c r="I209" i="5" s="1"/>
  <c r="G216" i="5"/>
  <c r="O216" i="5" s="1"/>
  <c r="P216" i="5" s="1"/>
  <c r="H224" i="5"/>
  <c r="I224" i="5" s="1"/>
  <c r="G225" i="5"/>
  <c r="O225" i="5" s="1"/>
  <c r="N229" i="5"/>
  <c r="F235" i="5"/>
  <c r="F244" i="5"/>
  <c r="M244" i="5" s="1"/>
  <c r="F253" i="5"/>
  <c r="F262" i="5"/>
  <c r="M262" i="5" s="1"/>
  <c r="F271" i="5"/>
  <c r="K290" i="5"/>
  <c r="L293" i="5"/>
  <c r="O294" i="5"/>
  <c r="P294" i="5" s="1"/>
  <c r="O306" i="5"/>
  <c r="P306" i="5" s="1"/>
  <c r="K314" i="5"/>
  <c r="L314" i="5" s="1"/>
  <c r="O322" i="5"/>
  <c r="O350" i="5"/>
  <c r="P350" i="5" s="1"/>
  <c r="O352" i="5"/>
  <c r="H416" i="5"/>
  <c r="I416" i="5" s="1"/>
  <c r="N416" i="5"/>
  <c r="G410" i="5"/>
  <c r="O410" i="5" s="1"/>
  <c r="P410" i="5" s="1"/>
  <c r="G405" i="5"/>
  <c r="O405" i="5" s="1"/>
  <c r="P405" i="5" s="1"/>
  <c r="G400" i="5"/>
  <c r="O400" i="5" s="1"/>
  <c r="H414" i="5"/>
  <c r="I414" i="5" s="1"/>
  <c r="H396" i="5"/>
  <c r="I396" i="5" s="1"/>
  <c r="G397" i="5"/>
  <c r="O397" i="5" s="1"/>
  <c r="G392" i="5"/>
  <c r="G398" i="5"/>
  <c r="O398" i="5" s="1"/>
  <c r="P398" i="5" s="1"/>
  <c r="G393" i="5"/>
  <c r="O393" i="5" s="1"/>
  <c r="F186" i="5"/>
  <c r="F193" i="5"/>
  <c r="M193" i="5" s="1"/>
  <c r="N199" i="5"/>
  <c r="F200" i="5"/>
  <c r="M200" i="5" s="1"/>
  <c r="H201" i="5"/>
  <c r="I201" i="5" s="1"/>
  <c r="H206" i="5"/>
  <c r="I206" i="5" s="1"/>
  <c r="F208" i="5"/>
  <c r="H214" i="5"/>
  <c r="I214" i="5" s="1"/>
  <c r="G215" i="5"/>
  <c r="O215" i="5" s="1"/>
  <c r="P215" i="5" s="1"/>
  <c r="H216" i="5"/>
  <c r="I216" i="5" s="1"/>
  <c r="F220" i="5"/>
  <c r="H225" i="5"/>
  <c r="I225" i="5" s="1"/>
  <c r="G235" i="5"/>
  <c r="O235" i="5" s="1"/>
  <c r="P235" i="5" s="1"/>
  <c r="F239" i="5"/>
  <c r="M239" i="5" s="1"/>
  <c r="G244" i="5"/>
  <c r="O244" i="5" s="1"/>
  <c r="P244" i="5" s="1"/>
  <c r="F248" i="5"/>
  <c r="M248" i="5" s="1"/>
  <c r="G253" i="5"/>
  <c r="O253" i="5" s="1"/>
  <c r="P253" i="5" s="1"/>
  <c r="F257" i="5"/>
  <c r="G262" i="5"/>
  <c r="O262" i="5" s="1"/>
  <c r="P262" i="5" s="1"/>
  <c r="F266" i="5"/>
  <c r="G271" i="5"/>
  <c r="O271" i="5" s="1"/>
  <c r="P271" i="5" s="1"/>
  <c r="G275" i="5"/>
  <c r="O275" i="5" s="1"/>
  <c r="P275" i="5" s="1"/>
  <c r="P511" i="5"/>
  <c r="D50" i="12" s="1"/>
  <c r="F50" i="12" s="1"/>
  <c r="G50" i="12" s="1"/>
  <c r="O332" i="5"/>
  <c r="P332" i="5" s="1"/>
  <c r="O329" i="5"/>
  <c r="P329" i="5" s="1"/>
  <c r="O327" i="5"/>
  <c r="P327" i="5" s="1"/>
  <c r="O326" i="5"/>
  <c r="O303" i="5"/>
  <c r="P303" i="5" s="1"/>
  <c r="L305" i="5"/>
  <c r="K311" i="5"/>
  <c r="O314" i="5"/>
  <c r="P314" i="5" s="1"/>
  <c r="O319" i="5"/>
  <c r="P356" i="5"/>
  <c r="P419" i="5"/>
  <c r="G425" i="5"/>
  <c r="O425" i="5" s="1"/>
  <c r="G186" i="5"/>
  <c r="O186" i="5" s="1"/>
  <c r="H193" i="5"/>
  <c r="I193" i="5" s="1"/>
  <c r="G207" i="5"/>
  <c r="O207" i="5" s="1"/>
  <c r="P207" i="5" s="1"/>
  <c r="G208" i="5"/>
  <c r="O208" i="5" s="1"/>
  <c r="P208" i="5" s="1"/>
  <c r="H215" i="5"/>
  <c r="I215" i="5" s="1"/>
  <c r="F224" i="5"/>
  <c r="M224" i="5" s="1"/>
  <c r="F229" i="5"/>
  <c r="M229" i="5" s="1"/>
  <c r="G234" i="5"/>
  <c r="O234" i="5" s="1"/>
  <c r="P234" i="5" s="1"/>
  <c r="H235" i="5"/>
  <c r="I235" i="5" s="1"/>
  <c r="G239" i="5"/>
  <c r="O239" i="5" s="1"/>
  <c r="P239" i="5" s="1"/>
  <c r="G243" i="5"/>
  <c r="O243" i="5" s="1"/>
  <c r="P243" i="5" s="1"/>
  <c r="H244" i="5"/>
  <c r="I244" i="5" s="1"/>
  <c r="G248" i="5"/>
  <c r="O248" i="5" s="1"/>
  <c r="P248" i="5" s="1"/>
  <c r="G252" i="5"/>
  <c r="O252" i="5" s="1"/>
  <c r="P252" i="5" s="1"/>
  <c r="H253" i="5"/>
  <c r="I253" i="5" s="1"/>
  <c r="G257" i="5"/>
  <c r="O257" i="5" s="1"/>
  <c r="P257" i="5" s="1"/>
  <c r="G261" i="5"/>
  <c r="O261" i="5" s="1"/>
  <c r="P261" i="5" s="1"/>
  <c r="H262" i="5"/>
  <c r="I262" i="5" s="1"/>
  <c r="G266" i="5"/>
  <c r="O266" i="5" s="1"/>
  <c r="P266" i="5" s="1"/>
  <c r="G270" i="5"/>
  <c r="O270" i="5" s="1"/>
  <c r="P270" i="5" s="1"/>
  <c r="P292" i="5"/>
  <c r="O297" i="5"/>
  <c r="P297" i="5" s="1"/>
  <c r="O300" i="5"/>
  <c r="P300" i="5" s="1"/>
  <c r="L302" i="5"/>
  <c r="K308" i="5"/>
  <c r="L308" i="5" s="1"/>
  <c r="O311" i="5"/>
  <c r="P311" i="5" s="1"/>
  <c r="L313" i="5"/>
  <c r="O316" i="5"/>
  <c r="O386" i="5"/>
  <c r="P386" i="5" s="1"/>
  <c r="O356" i="5"/>
  <c r="P32" i="5"/>
  <c r="N461" i="5"/>
  <c r="D460" i="5"/>
  <c r="D465" i="5"/>
  <c r="N460" i="5"/>
  <c r="O465" i="5"/>
  <c r="C465" i="5"/>
  <c r="K461" i="5"/>
  <c r="N465" i="5"/>
  <c r="D464" i="5"/>
  <c r="F463" i="5"/>
  <c r="O464" i="5"/>
  <c r="C464" i="5"/>
  <c r="N464" i="5"/>
  <c r="D463" i="5"/>
  <c r="N463" i="5"/>
  <c r="D462" i="5"/>
  <c r="F462" i="5" s="1"/>
  <c r="F461" i="5"/>
  <c r="O462" i="5"/>
  <c r="C462" i="5"/>
  <c r="N462" i="5"/>
  <c r="D461" i="5"/>
  <c r="F460" i="5"/>
  <c r="O460" i="5"/>
  <c r="O463" i="5"/>
  <c r="K463" i="5"/>
  <c r="C460" i="5"/>
  <c r="C463" i="5"/>
  <c r="K462" i="5"/>
  <c r="O461" i="5"/>
  <c r="N471" i="5"/>
  <c r="N468" i="5"/>
  <c r="K471" i="5"/>
  <c r="N467" i="5"/>
  <c r="D466" i="5"/>
  <c r="F466" i="5" s="1"/>
  <c r="N466" i="5"/>
  <c r="D471" i="5"/>
  <c r="D470" i="5"/>
  <c r="K470" i="5" s="1"/>
  <c r="O470" i="5"/>
  <c r="C469" i="5"/>
  <c r="D468" i="5"/>
  <c r="O471" i="5"/>
  <c r="N470" i="5"/>
  <c r="O469" i="5"/>
  <c r="C468" i="5"/>
  <c r="F468" i="5" s="1"/>
  <c r="N469" i="5"/>
  <c r="O468" i="5"/>
  <c r="D467" i="5"/>
  <c r="F467" i="5" s="1"/>
  <c r="C471" i="5"/>
  <c r="F471" i="5" s="1"/>
  <c r="C467" i="5"/>
  <c r="O466" i="5"/>
  <c r="C470" i="5"/>
  <c r="C466" i="5"/>
  <c r="D469" i="5"/>
  <c r="N477" i="5"/>
  <c r="D476" i="5"/>
  <c r="F476" i="5" s="1"/>
  <c r="N474" i="5"/>
  <c r="D473" i="5"/>
  <c r="D477" i="5"/>
  <c r="N472" i="5"/>
  <c r="N473" i="5"/>
  <c r="C476" i="5"/>
  <c r="O474" i="5"/>
  <c r="O475" i="5"/>
  <c r="C477" i="5"/>
  <c r="N475" i="5"/>
  <c r="O476" i="5"/>
  <c r="N476" i="5"/>
  <c r="F473" i="5"/>
  <c r="D472" i="5"/>
  <c r="C472" i="5"/>
  <c r="F472" i="5" s="1"/>
  <c r="O477" i="5"/>
  <c r="C473" i="5"/>
  <c r="D474" i="5"/>
  <c r="D475" i="5"/>
  <c r="C474" i="5"/>
  <c r="O472" i="5"/>
  <c r="C475" i="5"/>
  <c r="O473" i="5"/>
  <c r="H184" i="5"/>
  <c r="I184" i="5" s="1"/>
  <c r="G185" i="5"/>
  <c r="O185" i="5" s="1"/>
  <c r="P185" i="5" s="1"/>
  <c r="H186" i="5"/>
  <c r="I186" i="5" s="1"/>
  <c r="F192" i="5"/>
  <c r="F199" i="5"/>
  <c r="M199" i="5" s="1"/>
  <c r="N205" i="5"/>
  <c r="J205" i="5"/>
  <c r="F206" i="5"/>
  <c r="H207" i="5"/>
  <c r="I207" i="5" s="1"/>
  <c r="H212" i="5"/>
  <c r="I212" i="5" s="1"/>
  <c r="F214" i="5"/>
  <c r="H218" i="5"/>
  <c r="I218" i="5" s="1"/>
  <c r="G229" i="5"/>
  <c r="O229" i="5" s="1"/>
  <c r="P229" i="5" s="1"/>
  <c r="G223" i="5"/>
  <c r="O223" i="5" s="1"/>
  <c r="P223" i="5" s="1"/>
  <c r="F277" i="5"/>
  <c r="G276" i="5"/>
  <c r="O276" i="5" s="1"/>
  <c r="P276" i="5" s="1"/>
  <c r="F275" i="5"/>
  <c r="N223" i="5"/>
  <c r="G232" i="5"/>
  <c r="G226" i="5"/>
  <c r="O226" i="5" s="1"/>
  <c r="P226" i="5" s="1"/>
  <c r="F225" i="5"/>
  <c r="M225" i="5" s="1"/>
  <c r="J223" i="5"/>
  <c r="G224" i="5"/>
  <c r="O224" i="5" s="1"/>
  <c r="P224" i="5" s="1"/>
  <c r="H229" i="5"/>
  <c r="I229" i="5" s="1"/>
  <c r="H234" i="5"/>
  <c r="I234" i="5" s="1"/>
  <c r="H243" i="5"/>
  <c r="I243" i="5" s="1"/>
  <c r="H252" i="5"/>
  <c r="I252" i="5" s="1"/>
  <c r="H261" i="5"/>
  <c r="I261" i="5" s="1"/>
  <c r="H270" i="5"/>
  <c r="I270" i="5" s="1"/>
  <c r="O293" i="5"/>
  <c r="P293" i="5" s="1"/>
  <c r="L299" i="5"/>
  <c r="O308" i="5"/>
  <c r="P308" i="5" s="1"/>
  <c r="O313" i="5"/>
  <c r="P318" i="5"/>
  <c r="L329" i="5"/>
  <c r="O331" i="5"/>
  <c r="O337" i="5"/>
  <c r="O343" i="5"/>
  <c r="P343" i="5" s="1"/>
  <c r="O370" i="5"/>
  <c r="O467" i="5"/>
  <c r="G31" i="5"/>
  <c r="O31" i="5" s="1"/>
  <c r="P31" i="5" s="1"/>
  <c r="G37" i="5"/>
  <c r="O37" i="5" s="1"/>
  <c r="P37" i="5" s="1"/>
  <c r="F38" i="5"/>
  <c r="M38" i="5" s="1"/>
  <c r="N43" i="5"/>
  <c r="H44" i="5"/>
  <c r="I44" i="5" s="1"/>
  <c r="N49" i="5"/>
  <c r="H50" i="5"/>
  <c r="I50" i="5" s="1"/>
  <c r="J51" i="5"/>
  <c r="N55" i="5"/>
  <c r="H56" i="5"/>
  <c r="I56" i="5" s="1"/>
  <c r="J57" i="5"/>
  <c r="H112" i="5"/>
  <c r="I112" i="5" s="1"/>
  <c r="F107" i="5"/>
  <c r="M107" i="5" s="1"/>
  <c r="H106" i="5"/>
  <c r="I106" i="5" s="1"/>
  <c r="F101" i="5"/>
  <c r="M101" i="5" s="1"/>
  <c r="H100" i="5"/>
  <c r="I100" i="5" s="1"/>
  <c r="F95" i="5"/>
  <c r="M95" i="5" s="1"/>
  <c r="H94" i="5"/>
  <c r="I94" i="5" s="1"/>
  <c r="F89" i="5"/>
  <c r="M89" i="5" s="1"/>
  <c r="H88" i="5"/>
  <c r="I88" i="5" s="1"/>
  <c r="F83" i="5"/>
  <c r="M83" i="5" s="1"/>
  <c r="H82" i="5"/>
  <c r="I82" i="5" s="1"/>
  <c r="F77" i="5"/>
  <c r="M77" i="5" s="1"/>
  <c r="H76" i="5"/>
  <c r="I76" i="5" s="1"/>
  <c r="F71" i="5"/>
  <c r="M71" i="5" s="1"/>
  <c r="H70" i="5"/>
  <c r="I70" i="5" s="1"/>
  <c r="F65" i="5"/>
  <c r="M65" i="5" s="1"/>
  <c r="H64" i="5"/>
  <c r="I64" i="5" s="1"/>
  <c r="F59" i="5"/>
  <c r="F111" i="5"/>
  <c r="M111" i="5" s="1"/>
  <c r="F105" i="5"/>
  <c r="M105" i="5" s="1"/>
  <c r="F99" i="5"/>
  <c r="M99" i="5" s="1"/>
  <c r="F93" i="5"/>
  <c r="M93" i="5" s="1"/>
  <c r="F87" i="5"/>
  <c r="M87" i="5" s="1"/>
  <c r="F81" i="5"/>
  <c r="M81" i="5" s="1"/>
  <c r="F75" i="5"/>
  <c r="M75" i="5" s="1"/>
  <c r="F69" i="5"/>
  <c r="M69" i="5" s="1"/>
  <c r="F63" i="5"/>
  <c r="M63" i="5" s="1"/>
  <c r="N59" i="5"/>
  <c r="N61" i="5"/>
  <c r="H62" i="5"/>
  <c r="I62" i="5" s="1"/>
  <c r="J63" i="5"/>
  <c r="N67" i="5"/>
  <c r="H68" i="5"/>
  <c r="I68" i="5" s="1"/>
  <c r="N73" i="5"/>
  <c r="H74" i="5"/>
  <c r="I74" i="5" s="1"/>
  <c r="N79" i="5"/>
  <c r="H80" i="5"/>
  <c r="I80" i="5" s="1"/>
  <c r="N85" i="5"/>
  <c r="H86" i="5"/>
  <c r="I86" i="5" s="1"/>
  <c r="N91" i="5"/>
  <c r="H92" i="5"/>
  <c r="I92" i="5" s="1"/>
  <c r="N97" i="5"/>
  <c r="H98" i="5"/>
  <c r="I98" i="5" s="1"/>
  <c r="J99" i="5"/>
  <c r="N103" i="5"/>
  <c r="H104" i="5"/>
  <c r="I104" i="5" s="1"/>
  <c r="N109" i="5"/>
  <c r="H110" i="5"/>
  <c r="I110" i="5" s="1"/>
  <c r="H166" i="5"/>
  <c r="I166" i="5" s="1"/>
  <c r="F161" i="5"/>
  <c r="M161" i="5" s="1"/>
  <c r="H160" i="5"/>
  <c r="I160" i="5" s="1"/>
  <c r="F155" i="5"/>
  <c r="M155" i="5" s="1"/>
  <c r="H154" i="5"/>
  <c r="I154" i="5" s="1"/>
  <c r="F149" i="5"/>
  <c r="M149" i="5" s="1"/>
  <c r="H148" i="5"/>
  <c r="I148" i="5" s="1"/>
  <c r="F143" i="5"/>
  <c r="M143" i="5" s="1"/>
  <c r="H142" i="5"/>
  <c r="I142" i="5" s="1"/>
  <c r="F137" i="5"/>
  <c r="M137" i="5" s="1"/>
  <c r="H136" i="5"/>
  <c r="I136" i="5" s="1"/>
  <c r="F131" i="5"/>
  <c r="M131" i="5" s="1"/>
  <c r="H130" i="5"/>
  <c r="I130" i="5" s="1"/>
  <c r="F125" i="5"/>
  <c r="M125" i="5" s="1"/>
  <c r="H124" i="5"/>
  <c r="I124" i="5" s="1"/>
  <c r="F119" i="5"/>
  <c r="M119" i="5" s="1"/>
  <c r="H118" i="5"/>
  <c r="I118" i="5" s="1"/>
  <c r="F113" i="5"/>
  <c r="F165" i="5"/>
  <c r="M165" i="5" s="1"/>
  <c r="F159" i="5"/>
  <c r="M159" i="5" s="1"/>
  <c r="F153" i="5"/>
  <c r="M153" i="5" s="1"/>
  <c r="F147" i="5"/>
  <c r="M147" i="5" s="1"/>
  <c r="F141" i="5"/>
  <c r="M141" i="5" s="1"/>
  <c r="F135" i="5"/>
  <c r="M135" i="5" s="1"/>
  <c r="F129" i="5"/>
  <c r="M129" i="5" s="1"/>
  <c r="F123" i="5"/>
  <c r="M123" i="5" s="1"/>
  <c r="F117" i="5"/>
  <c r="M117" i="5" s="1"/>
  <c r="N113" i="5"/>
  <c r="N115" i="5"/>
  <c r="H116" i="5"/>
  <c r="I116" i="5" s="1"/>
  <c r="N121" i="5"/>
  <c r="H122" i="5"/>
  <c r="I122" i="5" s="1"/>
  <c r="N127" i="5"/>
  <c r="H128" i="5"/>
  <c r="I128" i="5" s="1"/>
  <c r="J129" i="5"/>
  <c r="N133" i="5"/>
  <c r="H134" i="5"/>
  <c r="I134" i="5" s="1"/>
  <c r="N139" i="5"/>
  <c r="H140" i="5"/>
  <c r="I140" i="5" s="1"/>
  <c r="J141" i="5"/>
  <c r="N145" i="5"/>
  <c r="H146" i="5"/>
  <c r="I146" i="5" s="1"/>
  <c r="N151" i="5"/>
  <c r="H152" i="5"/>
  <c r="I152" i="5" s="1"/>
  <c r="N157" i="5"/>
  <c r="H158" i="5"/>
  <c r="I158" i="5" s="1"/>
  <c r="N163" i="5"/>
  <c r="H164" i="5"/>
  <c r="I164" i="5" s="1"/>
  <c r="G217" i="5"/>
  <c r="O217" i="5" s="1"/>
  <c r="P217" i="5" s="1"/>
  <c r="G211" i="5"/>
  <c r="O211" i="5" s="1"/>
  <c r="P211" i="5" s="1"/>
  <c r="G205" i="5"/>
  <c r="O205" i="5" s="1"/>
  <c r="P205" i="5" s="1"/>
  <c r="G199" i="5"/>
  <c r="O199" i="5" s="1"/>
  <c r="P199" i="5" s="1"/>
  <c r="G193" i="5"/>
  <c r="O193" i="5" s="1"/>
  <c r="P193" i="5" s="1"/>
  <c r="G187" i="5"/>
  <c r="O187" i="5" s="1"/>
  <c r="P187" i="5" s="1"/>
  <c r="F221" i="5"/>
  <c r="M221" i="5" s="1"/>
  <c r="F215" i="5"/>
  <c r="M215" i="5" s="1"/>
  <c r="F209" i="5"/>
  <c r="F203" i="5"/>
  <c r="F197" i="5"/>
  <c r="M197" i="5" s="1"/>
  <c r="F191" i="5"/>
  <c r="F185" i="5"/>
  <c r="M185" i="5" s="1"/>
  <c r="F179" i="5"/>
  <c r="M179" i="5" s="1"/>
  <c r="F173" i="5"/>
  <c r="M173" i="5" s="1"/>
  <c r="H172" i="5"/>
  <c r="I172" i="5" s="1"/>
  <c r="F167" i="5"/>
  <c r="G220" i="5"/>
  <c r="O220" i="5" s="1"/>
  <c r="P220" i="5" s="1"/>
  <c r="F219" i="5"/>
  <c r="M219" i="5" s="1"/>
  <c r="F213" i="5"/>
  <c r="M213" i="5" s="1"/>
  <c r="F207" i="5"/>
  <c r="M207" i="5" s="1"/>
  <c r="F201" i="5"/>
  <c r="M201" i="5" s="1"/>
  <c r="F195" i="5"/>
  <c r="M195" i="5" s="1"/>
  <c r="F189" i="5"/>
  <c r="M189" i="5" s="1"/>
  <c r="F183" i="5"/>
  <c r="M183" i="5" s="1"/>
  <c r="F177" i="5"/>
  <c r="M177" i="5" s="1"/>
  <c r="F171" i="5"/>
  <c r="M171" i="5" s="1"/>
  <c r="N167" i="5"/>
  <c r="G218" i="5"/>
  <c r="O218" i="5" s="1"/>
  <c r="P218" i="5" s="1"/>
  <c r="G212" i="5"/>
  <c r="O212" i="5" s="1"/>
  <c r="P212" i="5" s="1"/>
  <c r="G206" i="5"/>
  <c r="O206" i="5" s="1"/>
  <c r="P206" i="5" s="1"/>
  <c r="G200" i="5"/>
  <c r="O200" i="5" s="1"/>
  <c r="P200" i="5" s="1"/>
  <c r="G194" i="5"/>
  <c r="O194" i="5" s="1"/>
  <c r="G188" i="5"/>
  <c r="O188" i="5" s="1"/>
  <c r="P188" i="5" s="1"/>
  <c r="N169" i="5"/>
  <c r="H170" i="5"/>
  <c r="I170" i="5" s="1"/>
  <c r="J171" i="5"/>
  <c r="N175" i="5"/>
  <c r="H176" i="5"/>
  <c r="I176" i="5" s="1"/>
  <c r="H178" i="5"/>
  <c r="I178" i="5" s="1"/>
  <c r="N181" i="5"/>
  <c r="H182" i="5"/>
  <c r="I182" i="5" s="1"/>
  <c r="H185" i="5"/>
  <c r="I185" i="5" s="1"/>
  <c r="G192" i="5"/>
  <c r="O192" i="5" s="1"/>
  <c r="P192" i="5" s="1"/>
  <c r="H199" i="5"/>
  <c r="I199" i="5" s="1"/>
  <c r="G213" i="5"/>
  <c r="O213" i="5" s="1"/>
  <c r="P213" i="5" s="1"/>
  <c r="G214" i="5"/>
  <c r="O214" i="5" s="1"/>
  <c r="P214" i="5" s="1"/>
  <c r="H219" i="5"/>
  <c r="I219" i="5" s="1"/>
  <c r="J224" i="5"/>
  <c r="P228" i="5"/>
  <c r="G233" i="5"/>
  <c r="O233" i="5" s="1"/>
  <c r="P233" i="5" s="1"/>
  <c r="F238" i="5"/>
  <c r="M238" i="5" s="1"/>
  <c r="F247" i="5"/>
  <c r="F256" i="5"/>
  <c r="M256" i="5" s="1"/>
  <c r="F265" i="5"/>
  <c r="F274" i="5"/>
  <c r="M274" i="5" s="1"/>
  <c r="O282" i="5"/>
  <c r="P282" i="5" s="1"/>
  <c r="K296" i="5"/>
  <c r="L296" i="5" s="1"/>
  <c r="O310" i="5"/>
  <c r="P310" i="5" s="1"/>
  <c r="O335" i="5"/>
  <c r="P335" i="5" s="1"/>
  <c r="O341" i="5"/>
  <c r="P341" i="5" s="1"/>
  <c r="P347" i="5"/>
  <c r="N14" i="6"/>
  <c r="N30" i="6"/>
  <c r="P142" i="5"/>
  <c r="H190" i="5"/>
  <c r="I190" i="5" s="1"/>
  <c r="N211" i="5"/>
  <c r="F228" i="5"/>
  <c r="H232" i="5"/>
  <c r="I232" i="5" s="1"/>
  <c r="H233" i="5"/>
  <c r="I233" i="5" s="1"/>
  <c r="G238" i="5"/>
  <c r="O238" i="5" s="1"/>
  <c r="P238" i="5" s="1"/>
  <c r="F242" i="5"/>
  <c r="M242" i="5" s="1"/>
  <c r="G247" i="5"/>
  <c r="O247" i="5" s="1"/>
  <c r="P247" i="5" s="1"/>
  <c r="F251" i="5"/>
  <c r="G256" i="5"/>
  <c r="O256" i="5" s="1"/>
  <c r="P256" i="5" s="1"/>
  <c r="F260" i="5"/>
  <c r="G265" i="5"/>
  <c r="O265" i="5" s="1"/>
  <c r="P265" i="5" s="1"/>
  <c r="F269" i="5"/>
  <c r="G274" i="5"/>
  <c r="O274" i="5" s="1"/>
  <c r="P274" i="5" s="1"/>
  <c r="O307" i="5"/>
  <c r="P326" i="5"/>
  <c r="J484" i="5"/>
  <c r="G8" i="5"/>
  <c r="O8" i="5" s="1"/>
  <c r="P8" i="5" s="1"/>
  <c r="G14" i="5"/>
  <c r="O14" i="5" s="1"/>
  <c r="P14" i="5" s="1"/>
  <c r="G20" i="5"/>
  <c r="O20" i="5" s="1"/>
  <c r="P20" i="5" s="1"/>
  <c r="G26" i="5"/>
  <c r="O26" i="5" s="1"/>
  <c r="P26" i="5" s="1"/>
  <c r="G32" i="5"/>
  <c r="O32" i="5" s="1"/>
  <c r="O34" i="5"/>
  <c r="P34" i="5" s="1"/>
  <c r="F40" i="5"/>
  <c r="G41" i="5"/>
  <c r="O41" i="5" s="1"/>
  <c r="P41" i="5" s="1"/>
  <c r="F42" i="5"/>
  <c r="F43" i="5"/>
  <c r="M43" i="5" s="1"/>
  <c r="F44" i="5"/>
  <c r="M44" i="5" s="1"/>
  <c r="G45" i="5"/>
  <c r="O45" i="5" s="1"/>
  <c r="P45" i="5" s="1"/>
  <c r="F46" i="5"/>
  <c r="G47" i="5"/>
  <c r="O47" i="5" s="1"/>
  <c r="P47" i="5" s="1"/>
  <c r="F48" i="5"/>
  <c r="F49" i="5"/>
  <c r="M49" i="5" s="1"/>
  <c r="F50" i="5"/>
  <c r="M50" i="5" s="1"/>
  <c r="G51" i="5"/>
  <c r="O51" i="5" s="1"/>
  <c r="P51" i="5" s="1"/>
  <c r="F52" i="5"/>
  <c r="G53" i="5"/>
  <c r="O53" i="5" s="1"/>
  <c r="P53" i="5" s="1"/>
  <c r="F54" i="5"/>
  <c r="F55" i="5"/>
  <c r="M55" i="5" s="1"/>
  <c r="F56" i="5"/>
  <c r="M56" i="5" s="1"/>
  <c r="G57" i="5"/>
  <c r="O57" i="5" s="1"/>
  <c r="P57" i="5" s="1"/>
  <c r="F58" i="5"/>
  <c r="G59" i="5"/>
  <c r="F60" i="5"/>
  <c r="F61" i="5"/>
  <c r="M61" i="5" s="1"/>
  <c r="F62" i="5"/>
  <c r="M62" i="5" s="1"/>
  <c r="G63" i="5"/>
  <c r="O63" i="5" s="1"/>
  <c r="P63" i="5" s="1"/>
  <c r="F64" i="5"/>
  <c r="G65" i="5"/>
  <c r="O65" i="5" s="1"/>
  <c r="P65" i="5" s="1"/>
  <c r="F66" i="5"/>
  <c r="F67" i="5"/>
  <c r="M67" i="5" s="1"/>
  <c r="F68" i="5"/>
  <c r="M68" i="5" s="1"/>
  <c r="G69" i="5"/>
  <c r="O69" i="5" s="1"/>
  <c r="P69" i="5" s="1"/>
  <c r="F70" i="5"/>
  <c r="G71" i="5"/>
  <c r="O71" i="5" s="1"/>
  <c r="P71" i="5" s="1"/>
  <c r="F72" i="5"/>
  <c r="F73" i="5"/>
  <c r="M73" i="5" s="1"/>
  <c r="F74" i="5"/>
  <c r="M74" i="5" s="1"/>
  <c r="G75" i="5"/>
  <c r="O75" i="5" s="1"/>
  <c r="P75" i="5" s="1"/>
  <c r="F76" i="5"/>
  <c r="G77" i="5"/>
  <c r="O77" i="5" s="1"/>
  <c r="P77" i="5" s="1"/>
  <c r="F78" i="5"/>
  <c r="F79" i="5"/>
  <c r="M79" i="5" s="1"/>
  <c r="F80" i="5"/>
  <c r="M80" i="5" s="1"/>
  <c r="G81" i="5"/>
  <c r="O81" i="5" s="1"/>
  <c r="P81" i="5" s="1"/>
  <c r="F82" i="5"/>
  <c r="G83" i="5"/>
  <c r="O83" i="5" s="1"/>
  <c r="P83" i="5" s="1"/>
  <c r="F84" i="5"/>
  <c r="F85" i="5"/>
  <c r="M85" i="5" s="1"/>
  <c r="F86" i="5"/>
  <c r="M86" i="5" s="1"/>
  <c r="G87" i="5"/>
  <c r="O87" i="5" s="1"/>
  <c r="P87" i="5" s="1"/>
  <c r="F88" i="5"/>
  <c r="G89" i="5"/>
  <c r="O89" i="5" s="1"/>
  <c r="P89" i="5" s="1"/>
  <c r="F90" i="5"/>
  <c r="F91" i="5"/>
  <c r="M91" i="5" s="1"/>
  <c r="F92" i="5"/>
  <c r="M92" i="5" s="1"/>
  <c r="G93" i="5"/>
  <c r="O93" i="5" s="1"/>
  <c r="P93" i="5" s="1"/>
  <c r="F94" i="5"/>
  <c r="G95" i="5"/>
  <c r="O95" i="5" s="1"/>
  <c r="P95" i="5" s="1"/>
  <c r="F96" i="5"/>
  <c r="F97" i="5"/>
  <c r="M97" i="5" s="1"/>
  <c r="F98" i="5"/>
  <c r="M98" i="5" s="1"/>
  <c r="G99" i="5"/>
  <c r="O99" i="5" s="1"/>
  <c r="P99" i="5" s="1"/>
  <c r="F100" i="5"/>
  <c r="G101" i="5"/>
  <c r="O101" i="5" s="1"/>
  <c r="P101" i="5" s="1"/>
  <c r="F102" i="5"/>
  <c r="F103" i="5"/>
  <c r="M103" i="5" s="1"/>
  <c r="F104" i="5"/>
  <c r="M104" i="5" s="1"/>
  <c r="G105" i="5"/>
  <c r="O105" i="5" s="1"/>
  <c r="P105" i="5" s="1"/>
  <c r="F106" i="5"/>
  <c r="G107" i="5"/>
  <c r="O107" i="5" s="1"/>
  <c r="P107" i="5" s="1"/>
  <c r="F108" i="5"/>
  <c r="F109" i="5"/>
  <c r="M109" i="5" s="1"/>
  <c r="F110" i="5"/>
  <c r="M110" i="5" s="1"/>
  <c r="G111" i="5"/>
  <c r="O111" i="5" s="1"/>
  <c r="P111" i="5" s="1"/>
  <c r="F112" i="5"/>
  <c r="G113" i="5"/>
  <c r="F114" i="5"/>
  <c r="F115" i="5"/>
  <c r="M115" i="5" s="1"/>
  <c r="F116" i="5"/>
  <c r="M116" i="5" s="1"/>
  <c r="G117" i="5"/>
  <c r="O117" i="5" s="1"/>
  <c r="P117" i="5" s="1"/>
  <c r="F118" i="5"/>
  <c r="G119" i="5"/>
  <c r="O119" i="5" s="1"/>
  <c r="P119" i="5" s="1"/>
  <c r="F120" i="5"/>
  <c r="F121" i="5"/>
  <c r="M121" i="5" s="1"/>
  <c r="F122" i="5"/>
  <c r="M122" i="5" s="1"/>
  <c r="G123" i="5"/>
  <c r="O123" i="5" s="1"/>
  <c r="P123" i="5" s="1"/>
  <c r="F124" i="5"/>
  <c r="G125" i="5"/>
  <c r="O125" i="5" s="1"/>
  <c r="P125" i="5" s="1"/>
  <c r="F126" i="5"/>
  <c r="F127" i="5"/>
  <c r="M127" i="5" s="1"/>
  <c r="F128" i="5"/>
  <c r="M128" i="5" s="1"/>
  <c r="G129" i="5"/>
  <c r="O129" i="5" s="1"/>
  <c r="P129" i="5" s="1"/>
  <c r="F130" i="5"/>
  <c r="G131" i="5"/>
  <c r="O131" i="5" s="1"/>
  <c r="P131" i="5" s="1"/>
  <c r="F132" i="5"/>
  <c r="F133" i="5"/>
  <c r="M133" i="5" s="1"/>
  <c r="F134" i="5"/>
  <c r="M134" i="5" s="1"/>
  <c r="G135" i="5"/>
  <c r="O135" i="5" s="1"/>
  <c r="P135" i="5" s="1"/>
  <c r="F136" i="5"/>
  <c r="G137" i="5"/>
  <c r="O137" i="5" s="1"/>
  <c r="P137" i="5" s="1"/>
  <c r="F138" i="5"/>
  <c r="F139" i="5"/>
  <c r="M139" i="5" s="1"/>
  <c r="F140" i="5"/>
  <c r="M140" i="5" s="1"/>
  <c r="G141" i="5"/>
  <c r="O141" i="5" s="1"/>
  <c r="P141" i="5" s="1"/>
  <c r="F142" i="5"/>
  <c r="G143" i="5"/>
  <c r="O143" i="5" s="1"/>
  <c r="P143" i="5" s="1"/>
  <c r="F144" i="5"/>
  <c r="F145" i="5"/>
  <c r="M145" i="5" s="1"/>
  <c r="F146" i="5"/>
  <c r="M146" i="5" s="1"/>
  <c r="G147" i="5"/>
  <c r="O147" i="5" s="1"/>
  <c r="P147" i="5" s="1"/>
  <c r="F148" i="5"/>
  <c r="G149" i="5"/>
  <c r="O149" i="5" s="1"/>
  <c r="P149" i="5" s="1"/>
  <c r="F150" i="5"/>
  <c r="F151" i="5"/>
  <c r="M151" i="5" s="1"/>
  <c r="F152" i="5"/>
  <c r="M152" i="5" s="1"/>
  <c r="G153" i="5"/>
  <c r="O153" i="5" s="1"/>
  <c r="P153" i="5" s="1"/>
  <c r="F154" i="5"/>
  <c r="G155" i="5"/>
  <c r="O155" i="5" s="1"/>
  <c r="P155" i="5" s="1"/>
  <c r="F156" i="5"/>
  <c r="F157" i="5"/>
  <c r="M157" i="5" s="1"/>
  <c r="F158" i="5"/>
  <c r="M158" i="5" s="1"/>
  <c r="G159" i="5"/>
  <c r="O159" i="5" s="1"/>
  <c r="P159" i="5" s="1"/>
  <c r="F160" i="5"/>
  <c r="G161" i="5"/>
  <c r="O161" i="5" s="1"/>
  <c r="P161" i="5" s="1"/>
  <c r="F162" i="5"/>
  <c r="F163" i="5"/>
  <c r="M163" i="5" s="1"/>
  <c r="F164" i="5"/>
  <c r="M164" i="5" s="1"/>
  <c r="G165" i="5"/>
  <c r="O165" i="5" s="1"/>
  <c r="P165" i="5" s="1"/>
  <c r="F166" i="5"/>
  <c r="G167" i="5"/>
  <c r="F168" i="5"/>
  <c r="F169" i="5"/>
  <c r="M169" i="5" s="1"/>
  <c r="F170" i="5"/>
  <c r="M170" i="5" s="1"/>
  <c r="G171" i="5"/>
  <c r="O171" i="5" s="1"/>
  <c r="P171" i="5" s="1"/>
  <c r="F172" i="5"/>
  <c r="G173" i="5"/>
  <c r="O173" i="5" s="1"/>
  <c r="P173" i="5" s="1"/>
  <c r="F174" i="5"/>
  <c r="F175" i="5"/>
  <c r="M175" i="5" s="1"/>
  <c r="F176" i="5"/>
  <c r="M176" i="5" s="1"/>
  <c r="G177" i="5"/>
  <c r="O177" i="5" s="1"/>
  <c r="P177" i="5" s="1"/>
  <c r="F178" i="5"/>
  <c r="G179" i="5"/>
  <c r="O179" i="5" s="1"/>
  <c r="P179" i="5" s="1"/>
  <c r="F180" i="5"/>
  <c r="F181" i="5"/>
  <c r="M181" i="5" s="1"/>
  <c r="F182" i="5"/>
  <c r="M182" i="5" s="1"/>
  <c r="G183" i="5"/>
  <c r="O183" i="5" s="1"/>
  <c r="P183" i="5" s="1"/>
  <c r="G184" i="5"/>
  <c r="O184" i="5" s="1"/>
  <c r="P184" i="5" s="1"/>
  <c r="J189" i="5"/>
  <c r="P190" i="5"/>
  <c r="H191" i="5"/>
  <c r="I191" i="5" s="1"/>
  <c r="P194" i="5"/>
  <c r="G198" i="5"/>
  <c r="O198" i="5" s="1"/>
  <c r="P198" i="5" s="1"/>
  <c r="N200" i="5"/>
  <c r="N201" i="5"/>
  <c r="P204" i="5"/>
  <c r="H205" i="5"/>
  <c r="I205" i="5" s="1"/>
  <c r="N217" i="5"/>
  <c r="J217" i="5"/>
  <c r="F231" i="5"/>
  <c r="M231" i="5" s="1"/>
  <c r="H223" i="5"/>
  <c r="I223" i="5" s="1"/>
  <c r="N224" i="5"/>
  <c r="P225" i="5"/>
  <c r="G228" i="5"/>
  <c r="O228" i="5" s="1"/>
  <c r="G237" i="5"/>
  <c r="O237" i="5" s="1"/>
  <c r="P237" i="5" s="1"/>
  <c r="H238" i="5"/>
  <c r="I238" i="5" s="1"/>
  <c r="G242" i="5"/>
  <c r="O242" i="5" s="1"/>
  <c r="P242" i="5" s="1"/>
  <c r="G246" i="5"/>
  <c r="O246" i="5" s="1"/>
  <c r="P246" i="5" s="1"/>
  <c r="H247" i="5"/>
  <c r="I247" i="5" s="1"/>
  <c r="G251" i="5"/>
  <c r="O251" i="5" s="1"/>
  <c r="P251" i="5" s="1"/>
  <c r="G255" i="5"/>
  <c r="O255" i="5" s="1"/>
  <c r="P255" i="5" s="1"/>
  <c r="H256" i="5"/>
  <c r="I256" i="5" s="1"/>
  <c r="G260" i="5"/>
  <c r="O260" i="5" s="1"/>
  <c r="P260" i="5" s="1"/>
  <c r="G264" i="5"/>
  <c r="O264" i="5" s="1"/>
  <c r="P264" i="5" s="1"/>
  <c r="H265" i="5"/>
  <c r="I265" i="5" s="1"/>
  <c r="G269" i="5"/>
  <c r="O269" i="5" s="1"/>
  <c r="P269" i="5" s="1"/>
  <c r="G273" i="5"/>
  <c r="O273" i="5" s="1"/>
  <c r="P273" i="5" s="1"/>
  <c r="H274" i="5"/>
  <c r="I274" i="5" s="1"/>
  <c r="G277" i="5"/>
  <c r="O277" i="5" s="1"/>
  <c r="P277" i="5" s="1"/>
  <c r="P280" i="5"/>
  <c r="K281" i="5"/>
  <c r="L281" i="5" s="1"/>
  <c r="L284" i="5"/>
  <c r="O285" i="5"/>
  <c r="P285" i="5" s="1"/>
  <c r="O304" i="5"/>
  <c r="O324" i="5"/>
  <c r="P324" i="5" s="1"/>
  <c r="L326" i="5"/>
  <c r="F9" i="5"/>
  <c r="M9" i="5" s="1"/>
  <c r="F15" i="5"/>
  <c r="M15" i="5" s="1"/>
  <c r="F21" i="5"/>
  <c r="M21" i="5" s="1"/>
  <c r="F33" i="5"/>
  <c r="M33" i="5" s="1"/>
  <c r="G40" i="5"/>
  <c r="O40" i="5" s="1"/>
  <c r="P40" i="5" s="1"/>
  <c r="H41" i="5"/>
  <c r="I41" i="5" s="1"/>
  <c r="G42" i="5"/>
  <c r="O42" i="5" s="1"/>
  <c r="P42" i="5" s="1"/>
  <c r="G43" i="5"/>
  <c r="O43" i="5" s="1"/>
  <c r="P43" i="5" s="1"/>
  <c r="G44" i="5"/>
  <c r="O44" i="5" s="1"/>
  <c r="P44" i="5" s="1"/>
  <c r="H45" i="5"/>
  <c r="I45" i="5" s="1"/>
  <c r="G46" i="5"/>
  <c r="O46" i="5" s="1"/>
  <c r="P46" i="5" s="1"/>
  <c r="H47" i="5"/>
  <c r="I47" i="5" s="1"/>
  <c r="G48" i="5"/>
  <c r="O48" i="5" s="1"/>
  <c r="P48" i="5" s="1"/>
  <c r="G49" i="5"/>
  <c r="O49" i="5" s="1"/>
  <c r="P49" i="5" s="1"/>
  <c r="G50" i="5"/>
  <c r="O50" i="5" s="1"/>
  <c r="P50" i="5" s="1"/>
  <c r="H51" i="5"/>
  <c r="I51" i="5" s="1"/>
  <c r="G52" i="5"/>
  <c r="O52" i="5" s="1"/>
  <c r="P52" i="5" s="1"/>
  <c r="H53" i="5"/>
  <c r="I53" i="5" s="1"/>
  <c r="G54" i="5"/>
  <c r="O54" i="5" s="1"/>
  <c r="P54" i="5" s="1"/>
  <c r="G55" i="5"/>
  <c r="O55" i="5" s="1"/>
  <c r="P55" i="5" s="1"/>
  <c r="G56" i="5"/>
  <c r="O56" i="5" s="1"/>
  <c r="P56" i="5" s="1"/>
  <c r="H57" i="5"/>
  <c r="I57" i="5" s="1"/>
  <c r="G58" i="5"/>
  <c r="O58" i="5" s="1"/>
  <c r="P58" i="5" s="1"/>
  <c r="H59" i="5"/>
  <c r="I59" i="5" s="1"/>
  <c r="G60" i="5"/>
  <c r="O60" i="5" s="1"/>
  <c r="P60" i="5" s="1"/>
  <c r="G61" i="5"/>
  <c r="O61" i="5" s="1"/>
  <c r="P61" i="5" s="1"/>
  <c r="G62" i="5"/>
  <c r="O62" i="5" s="1"/>
  <c r="P62" i="5" s="1"/>
  <c r="H63" i="5"/>
  <c r="I63" i="5" s="1"/>
  <c r="G64" i="5"/>
  <c r="O64" i="5" s="1"/>
  <c r="P64" i="5" s="1"/>
  <c r="H65" i="5"/>
  <c r="I65" i="5" s="1"/>
  <c r="G66" i="5"/>
  <c r="O66" i="5" s="1"/>
  <c r="P66" i="5" s="1"/>
  <c r="G67" i="5"/>
  <c r="O67" i="5" s="1"/>
  <c r="P67" i="5" s="1"/>
  <c r="G68" i="5"/>
  <c r="O68" i="5" s="1"/>
  <c r="P68" i="5" s="1"/>
  <c r="H69" i="5"/>
  <c r="I69" i="5" s="1"/>
  <c r="G70" i="5"/>
  <c r="O70" i="5" s="1"/>
  <c r="P70" i="5" s="1"/>
  <c r="H71" i="5"/>
  <c r="I71" i="5" s="1"/>
  <c r="G72" i="5"/>
  <c r="O72" i="5" s="1"/>
  <c r="P72" i="5" s="1"/>
  <c r="G73" i="5"/>
  <c r="O73" i="5" s="1"/>
  <c r="P73" i="5" s="1"/>
  <c r="G74" i="5"/>
  <c r="O74" i="5" s="1"/>
  <c r="P74" i="5" s="1"/>
  <c r="H75" i="5"/>
  <c r="I75" i="5" s="1"/>
  <c r="G76" i="5"/>
  <c r="O76" i="5" s="1"/>
  <c r="P76" i="5" s="1"/>
  <c r="H77" i="5"/>
  <c r="I77" i="5" s="1"/>
  <c r="G78" i="5"/>
  <c r="O78" i="5" s="1"/>
  <c r="P78" i="5" s="1"/>
  <c r="G79" i="5"/>
  <c r="O79" i="5" s="1"/>
  <c r="P79" i="5" s="1"/>
  <c r="G80" i="5"/>
  <c r="O80" i="5" s="1"/>
  <c r="P80" i="5" s="1"/>
  <c r="H81" i="5"/>
  <c r="I81" i="5" s="1"/>
  <c r="G82" i="5"/>
  <c r="O82" i="5" s="1"/>
  <c r="P82" i="5" s="1"/>
  <c r="H83" i="5"/>
  <c r="I83" i="5" s="1"/>
  <c r="G84" i="5"/>
  <c r="O84" i="5" s="1"/>
  <c r="P84" i="5" s="1"/>
  <c r="G85" i="5"/>
  <c r="O85" i="5" s="1"/>
  <c r="P85" i="5" s="1"/>
  <c r="G86" i="5"/>
  <c r="O86" i="5" s="1"/>
  <c r="P86" i="5" s="1"/>
  <c r="H87" i="5"/>
  <c r="I87" i="5" s="1"/>
  <c r="G88" i="5"/>
  <c r="O88" i="5" s="1"/>
  <c r="P88" i="5" s="1"/>
  <c r="H89" i="5"/>
  <c r="I89" i="5" s="1"/>
  <c r="G90" i="5"/>
  <c r="O90" i="5" s="1"/>
  <c r="P90" i="5" s="1"/>
  <c r="G91" i="5"/>
  <c r="O91" i="5" s="1"/>
  <c r="P91" i="5" s="1"/>
  <c r="G92" i="5"/>
  <c r="O92" i="5" s="1"/>
  <c r="P92" i="5" s="1"/>
  <c r="H93" i="5"/>
  <c r="I93" i="5" s="1"/>
  <c r="G94" i="5"/>
  <c r="O94" i="5" s="1"/>
  <c r="P94" i="5" s="1"/>
  <c r="H95" i="5"/>
  <c r="I95" i="5" s="1"/>
  <c r="G96" i="5"/>
  <c r="O96" i="5" s="1"/>
  <c r="P96" i="5" s="1"/>
  <c r="G97" i="5"/>
  <c r="O97" i="5" s="1"/>
  <c r="P97" i="5" s="1"/>
  <c r="G98" i="5"/>
  <c r="O98" i="5" s="1"/>
  <c r="P98" i="5" s="1"/>
  <c r="H99" i="5"/>
  <c r="I99" i="5" s="1"/>
  <c r="G100" i="5"/>
  <c r="O100" i="5" s="1"/>
  <c r="P100" i="5" s="1"/>
  <c r="H101" i="5"/>
  <c r="I101" i="5" s="1"/>
  <c r="G102" i="5"/>
  <c r="O102" i="5" s="1"/>
  <c r="P102" i="5" s="1"/>
  <c r="G103" i="5"/>
  <c r="O103" i="5" s="1"/>
  <c r="P103" i="5" s="1"/>
  <c r="G104" i="5"/>
  <c r="O104" i="5" s="1"/>
  <c r="P104" i="5" s="1"/>
  <c r="H105" i="5"/>
  <c r="I105" i="5" s="1"/>
  <c r="G106" i="5"/>
  <c r="O106" i="5" s="1"/>
  <c r="P106" i="5" s="1"/>
  <c r="H107" i="5"/>
  <c r="I107" i="5" s="1"/>
  <c r="G108" i="5"/>
  <c r="O108" i="5" s="1"/>
  <c r="P108" i="5" s="1"/>
  <c r="G109" i="5"/>
  <c r="O109" i="5" s="1"/>
  <c r="P109" i="5" s="1"/>
  <c r="G110" i="5"/>
  <c r="O110" i="5" s="1"/>
  <c r="P110" i="5" s="1"/>
  <c r="H111" i="5"/>
  <c r="I111" i="5" s="1"/>
  <c r="G112" i="5"/>
  <c r="O112" i="5" s="1"/>
  <c r="P112" i="5" s="1"/>
  <c r="H113" i="5"/>
  <c r="I113" i="5" s="1"/>
  <c r="G114" i="5"/>
  <c r="O114" i="5" s="1"/>
  <c r="P114" i="5" s="1"/>
  <c r="G115" i="5"/>
  <c r="O115" i="5" s="1"/>
  <c r="P115" i="5" s="1"/>
  <c r="G116" i="5"/>
  <c r="O116" i="5" s="1"/>
  <c r="P116" i="5" s="1"/>
  <c r="H117" i="5"/>
  <c r="I117" i="5" s="1"/>
  <c r="G118" i="5"/>
  <c r="O118" i="5" s="1"/>
  <c r="P118" i="5" s="1"/>
  <c r="H119" i="5"/>
  <c r="I119" i="5" s="1"/>
  <c r="G120" i="5"/>
  <c r="O120" i="5" s="1"/>
  <c r="P120" i="5" s="1"/>
  <c r="G121" i="5"/>
  <c r="O121" i="5" s="1"/>
  <c r="P121" i="5" s="1"/>
  <c r="G122" i="5"/>
  <c r="O122" i="5" s="1"/>
  <c r="P122" i="5" s="1"/>
  <c r="H123" i="5"/>
  <c r="I123" i="5" s="1"/>
  <c r="G124" i="5"/>
  <c r="O124" i="5" s="1"/>
  <c r="P124" i="5" s="1"/>
  <c r="H125" i="5"/>
  <c r="I125" i="5" s="1"/>
  <c r="G126" i="5"/>
  <c r="O126" i="5" s="1"/>
  <c r="P126" i="5" s="1"/>
  <c r="G127" i="5"/>
  <c r="O127" i="5" s="1"/>
  <c r="P127" i="5" s="1"/>
  <c r="G128" i="5"/>
  <c r="O128" i="5" s="1"/>
  <c r="P128" i="5" s="1"/>
  <c r="H129" i="5"/>
  <c r="I129" i="5" s="1"/>
  <c r="G130" i="5"/>
  <c r="O130" i="5" s="1"/>
  <c r="P130" i="5" s="1"/>
  <c r="H131" i="5"/>
  <c r="I131" i="5" s="1"/>
  <c r="G132" i="5"/>
  <c r="O132" i="5" s="1"/>
  <c r="P132" i="5" s="1"/>
  <c r="G133" i="5"/>
  <c r="O133" i="5" s="1"/>
  <c r="P133" i="5" s="1"/>
  <c r="G134" i="5"/>
  <c r="O134" i="5" s="1"/>
  <c r="P134" i="5" s="1"/>
  <c r="H135" i="5"/>
  <c r="I135" i="5" s="1"/>
  <c r="G136" i="5"/>
  <c r="O136" i="5" s="1"/>
  <c r="P136" i="5" s="1"/>
  <c r="H137" i="5"/>
  <c r="I137" i="5" s="1"/>
  <c r="G138" i="5"/>
  <c r="O138" i="5" s="1"/>
  <c r="P138" i="5" s="1"/>
  <c r="G139" i="5"/>
  <c r="O139" i="5" s="1"/>
  <c r="P139" i="5" s="1"/>
  <c r="G140" i="5"/>
  <c r="O140" i="5" s="1"/>
  <c r="P140" i="5" s="1"/>
  <c r="H141" i="5"/>
  <c r="I141" i="5" s="1"/>
  <c r="G142" i="5"/>
  <c r="O142" i="5" s="1"/>
  <c r="H143" i="5"/>
  <c r="I143" i="5" s="1"/>
  <c r="G144" i="5"/>
  <c r="O144" i="5" s="1"/>
  <c r="P144" i="5" s="1"/>
  <c r="G145" i="5"/>
  <c r="O145" i="5" s="1"/>
  <c r="P145" i="5" s="1"/>
  <c r="G146" i="5"/>
  <c r="O146" i="5" s="1"/>
  <c r="P146" i="5" s="1"/>
  <c r="H147" i="5"/>
  <c r="I147" i="5" s="1"/>
  <c r="G148" i="5"/>
  <c r="O148" i="5" s="1"/>
  <c r="P148" i="5" s="1"/>
  <c r="H149" i="5"/>
  <c r="I149" i="5" s="1"/>
  <c r="G150" i="5"/>
  <c r="O150" i="5" s="1"/>
  <c r="P150" i="5" s="1"/>
  <c r="G151" i="5"/>
  <c r="O151" i="5" s="1"/>
  <c r="P151" i="5" s="1"/>
  <c r="G152" i="5"/>
  <c r="O152" i="5" s="1"/>
  <c r="P152" i="5" s="1"/>
  <c r="H153" i="5"/>
  <c r="I153" i="5" s="1"/>
  <c r="G154" i="5"/>
  <c r="O154" i="5" s="1"/>
  <c r="P154" i="5" s="1"/>
  <c r="H155" i="5"/>
  <c r="I155" i="5" s="1"/>
  <c r="G156" i="5"/>
  <c r="O156" i="5" s="1"/>
  <c r="P156" i="5" s="1"/>
  <c r="G157" i="5"/>
  <c r="O157" i="5" s="1"/>
  <c r="P157" i="5" s="1"/>
  <c r="G158" i="5"/>
  <c r="O158" i="5" s="1"/>
  <c r="P158" i="5" s="1"/>
  <c r="H159" i="5"/>
  <c r="I159" i="5" s="1"/>
  <c r="G160" i="5"/>
  <c r="O160" i="5" s="1"/>
  <c r="P160" i="5" s="1"/>
  <c r="H161" i="5"/>
  <c r="I161" i="5" s="1"/>
  <c r="G162" i="5"/>
  <c r="O162" i="5" s="1"/>
  <c r="P162" i="5" s="1"/>
  <c r="G163" i="5"/>
  <c r="O163" i="5" s="1"/>
  <c r="P163" i="5" s="1"/>
  <c r="G164" i="5"/>
  <c r="O164" i="5" s="1"/>
  <c r="P164" i="5" s="1"/>
  <c r="H165" i="5"/>
  <c r="I165" i="5" s="1"/>
  <c r="G166" i="5"/>
  <c r="O166" i="5" s="1"/>
  <c r="P166" i="5" s="1"/>
  <c r="H167" i="5"/>
  <c r="I167" i="5" s="1"/>
  <c r="G168" i="5"/>
  <c r="O168" i="5" s="1"/>
  <c r="P168" i="5" s="1"/>
  <c r="G169" i="5"/>
  <c r="O169" i="5" s="1"/>
  <c r="P169" i="5" s="1"/>
  <c r="G170" i="5"/>
  <c r="O170" i="5" s="1"/>
  <c r="P170" i="5" s="1"/>
  <c r="H171" i="5"/>
  <c r="I171" i="5" s="1"/>
  <c r="G172" i="5"/>
  <c r="O172" i="5" s="1"/>
  <c r="P172" i="5" s="1"/>
  <c r="H173" i="5"/>
  <c r="I173" i="5" s="1"/>
  <c r="G174" i="5"/>
  <c r="O174" i="5" s="1"/>
  <c r="P174" i="5" s="1"/>
  <c r="G175" i="5"/>
  <c r="O175" i="5" s="1"/>
  <c r="P175" i="5" s="1"/>
  <c r="G176" i="5"/>
  <c r="O176" i="5" s="1"/>
  <c r="P176" i="5" s="1"/>
  <c r="H177" i="5"/>
  <c r="I177" i="5" s="1"/>
  <c r="G178" i="5"/>
  <c r="O178" i="5" s="1"/>
  <c r="P178" i="5" s="1"/>
  <c r="H179" i="5"/>
  <c r="I179" i="5" s="1"/>
  <c r="G180" i="5"/>
  <c r="O180" i="5" s="1"/>
  <c r="P180" i="5" s="1"/>
  <c r="G181" i="5"/>
  <c r="O181" i="5" s="1"/>
  <c r="P181" i="5" s="1"/>
  <c r="G182" i="5"/>
  <c r="O182" i="5" s="1"/>
  <c r="P182" i="5" s="1"/>
  <c r="H183" i="5"/>
  <c r="I183" i="5" s="1"/>
  <c r="H188" i="5"/>
  <c r="I188" i="5" s="1"/>
  <c r="F190" i="5"/>
  <c r="H196" i="5"/>
  <c r="I196" i="5" s="1"/>
  <c r="G197" i="5"/>
  <c r="O197" i="5" s="1"/>
  <c r="P197" i="5" s="1"/>
  <c r="H198" i="5"/>
  <c r="I198" i="5" s="1"/>
  <c r="P201" i="5"/>
  <c r="F204" i="5"/>
  <c r="F211" i="5"/>
  <c r="M211" i="5" s="1"/>
  <c r="J212" i="5"/>
  <c r="J218" i="5"/>
  <c r="O231" i="5"/>
  <c r="P231" i="5" s="1"/>
  <c r="O232" i="5"/>
  <c r="P232" i="5" s="1"/>
  <c r="G227" i="5"/>
  <c r="O227" i="5" s="1"/>
  <c r="P227" i="5" s="1"/>
  <c r="H228" i="5"/>
  <c r="I228" i="5" s="1"/>
  <c r="J231" i="5"/>
  <c r="F232" i="5"/>
  <c r="H237" i="5"/>
  <c r="I237" i="5" s="1"/>
  <c r="P241" i="5"/>
  <c r="H246" i="5"/>
  <c r="I246" i="5" s="1"/>
  <c r="H255" i="5"/>
  <c r="I255" i="5" s="1"/>
  <c r="H264" i="5"/>
  <c r="I264" i="5" s="1"/>
  <c r="P268" i="5"/>
  <c r="H273" i="5"/>
  <c r="I273" i="5" s="1"/>
  <c r="H277" i="5"/>
  <c r="I277" i="5" s="1"/>
  <c r="O301" i="5"/>
  <c r="P301" i="5" s="1"/>
  <c r="P320" i="5"/>
  <c r="O321" i="5"/>
  <c r="P321" i="5" s="1"/>
  <c r="L323" i="5"/>
  <c r="O353" i="5"/>
  <c r="P353" i="5" s="1"/>
  <c r="O355" i="5"/>
  <c r="P394" i="5"/>
  <c r="G230" i="5"/>
  <c r="O230" i="5" s="1"/>
  <c r="P230" i="5" s="1"/>
  <c r="N365" i="5"/>
  <c r="H365" i="5"/>
  <c r="I365" i="5" s="1"/>
  <c r="F367" i="5"/>
  <c r="M367" i="5" s="1"/>
  <c r="F368" i="5"/>
  <c r="H369" i="5"/>
  <c r="I369" i="5" s="1"/>
  <c r="H380" i="5"/>
  <c r="I380" i="5" s="1"/>
  <c r="N380" i="5"/>
  <c r="G381" i="5"/>
  <c r="O381" i="5" s="1"/>
  <c r="P381" i="5" s="1"/>
  <c r="F388" i="5"/>
  <c r="M388" i="5" s="1"/>
  <c r="G394" i="5"/>
  <c r="O394" i="5" s="1"/>
  <c r="G399" i="5"/>
  <c r="O399" i="5" s="1"/>
  <c r="P399" i="5" s="1"/>
  <c r="G404" i="5"/>
  <c r="O404" i="5" s="1"/>
  <c r="P404" i="5" s="1"/>
  <c r="G409" i="5"/>
  <c r="O409" i="5" s="1"/>
  <c r="P409" i="5" s="1"/>
  <c r="G419" i="5"/>
  <c r="O419" i="5" s="1"/>
  <c r="G422" i="5"/>
  <c r="O422" i="5" s="1"/>
  <c r="P422" i="5" s="1"/>
  <c r="G442" i="5"/>
  <c r="O442" i="5" s="1"/>
  <c r="P442" i="5" s="1"/>
  <c r="M6" i="6"/>
  <c r="K6" i="6"/>
  <c r="P23" i="6"/>
  <c r="M20" i="6"/>
  <c r="K20" i="6"/>
  <c r="P21" i="6"/>
  <c r="O29" i="6"/>
  <c r="O31" i="6"/>
  <c r="N66" i="6"/>
  <c r="M103" i="6"/>
  <c r="O118" i="6"/>
  <c r="M140" i="6"/>
  <c r="K140" i="6"/>
  <c r="O142" i="6"/>
  <c r="O180" i="6"/>
  <c r="M278" i="5"/>
  <c r="M281" i="5"/>
  <c r="M283" i="5"/>
  <c r="M284" i="5"/>
  <c r="M287" i="5"/>
  <c r="M290" i="5"/>
  <c r="M293" i="5"/>
  <c r="M296" i="5"/>
  <c r="M299" i="5"/>
  <c r="M302" i="5"/>
  <c r="M305" i="5"/>
  <c r="M307" i="5"/>
  <c r="M308" i="5"/>
  <c r="M311" i="5"/>
  <c r="M313" i="5"/>
  <c r="M314" i="5"/>
  <c r="M317" i="5"/>
  <c r="M319" i="5"/>
  <c r="M320" i="5"/>
  <c r="M323" i="5"/>
  <c r="M325" i="5"/>
  <c r="M326" i="5"/>
  <c r="M329" i="5"/>
  <c r="G366" i="5"/>
  <c r="O366" i="5" s="1"/>
  <c r="P366" i="5" s="1"/>
  <c r="G367" i="5"/>
  <c r="O367" i="5" s="1"/>
  <c r="P367" i="5" s="1"/>
  <c r="G368" i="5"/>
  <c r="O368" i="5" s="1"/>
  <c r="P368" i="5" s="1"/>
  <c r="H381" i="5"/>
  <c r="I381" i="5" s="1"/>
  <c r="G388" i="5"/>
  <c r="O388" i="5" s="1"/>
  <c r="P388" i="5" s="1"/>
  <c r="J398" i="5"/>
  <c r="H398" i="5"/>
  <c r="I398" i="5" s="1"/>
  <c r="N398" i="5"/>
  <c r="G408" i="5"/>
  <c r="O408" i="5" s="1"/>
  <c r="P408" i="5" s="1"/>
  <c r="G413" i="5"/>
  <c r="O413" i="5" s="1"/>
  <c r="P413" i="5" s="1"/>
  <c r="G416" i="5"/>
  <c r="O416" i="5" s="1"/>
  <c r="P416" i="5" s="1"/>
  <c r="J421" i="5"/>
  <c r="G448" i="5"/>
  <c r="O448" i="5" s="1"/>
  <c r="P448" i="5" s="1"/>
  <c r="M26" i="6"/>
  <c r="K26" i="6"/>
  <c r="O138" i="6"/>
  <c r="K167" i="6"/>
  <c r="M179" i="6"/>
  <c r="M171" i="6"/>
  <c r="M221" i="6"/>
  <c r="M198" i="6"/>
  <c r="M185" i="6"/>
  <c r="M219" i="6"/>
  <c r="M214" i="6"/>
  <c r="M194" i="6"/>
  <c r="M167" i="6"/>
  <c r="G365" i="5"/>
  <c r="O365" i="5" s="1"/>
  <c r="P365" i="5" s="1"/>
  <c r="H366" i="5"/>
  <c r="I366" i="5" s="1"/>
  <c r="H367" i="5"/>
  <c r="I367" i="5" s="1"/>
  <c r="N377" i="5"/>
  <c r="H377" i="5"/>
  <c r="I377" i="5" s="1"/>
  <c r="F379" i="5"/>
  <c r="M379" i="5" s="1"/>
  <c r="G380" i="5"/>
  <c r="O380" i="5" s="1"/>
  <c r="P380" i="5" s="1"/>
  <c r="H386" i="5"/>
  <c r="I386" i="5" s="1"/>
  <c r="N386" i="5"/>
  <c r="G387" i="5"/>
  <c r="O387" i="5" s="1"/>
  <c r="P387" i="5" s="1"/>
  <c r="P393" i="5"/>
  <c r="F403" i="5"/>
  <c r="M403" i="5" s="1"/>
  <c r="H408" i="5"/>
  <c r="I408" i="5" s="1"/>
  <c r="P412" i="5"/>
  <c r="G424" i="5"/>
  <c r="O424" i="5" s="1"/>
  <c r="P424" i="5" s="1"/>
  <c r="G427" i="5"/>
  <c r="O427" i="5" s="1"/>
  <c r="P427" i="5" s="1"/>
  <c r="P429" i="5"/>
  <c r="K5" i="6"/>
  <c r="M57" i="6"/>
  <c r="M51" i="6"/>
  <c r="M33" i="6"/>
  <c r="M39" i="6"/>
  <c r="M45" i="6"/>
  <c r="M5" i="6"/>
  <c r="M23" i="6"/>
  <c r="M9" i="6"/>
  <c r="M15" i="6"/>
  <c r="M21" i="6"/>
  <c r="M27" i="6"/>
  <c r="O37" i="6"/>
  <c r="O46" i="6"/>
  <c r="N137" i="6"/>
  <c r="O334" i="5"/>
  <c r="H362" i="5"/>
  <c r="I362" i="5" s="1"/>
  <c r="N362" i="5"/>
  <c r="F364" i="5"/>
  <c r="M364" i="5" s="1"/>
  <c r="J376" i="5"/>
  <c r="G378" i="5"/>
  <c r="O378" i="5" s="1"/>
  <c r="P378" i="5" s="1"/>
  <c r="G379" i="5"/>
  <c r="O379" i="5" s="1"/>
  <c r="P379" i="5" s="1"/>
  <c r="H387" i="5"/>
  <c r="I387" i="5" s="1"/>
  <c r="N501" i="5"/>
  <c r="D500" i="5"/>
  <c r="H500" i="5" s="1"/>
  <c r="N500" i="5"/>
  <c r="D499" i="5"/>
  <c r="N499" i="5"/>
  <c r="D498" i="5"/>
  <c r="H498" i="5" s="1"/>
  <c r="O498" i="5"/>
  <c r="C498" i="5"/>
  <c r="N498" i="5"/>
  <c r="D497" i="5"/>
  <c r="O497" i="5"/>
  <c r="C497" i="5"/>
  <c r="D501" i="5"/>
  <c r="N496" i="5"/>
  <c r="C500" i="5"/>
  <c r="N497" i="5"/>
  <c r="D496" i="5"/>
  <c r="O501" i="5"/>
  <c r="O499" i="5"/>
  <c r="C496" i="5"/>
  <c r="F496" i="5" s="1"/>
  <c r="C501" i="5"/>
  <c r="C499" i="5"/>
  <c r="O500" i="5"/>
  <c r="O496" i="5"/>
  <c r="G403" i="5"/>
  <c r="O403" i="5" s="1"/>
  <c r="P403" i="5" s="1"/>
  <c r="G412" i="5"/>
  <c r="O412" i="5" s="1"/>
  <c r="G418" i="5"/>
  <c r="O418" i="5" s="1"/>
  <c r="P418" i="5" s="1"/>
  <c r="M11" i="6"/>
  <c r="O22" i="6"/>
  <c r="P72" i="6"/>
  <c r="K72" i="6"/>
  <c r="O135" i="6"/>
  <c r="O136" i="6"/>
  <c r="N483" i="5"/>
  <c r="D482" i="5"/>
  <c r="H482" i="5" s="1"/>
  <c r="N480" i="5"/>
  <c r="D479" i="5"/>
  <c r="H479" i="5" s="1"/>
  <c r="F478" i="5"/>
  <c r="O479" i="5"/>
  <c r="C479" i="5"/>
  <c r="K479" i="5" s="1"/>
  <c r="D483" i="5"/>
  <c r="H483" i="5" s="1"/>
  <c r="N478" i="5"/>
  <c r="O483" i="5"/>
  <c r="D480" i="5"/>
  <c r="H480" i="5" s="1"/>
  <c r="C480" i="5"/>
  <c r="D481" i="5"/>
  <c r="H481" i="5" s="1"/>
  <c r="N479" i="5"/>
  <c r="C481" i="5"/>
  <c r="C482" i="5"/>
  <c r="O480" i="5"/>
  <c r="D478" i="5"/>
  <c r="H478" i="5" s="1"/>
  <c r="O481" i="5"/>
  <c r="C478" i="5"/>
  <c r="C483" i="5"/>
  <c r="F483" i="5" s="1"/>
  <c r="N481" i="5"/>
  <c r="O482" i="5"/>
  <c r="N482" i="5"/>
  <c r="N489" i="5"/>
  <c r="P489" i="5" s="1"/>
  <c r="D488" i="5"/>
  <c r="H488" i="5" s="1"/>
  <c r="N486" i="5"/>
  <c r="D485" i="5"/>
  <c r="H485" i="5" s="1"/>
  <c r="O485" i="5"/>
  <c r="C485" i="5"/>
  <c r="D489" i="5"/>
  <c r="H489" i="5" s="1"/>
  <c r="N484" i="5"/>
  <c r="C489" i="5"/>
  <c r="N487" i="5"/>
  <c r="P487" i="5" s="1"/>
  <c r="O488" i="5"/>
  <c r="N488" i="5"/>
  <c r="O484" i="5"/>
  <c r="O489" i="5"/>
  <c r="D486" i="5"/>
  <c r="H486" i="5" s="1"/>
  <c r="C486" i="5"/>
  <c r="K484" i="5"/>
  <c r="D487" i="5"/>
  <c r="H487" i="5" s="1"/>
  <c r="N485" i="5"/>
  <c r="P485" i="5" s="1"/>
  <c r="C487" i="5"/>
  <c r="C488" i="5"/>
  <c r="O486" i="5"/>
  <c r="D484" i="5"/>
  <c r="H484" i="5" s="1"/>
  <c r="N495" i="5"/>
  <c r="D494" i="5"/>
  <c r="K494" i="5" s="1"/>
  <c r="O492" i="5"/>
  <c r="C492" i="5"/>
  <c r="N492" i="5"/>
  <c r="P492" i="5" s="1"/>
  <c r="D491" i="5"/>
  <c r="K493" i="5"/>
  <c r="O491" i="5"/>
  <c r="C491" i="5"/>
  <c r="K491" i="5" s="1"/>
  <c r="D495" i="5"/>
  <c r="N490" i="5"/>
  <c r="D493" i="5"/>
  <c r="C493" i="5"/>
  <c r="O495" i="5"/>
  <c r="D490" i="5"/>
  <c r="C490" i="5"/>
  <c r="C494" i="5"/>
  <c r="F494" i="5" s="1"/>
  <c r="K492" i="5"/>
  <c r="F491" i="5"/>
  <c r="O493" i="5"/>
  <c r="N493" i="5"/>
  <c r="P493" i="5" s="1"/>
  <c r="F492" i="5"/>
  <c r="O490" i="5"/>
  <c r="C495" i="5"/>
  <c r="O494" i="5"/>
  <c r="D492" i="5"/>
  <c r="K490" i="5"/>
  <c r="N494" i="5"/>
  <c r="N491" i="5"/>
  <c r="P491" i="5" s="1"/>
  <c r="G363" i="5"/>
  <c r="O363" i="5" s="1"/>
  <c r="P363" i="5" s="1"/>
  <c r="G364" i="5"/>
  <c r="O364" i="5" s="1"/>
  <c r="P364" i="5" s="1"/>
  <c r="N369" i="5"/>
  <c r="P376" i="5"/>
  <c r="G377" i="5"/>
  <c r="O377" i="5" s="1"/>
  <c r="P377" i="5" s="1"/>
  <c r="H378" i="5"/>
  <c r="I378" i="5" s="1"/>
  <c r="H379" i="5"/>
  <c r="I379" i="5" s="1"/>
  <c r="P385" i="5"/>
  <c r="F449" i="5"/>
  <c r="H448" i="5"/>
  <c r="I448" i="5" s="1"/>
  <c r="F443" i="5"/>
  <c r="H442" i="5"/>
  <c r="I442" i="5" s="1"/>
  <c r="F437" i="5"/>
  <c r="H436" i="5"/>
  <c r="I436" i="5" s="1"/>
  <c r="F431" i="5"/>
  <c r="H430" i="5"/>
  <c r="I430" i="5" s="1"/>
  <c r="F425" i="5"/>
  <c r="H424" i="5"/>
  <c r="I424" i="5" s="1"/>
  <c r="F419" i="5"/>
  <c r="H418" i="5"/>
  <c r="I418" i="5" s="1"/>
  <c r="F413" i="5"/>
  <c r="H412" i="5"/>
  <c r="I412" i="5" s="1"/>
  <c r="F407" i="5"/>
  <c r="H406" i="5"/>
  <c r="I406" i="5" s="1"/>
  <c r="F401" i="5"/>
  <c r="H400" i="5"/>
  <c r="I400" i="5" s="1"/>
  <c r="F395" i="5"/>
  <c r="H394" i="5"/>
  <c r="I394" i="5" s="1"/>
  <c r="F448" i="5"/>
  <c r="M448" i="5" s="1"/>
  <c r="H447" i="5"/>
  <c r="I447" i="5" s="1"/>
  <c r="F442" i="5"/>
  <c r="M442" i="5" s="1"/>
  <c r="H441" i="5"/>
  <c r="I441" i="5" s="1"/>
  <c r="F436" i="5"/>
  <c r="M436" i="5" s="1"/>
  <c r="H435" i="5"/>
  <c r="I435" i="5" s="1"/>
  <c r="F430" i="5"/>
  <c r="M430" i="5" s="1"/>
  <c r="H429" i="5"/>
  <c r="I429" i="5" s="1"/>
  <c r="F424" i="5"/>
  <c r="M424" i="5" s="1"/>
  <c r="H423" i="5"/>
  <c r="I423" i="5" s="1"/>
  <c r="F418" i="5"/>
  <c r="M418" i="5" s="1"/>
  <c r="H417" i="5"/>
  <c r="I417" i="5" s="1"/>
  <c r="F412" i="5"/>
  <c r="M412" i="5" s="1"/>
  <c r="H411" i="5"/>
  <c r="I411" i="5" s="1"/>
  <c r="F406" i="5"/>
  <c r="M406" i="5" s="1"/>
  <c r="H405" i="5"/>
  <c r="I405" i="5" s="1"/>
  <c r="F400" i="5"/>
  <c r="M400" i="5" s="1"/>
  <c r="H399" i="5"/>
  <c r="I399" i="5" s="1"/>
  <c r="F394" i="5"/>
  <c r="M394" i="5" s="1"/>
  <c r="H393" i="5"/>
  <c r="I393" i="5" s="1"/>
  <c r="J392" i="5"/>
  <c r="G447" i="5"/>
  <c r="O447" i="5" s="1"/>
  <c r="P447" i="5" s="1"/>
  <c r="G441" i="5"/>
  <c r="O441" i="5" s="1"/>
  <c r="G435" i="5"/>
  <c r="O435" i="5" s="1"/>
  <c r="P435" i="5" s="1"/>
  <c r="G429" i="5"/>
  <c r="O429" i="5" s="1"/>
  <c r="G423" i="5"/>
  <c r="O423" i="5" s="1"/>
  <c r="G417" i="5"/>
  <c r="O417" i="5" s="1"/>
  <c r="F447" i="5"/>
  <c r="F441" i="5"/>
  <c r="F435" i="5"/>
  <c r="F429" i="5"/>
  <c r="F423" i="5"/>
  <c r="F417" i="5"/>
  <c r="F411" i="5"/>
  <c r="F405" i="5"/>
  <c r="F399" i="5"/>
  <c r="F393" i="5"/>
  <c r="H392" i="5"/>
  <c r="I392" i="5" s="1"/>
  <c r="G446" i="5"/>
  <c r="G440" i="5"/>
  <c r="O440" i="5" s="1"/>
  <c r="P440" i="5" s="1"/>
  <c r="G434" i="5"/>
  <c r="O434" i="5" s="1"/>
  <c r="G428" i="5"/>
  <c r="O428" i="5" s="1"/>
  <c r="P428" i="5" s="1"/>
  <c r="F446" i="5"/>
  <c r="M446" i="5" s="1"/>
  <c r="H445" i="5"/>
  <c r="I445" i="5" s="1"/>
  <c r="F440" i="5"/>
  <c r="M440" i="5" s="1"/>
  <c r="H439" i="5"/>
  <c r="I439" i="5" s="1"/>
  <c r="F434" i="5"/>
  <c r="M434" i="5" s="1"/>
  <c r="H433" i="5"/>
  <c r="I433" i="5" s="1"/>
  <c r="F428" i="5"/>
  <c r="M428" i="5" s="1"/>
  <c r="H427" i="5"/>
  <c r="I427" i="5" s="1"/>
  <c r="F422" i="5"/>
  <c r="M422" i="5" s="1"/>
  <c r="H421" i="5"/>
  <c r="I421" i="5" s="1"/>
  <c r="F416" i="5"/>
  <c r="M416" i="5" s="1"/>
  <c r="H415" i="5"/>
  <c r="I415" i="5" s="1"/>
  <c r="F410" i="5"/>
  <c r="M410" i="5" s="1"/>
  <c r="H409" i="5"/>
  <c r="I409" i="5" s="1"/>
  <c r="F404" i="5"/>
  <c r="M404" i="5" s="1"/>
  <c r="H403" i="5"/>
  <c r="I403" i="5" s="1"/>
  <c r="F398" i="5"/>
  <c r="M398" i="5" s="1"/>
  <c r="H397" i="5"/>
  <c r="I397" i="5" s="1"/>
  <c r="F392" i="5"/>
  <c r="F445" i="5"/>
  <c r="H444" i="5"/>
  <c r="I444" i="5" s="1"/>
  <c r="F439" i="5"/>
  <c r="H438" i="5"/>
  <c r="I438" i="5" s="1"/>
  <c r="F433" i="5"/>
  <c r="H432" i="5"/>
  <c r="I432" i="5" s="1"/>
  <c r="F427" i="5"/>
  <c r="M427" i="5" s="1"/>
  <c r="G444" i="5"/>
  <c r="O444" i="5" s="1"/>
  <c r="P444" i="5" s="1"/>
  <c r="G438" i="5"/>
  <c r="O438" i="5" s="1"/>
  <c r="P438" i="5" s="1"/>
  <c r="G432" i="5"/>
  <c r="O432" i="5" s="1"/>
  <c r="P432" i="5" s="1"/>
  <c r="G426" i="5"/>
  <c r="O426" i="5" s="1"/>
  <c r="P426" i="5" s="1"/>
  <c r="G420" i="5"/>
  <c r="O420" i="5" s="1"/>
  <c r="P420" i="5" s="1"/>
  <c r="G414" i="5"/>
  <c r="O414" i="5" s="1"/>
  <c r="P414" i="5" s="1"/>
  <c r="F444" i="5"/>
  <c r="M444" i="5" s="1"/>
  <c r="F438" i="5"/>
  <c r="M438" i="5" s="1"/>
  <c r="F432" i="5"/>
  <c r="M432" i="5" s="1"/>
  <c r="F426" i="5"/>
  <c r="M426" i="5" s="1"/>
  <c r="F420" i="5"/>
  <c r="M420" i="5" s="1"/>
  <c r="F414" i="5"/>
  <c r="M414" i="5" s="1"/>
  <c r="F408" i="5"/>
  <c r="M408" i="5" s="1"/>
  <c r="F402" i="5"/>
  <c r="M402" i="5" s="1"/>
  <c r="F396" i="5"/>
  <c r="M396" i="5" s="1"/>
  <c r="N392" i="5"/>
  <c r="P397" i="5"/>
  <c r="G402" i="5"/>
  <c r="O402" i="5" s="1"/>
  <c r="P402" i="5" s="1"/>
  <c r="J406" i="5"/>
  <c r="G407" i="5"/>
  <c r="O407" i="5" s="1"/>
  <c r="P407" i="5" s="1"/>
  <c r="F415" i="5"/>
  <c r="M415" i="5" s="1"/>
  <c r="G421" i="5"/>
  <c r="O421" i="5" s="1"/>
  <c r="P421" i="5" s="1"/>
  <c r="G433" i="5"/>
  <c r="O433" i="5" s="1"/>
  <c r="P433" i="5" s="1"/>
  <c r="P439" i="5"/>
  <c r="P441" i="5"/>
  <c r="N54" i="6"/>
  <c r="N11" i="6"/>
  <c r="N42" i="6"/>
  <c r="N6" i="6"/>
  <c r="N12" i="6"/>
  <c r="P159" i="6"/>
  <c r="P188" i="6"/>
  <c r="P190" i="6"/>
  <c r="F273" i="5"/>
  <c r="F267" i="5"/>
  <c r="F261" i="5"/>
  <c r="F255" i="5"/>
  <c r="F249" i="5"/>
  <c r="M249" i="5" s="1"/>
  <c r="F243" i="5"/>
  <c r="M243" i="5" s="1"/>
  <c r="F237" i="5"/>
  <c r="M237" i="5" s="1"/>
  <c r="F276" i="5"/>
  <c r="F270" i="5"/>
  <c r="F264" i="5"/>
  <c r="F258" i="5"/>
  <c r="F252" i="5"/>
  <c r="F246" i="5"/>
  <c r="M246" i="5" s="1"/>
  <c r="F240" i="5"/>
  <c r="M240" i="5" s="1"/>
  <c r="F234" i="5"/>
  <c r="M234" i="5" s="1"/>
  <c r="F227" i="5"/>
  <c r="M227" i="5" s="1"/>
  <c r="F233" i="5"/>
  <c r="M233" i="5" s="1"/>
  <c r="H236" i="5"/>
  <c r="I236" i="5" s="1"/>
  <c r="N236" i="5"/>
  <c r="J238" i="5"/>
  <c r="N239" i="5"/>
  <c r="H239" i="5"/>
  <c r="I239" i="5" s="1"/>
  <c r="H242" i="5"/>
  <c r="I242" i="5" s="1"/>
  <c r="N242" i="5"/>
  <c r="J244" i="5"/>
  <c r="N245" i="5"/>
  <c r="H245" i="5"/>
  <c r="I245" i="5" s="1"/>
  <c r="H248" i="5"/>
  <c r="I248" i="5" s="1"/>
  <c r="N248" i="5"/>
  <c r="J250" i="5"/>
  <c r="N251" i="5"/>
  <c r="H251" i="5"/>
  <c r="I251" i="5" s="1"/>
  <c r="H254" i="5"/>
  <c r="I254" i="5" s="1"/>
  <c r="N254" i="5"/>
  <c r="J256" i="5"/>
  <c r="N257" i="5"/>
  <c r="H257" i="5"/>
  <c r="I257" i="5" s="1"/>
  <c r="H260" i="5"/>
  <c r="I260" i="5" s="1"/>
  <c r="N260" i="5"/>
  <c r="J262" i="5"/>
  <c r="N263" i="5"/>
  <c r="H263" i="5"/>
  <c r="I263" i="5" s="1"/>
  <c r="H266" i="5"/>
  <c r="I266" i="5" s="1"/>
  <c r="N266" i="5"/>
  <c r="J268" i="5"/>
  <c r="N269" i="5"/>
  <c r="H269" i="5"/>
  <c r="I269" i="5" s="1"/>
  <c r="H272" i="5"/>
  <c r="I272" i="5" s="1"/>
  <c r="N272" i="5"/>
  <c r="J274" i="5"/>
  <c r="N275" i="5"/>
  <c r="H275" i="5"/>
  <c r="I275" i="5" s="1"/>
  <c r="F333" i="5"/>
  <c r="F327" i="5"/>
  <c r="F321" i="5"/>
  <c r="F315" i="5"/>
  <c r="F309" i="5"/>
  <c r="F303" i="5"/>
  <c r="F297" i="5"/>
  <c r="F291" i="5"/>
  <c r="F285" i="5"/>
  <c r="F279" i="5"/>
  <c r="H278" i="5"/>
  <c r="I278" i="5" s="1"/>
  <c r="F330" i="5"/>
  <c r="F324" i="5"/>
  <c r="F318" i="5"/>
  <c r="F312" i="5"/>
  <c r="F306" i="5"/>
  <c r="F300" i="5"/>
  <c r="F294" i="5"/>
  <c r="F288" i="5"/>
  <c r="F282" i="5"/>
  <c r="N278" i="5"/>
  <c r="J280" i="5"/>
  <c r="N281" i="5"/>
  <c r="H281" i="5"/>
  <c r="I281" i="5" s="1"/>
  <c r="H284" i="5"/>
  <c r="I284" i="5" s="1"/>
  <c r="N284" i="5"/>
  <c r="J286" i="5"/>
  <c r="N287" i="5"/>
  <c r="H287" i="5"/>
  <c r="I287" i="5" s="1"/>
  <c r="J289" i="5"/>
  <c r="H290" i="5"/>
  <c r="I290" i="5" s="1"/>
  <c r="N290" i="5"/>
  <c r="J292" i="5"/>
  <c r="N293" i="5"/>
  <c r="H293" i="5"/>
  <c r="I293" i="5" s="1"/>
  <c r="J295" i="5"/>
  <c r="H296" i="5"/>
  <c r="I296" i="5" s="1"/>
  <c r="N296" i="5"/>
  <c r="J298" i="5"/>
  <c r="N299" i="5"/>
  <c r="H299" i="5"/>
  <c r="I299" i="5" s="1"/>
  <c r="J301" i="5"/>
  <c r="H302" i="5"/>
  <c r="I302" i="5" s="1"/>
  <c r="N302" i="5"/>
  <c r="J304" i="5"/>
  <c r="N305" i="5"/>
  <c r="H305" i="5"/>
  <c r="I305" i="5" s="1"/>
  <c r="H308" i="5"/>
  <c r="I308" i="5" s="1"/>
  <c r="N308" i="5"/>
  <c r="J310" i="5"/>
  <c r="N311" i="5"/>
  <c r="H311" i="5"/>
  <c r="I311" i="5" s="1"/>
  <c r="H314" i="5"/>
  <c r="I314" i="5" s="1"/>
  <c r="N314" i="5"/>
  <c r="J316" i="5"/>
  <c r="N317" i="5"/>
  <c r="H317" i="5"/>
  <c r="I317" i="5" s="1"/>
  <c r="H320" i="5"/>
  <c r="I320" i="5" s="1"/>
  <c r="N320" i="5"/>
  <c r="J322" i="5"/>
  <c r="N323" i="5"/>
  <c r="H323" i="5"/>
  <c r="I323" i="5" s="1"/>
  <c r="H326" i="5"/>
  <c r="I326" i="5" s="1"/>
  <c r="N326" i="5"/>
  <c r="J328" i="5"/>
  <c r="N329" i="5"/>
  <c r="H329" i="5"/>
  <c r="I329" i="5" s="1"/>
  <c r="H332" i="5"/>
  <c r="I332" i="5" s="1"/>
  <c r="N332" i="5"/>
  <c r="F387" i="5"/>
  <c r="F389" i="5"/>
  <c r="M389" i="5" s="1"/>
  <c r="H388" i="5"/>
  <c r="I388" i="5" s="1"/>
  <c r="F383" i="5"/>
  <c r="H382" i="5"/>
  <c r="I382" i="5" s="1"/>
  <c r="F377" i="5"/>
  <c r="H376" i="5"/>
  <c r="I376" i="5" s="1"/>
  <c r="F371" i="5"/>
  <c r="H370" i="5"/>
  <c r="I370" i="5" s="1"/>
  <c r="F365" i="5"/>
  <c r="H364" i="5"/>
  <c r="I364" i="5" s="1"/>
  <c r="F359" i="5"/>
  <c r="N335" i="5"/>
  <c r="H391" i="5"/>
  <c r="I391" i="5" s="1"/>
  <c r="F386" i="5"/>
  <c r="H385" i="5"/>
  <c r="I385" i="5" s="1"/>
  <c r="F380" i="5"/>
  <c r="H335" i="5"/>
  <c r="I335" i="5" s="1"/>
  <c r="H338" i="5"/>
  <c r="I338" i="5" s="1"/>
  <c r="N338" i="5"/>
  <c r="N341" i="5"/>
  <c r="H341" i="5"/>
  <c r="I341" i="5" s="1"/>
  <c r="H344" i="5"/>
  <c r="I344" i="5" s="1"/>
  <c r="N344" i="5"/>
  <c r="E512" i="5" s="1"/>
  <c r="G11" i="7" s="1"/>
  <c r="N347" i="5"/>
  <c r="H347" i="5"/>
  <c r="I347" i="5" s="1"/>
  <c r="H350" i="5"/>
  <c r="I350" i="5" s="1"/>
  <c r="N350" i="5"/>
  <c r="J352" i="5"/>
  <c r="N353" i="5"/>
  <c r="H353" i="5"/>
  <c r="I353" i="5" s="1"/>
  <c r="H356" i="5"/>
  <c r="I356" i="5" s="1"/>
  <c r="N356" i="5"/>
  <c r="J358" i="5"/>
  <c r="N359" i="5"/>
  <c r="H359" i="5"/>
  <c r="I359" i="5" s="1"/>
  <c r="F361" i="5"/>
  <c r="M361" i="5" s="1"/>
  <c r="F362" i="5"/>
  <c r="H363" i="5"/>
  <c r="I363" i="5" s="1"/>
  <c r="J373" i="5"/>
  <c r="H374" i="5"/>
  <c r="I374" i="5" s="1"/>
  <c r="N374" i="5"/>
  <c r="F376" i="5"/>
  <c r="M376" i="5" s="1"/>
  <c r="J384" i="5"/>
  <c r="F385" i="5"/>
  <c r="M385" i="5" s="1"/>
  <c r="O446" i="5"/>
  <c r="P446" i="5" s="1"/>
  <c r="F397" i="5"/>
  <c r="M397" i="5" s="1"/>
  <c r="H402" i="5"/>
  <c r="I402" i="5" s="1"/>
  <c r="G415" i="5"/>
  <c r="O415" i="5" s="1"/>
  <c r="P415" i="5" s="1"/>
  <c r="J420" i="5"/>
  <c r="G431" i="5"/>
  <c r="O431" i="5" s="1"/>
  <c r="P431" i="5" s="1"/>
  <c r="G439" i="5"/>
  <c r="O439" i="5" s="1"/>
  <c r="O18" i="6"/>
  <c r="O28" i="6"/>
  <c r="M34" i="6"/>
  <c r="K34" i="6"/>
  <c r="N43" i="6"/>
  <c r="K43" i="6"/>
  <c r="P54" i="6"/>
  <c r="K54" i="6"/>
  <c r="K95" i="6"/>
  <c r="M95" i="6"/>
  <c r="O148" i="6"/>
  <c r="M130" i="6"/>
  <c r="K130" i="6"/>
  <c r="O154" i="6"/>
  <c r="P156" i="6"/>
  <c r="K156" i="6"/>
  <c r="O172" i="6"/>
  <c r="O181" i="6"/>
  <c r="P295" i="5"/>
  <c r="P298" i="5"/>
  <c r="P304" i="5"/>
  <c r="P307" i="5"/>
  <c r="P313" i="5"/>
  <c r="P316" i="5"/>
  <c r="P319" i="5"/>
  <c r="P322" i="5"/>
  <c r="P325" i="5"/>
  <c r="P328" i="5"/>
  <c r="P331" i="5"/>
  <c r="P512" i="5"/>
  <c r="D57" i="12" s="1"/>
  <c r="F57" i="12" s="1"/>
  <c r="G57" i="12" s="1"/>
  <c r="P334" i="5"/>
  <c r="P337" i="5"/>
  <c r="P340" i="5"/>
  <c r="P346" i="5"/>
  <c r="P349" i="5"/>
  <c r="P352" i="5"/>
  <c r="P355" i="5"/>
  <c r="P358" i="5"/>
  <c r="G360" i="5"/>
  <c r="O360" i="5" s="1"/>
  <c r="P360" i="5" s="1"/>
  <c r="G361" i="5"/>
  <c r="O361" i="5" s="1"/>
  <c r="P361" i="5" s="1"/>
  <c r="G362" i="5"/>
  <c r="O362" i="5" s="1"/>
  <c r="P362" i="5" s="1"/>
  <c r="P369" i="5"/>
  <c r="G375" i="5"/>
  <c r="O375" i="5" s="1"/>
  <c r="P375" i="5" s="1"/>
  <c r="G376" i="5"/>
  <c r="O376" i="5" s="1"/>
  <c r="P384" i="5"/>
  <c r="G385" i="5"/>
  <c r="O385" i="5" s="1"/>
  <c r="G406" i="5"/>
  <c r="O406" i="5" s="1"/>
  <c r="P406" i="5" s="1"/>
  <c r="G411" i="5"/>
  <c r="O411" i="5" s="1"/>
  <c r="P411" i="5" s="1"/>
  <c r="P423" i="5"/>
  <c r="H426" i="5"/>
  <c r="I426" i="5" s="1"/>
  <c r="G437" i="5"/>
  <c r="O437" i="5" s="1"/>
  <c r="P437" i="5" s="1"/>
  <c r="G445" i="5"/>
  <c r="O445" i="5" s="1"/>
  <c r="P445" i="5" s="1"/>
  <c r="O38" i="6"/>
  <c r="P35" i="6"/>
  <c r="N121" i="6"/>
  <c r="K121" i="6"/>
  <c r="O124" i="6"/>
  <c r="G330" i="5"/>
  <c r="O330" i="5" s="1"/>
  <c r="P330" i="5" s="1"/>
  <c r="F331" i="5"/>
  <c r="F332" i="5"/>
  <c r="G333" i="5"/>
  <c r="O333" i="5" s="1"/>
  <c r="P333" i="5" s="1"/>
  <c r="F334" i="5"/>
  <c r="J334" i="5" s="1"/>
  <c r="F335" i="5"/>
  <c r="G336" i="5"/>
  <c r="O336" i="5" s="1"/>
  <c r="P336" i="5" s="1"/>
  <c r="F337" i="5"/>
  <c r="M337" i="5" s="1"/>
  <c r="F338" i="5"/>
  <c r="G339" i="5"/>
  <c r="O339" i="5" s="1"/>
  <c r="P339" i="5" s="1"/>
  <c r="F340" i="5"/>
  <c r="M340" i="5" s="1"/>
  <c r="F341" i="5"/>
  <c r="G342" i="5"/>
  <c r="O342" i="5" s="1"/>
  <c r="P342" i="5" s="1"/>
  <c r="F343" i="5"/>
  <c r="F344" i="5"/>
  <c r="G345" i="5"/>
  <c r="O345" i="5" s="1"/>
  <c r="P345" i="5" s="1"/>
  <c r="F346" i="5"/>
  <c r="M346" i="5" s="1"/>
  <c r="F347" i="5"/>
  <c r="G348" i="5"/>
  <c r="O348" i="5" s="1"/>
  <c r="P348" i="5" s="1"/>
  <c r="F349" i="5"/>
  <c r="F350" i="5"/>
  <c r="G351" i="5"/>
  <c r="O351" i="5" s="1"/>
  <c r="P351" i="5" s="1"/>
  <c r="F352" i="5"/>
  <c r="M352" i="5" s="1"/>
  <c r="F353" i="5"/>
  <c r="G354" i="5"/>
  <c r="O354" i="5" s="1"/>
  <c r="P354" i="5" s="1"/>
  <c r="F355" i="5"/>
  <c r="M355" i="5" s="1"/>
  <c r="F356" i="5"/>
  <c r="G357" i="5"/>
  <c r="O357" i="5" s="1"/>
  <c r="P357" i="5" s="1"/>
  <c r="F358" i="5"/>
  <c r="M358" i="5" s="1"/>
  <c r="G359" i="5"/>
  <c r="O359" i="5" s="1"/>
  <c r="P359" i="5" s="1"/>
  <c r="H360" i="5"/>
  <c r="I360" i="5" s="1"/>
  <c r="H361" i="5"/>
  <c r="I361" i="5" s="1"/>
  <c r="N371" i="5"/>
  <c r="H371" i="5"/>
  <c r="I371" i="5" s="1"/>
  <c r="F373" i="5"/>
  <c r="M373" i="5" s="1"/>
  <c r="F374" i="5"/>
  <c r="H375" i="5"/>
  <c r="I375" i="5" s="1"/>
  <c r="N383" i="5"/>
  <c r="H383" i="5"/>
  <c r="I383" i="5" s="1"/>
  <c r="G384" i="5"/>
  <c r="O384" i="5" s="1"/>
  <c r="F391" i="5"/>
  <c r="M391" i="5" s="1"/>
  <c r="G396" i="5"/>
  <c r="O396" i="5" s="1"/>
  <c r="P396" i="5" s="1"/>
  <c r="J400" i="5"/>
  <c r="G401" i="5"/>
  <c r="O401" i="5" s="1"/>
  <c r="P401" i="5" s="1"/>
  <c r="H410" i="5"/>
  <c r="I410" i="5" s="1"/>
  <c r="N410" i="5"/>
  <c r="P417" i="5"/>
  <c r="H420" i="5"/>
  <c r="I420" i="5" s="1"/>
  <c r="G443" i="5"/>
  <c r="O443" i="5" s="1"/>
  <c r="P443" i="5" s="1"/>
  <c r="O478" i="5"/>
  <c r="M32" i="6"/>
  <c r="K32" i="6"/>
  <c r="O34" i="6"/>
  <c r="M41" i="6"/>
  <c r="O119" i="6"/>
  <c r="O130" i="6"/>
  <c r="P152" i="6"/>
  <c r="N154" i="6"/>
  <c r="O160" i="6"/>
  <c r="M181" i="6"/>
  <c r="M225" i="6"/>
  <c r="K225" i="6"/>
  <c r="M223" i="6"/>
  <c r="M229" i="6"/>
  <c r="H357" i="5"/>
  <c r="I357" i="5" s="1"/>
  <c r="G372" i="5"/>
  <c r="O372" i="5" s="1"/>
  <c r="P372" i="5" s="1"/>
  <c r="G373" i="5"/>
  <c r="O373" i="5" s="1"/>
  <c r="P373" i="5" s="1"/>
  <c r="G374" i="5"/>
  <c r="O374" i="5" s="1"/>
  <c r="P374" i="5" s="1"/>
  <c r="J382" i="5"/>
  <c r="H384" i="5"/>
  <c r="I384" i="5" s="1"/>
  <c r="G391" i="5"/>
  <c r="O391" i="5" s="1"/>
  <c r="P391" i="5" s="1"/>
  <c r="P400" i="5"/>
  <c r="J430" i="5"/>
  <c r="J432" i="5"/>
  <c r="G449" i="5"/>
  <c r="O449" i="5" s="1"/>
  <c r="P449" i="5" s="1"/>
  <c r="O32" i="6"/>
  <c r="M29" i="6"/>
  <c r="P87" i="6"/>
  <c r="M177" i="6"/>
  <c r="K177" i="6"/>
  <c r="P370" i="5"/>
  <c r="G371" i="5"/>
  <c r="O371" i="5" s="1"/>
  <c r="P371" i="5" s="1"/>
  <c r="H372" i="5"/>
  <c r="I372" i="5" s="1"/>
  <c r="H373" i="5"/>
  <c r="I373" i="5" s="1"/>
  <c r="P382" i="5"/>
  <c r="G383" i="5"/>
  <c r="O383" i="5" s="1"/>
  <c r="P383" i="5" s="1"/>
  <c r="N389" i="5"/>
  <c r="H389" i="5"/>
  <c r="I389" i="5" s="1"/>
  <c r="G390" i="5"/>
  <c r="O390" i="5" s="1"/>
  <c r="P390" i="5" s="1"/>
  <c r="J409" i="5"/>
  <c r="J436" i="5"/>
  <c r="M8" i="6"/>
  <c r="K8" i="6"/>
  <c r="P84" i="6"/>
  <c r="K84" i="6"/>
  <c r="O145" i="6"/>
  <c r="M193" i="6"/>
  <c r="P206" i="6"/>
  <c r="O208" i="6"/>
  <c r="M210" i="6"/>
  <c r="K210" i="6"/>
  <c r="P217" i="6"/>
  <c r="J236" i="5"/>
  <c r="J242" i="5"/>
  <c r="J245" i="5"/>
  <c r="J248" i="5"/>
  <c r="J278" i="5"/>
  <c r="J367" i="5"/>
  <c r="H368" i="5"/>
  <c r="I368" i="5" s="1"/>
  <c r="N368" i="5"/>
  <c r="F370" i="5"/>
  <c r="M370" i="5" s="1"/>
  <c r="F382" i="5"/>
  <c r="M382" i="5" s="1"/>
  <c r="H390" i="5"/>
  <c r="I390" i="5" s="1"/>
  <c r="G395" i="5"/>
  <c r="O395" i="5" s="1"/>
  <c r="P395" i="5" s="1"/>
  <c r="H404" i="5"/>
  <c r="I404" i="5" s="1"/>
  <c r="N404" i="5"/>
  <c r="J422" i="5"/>
  <c r="H422" i="5"/>
  <c r="I422" i="5" s="1"/>
  <c r="N422" i="5"/>
  <c r="P425" i="5"/>
  <c r="G430" i="5"/>
  <c r="O430" i="5" s="1"/>
  <c r="P430" i="5" s="1"/>
  <c r="P434" i="5"/>
  <c r="P436" i="5"/>
  <c r="J442" i="5"/>
  <c r="J444" i="5"/>
  <c r="N15" i="6"/>
  <c r="O25" i="6"/>
  <c r="M35" i="6"/>
  <c r="P112" i="6"/>
  <c r="O166" i="6"/>
  <c r="K197" i="6"/>
  <c r="M197" i="6"/>
  <c r="F336" i="5"/>
  <c r="F342" i="5"/>
  <c r="F348" i="5"/>
  <c r="F354" i="5"/>
  <c r="F360" i="5"/>
  <c r="F366" i="5"/>
  <c r="F372" i="5"/>
  <c r="F378" i="5"/>
  <c r="F384" i="5"/>
  <c r="M384" i="5" s="1"/>
  <c r="F390" i="5"/>
  <c r="M390" i="5" s="1"/>
  <c r="H395" i="5"/>
  <c r="I395" i="5" s="1"/>
  <c r="H401" i="5"/>
  <c r="I401" i="5" s="1"/>
  <c r="H407" i="5"/>
  <c r="I407" i="5" s="1"/>
  <c r="H413" i="5"/>
  <c r="I413" i="5" s="1"/>
  <c r="H419" i="5"/>
  <c r="I419" i="5" s="1"/>
  <c r="H425" i="5"/>
  <c r="I425" i="5" s="1"/>
  <c r="N428" i="5"/>
  <c r="H431" i="5"/>
  <c r="I431" i="5" s="1"/>
  <c r="N434" i="5"/>
  <c r="H437" i="5"/>
  <c r="I437" i="5" s="1"/>
  <c r="N440" i="5"/>
  <c r="H443" i="5"/>
  <c r="I443" i="5" s="1"/>
  <c r="N446" i="5"/>
  <c r="H449" i="5"/>
  <c r="I449" i="5" s="1"/>
  <c r="N5" i="6"/>
  <c r="N8" i="6"/>
  <c r="N9" i="6"/>
  <c r="O12" i="6"/>
  <c r="P15" i="6"/>
  <c r="O23" i="6"/>
  <c r="N24" i="6"/>
  <c r="M28" i="6"/>
  <c r="N37" i="6"/>
  <c r="K37" i="6"/>
  <c r="P38" i="6"/>
  <c r="P41" i="6"/>
  <c r="O44" i="6"/>
  <c r="P46" i="6"/>
  <c r="P49" i="6"/>
  <c r="K53" i="6"/>
  <c r="M54" i="6"/>
  <c r="N57" i="6"/>
  <c r="O59" i="6"/>
  <c r="N60" i="6"/>
  <c r="M62" i="6"/>
  <c r="K62" i="6"/>
  <c r="P67" i="6"/>
  <c r="K71" i="6"/>
  <c r="M72" i="6"/>
  <c r="N75" i="6"/>
  <c r="O77" i="6"/>
  <c r="N79" i="6"/>
  <c r="K79" i="6"/>
  <c r="M84" i="6"/>
  <c r="M88" i="6"/>
  <c r="K88" i="6"/>
  <c r="M89" i="6"/>
  <c r="P91" i="6"/>
  <c r="O93" i="6"/>
  <c r="N95" i="6"/>
  <c r="O96" i="6"/>
  <c r="M98" i="6"/>
  <c r="K98" i="6"/>
  <c r="O103" i="6"/>
  <c r="K105" i="6"/>
  <c r="P110" i="6"/>
  <c r="N112" i="6"/>
  <c r="P114" i="6"/>
  <c r="P161" i="6"/>
  <c r="P155" i="6"/>
  <c r="P149" i="6"/>
  <c r="P143" i="6"/>
  <c r="P137" i="6"/>
  <c r="P131" i="6"/>
  <c r="P125" i="6"/>
  <c r="P119" i="6"/>
  <c r="P113" i="6"/>
  <c r="N116" i="6"/>
  <c r="P117" i="6"/>
  <c r="K125" i="6"/>
  <c r="M133" i="6"/>
  <c r="P142" i="6"/>
  <c r="N147" i="6"/>
  <c r="O149" i="6"/>
  <c r="N151" i="6"/>
  <c r="K151" i="6"/>
  <c r="M156" i="6"/>
  <c r="M160" i="6"/>
  <c r="K160" i="6"/>
  <c r="M161" i="6"/>
  <c r="P163" i="6"/>
  <c r="O165" i="6"/>
  <c r="N216" i="6"/>
  <c r="N210" i="6"/>
  <c r="N204" i="6"/>
  <c r="N212" i="6"/>
  <c r="N198" i="6"/>
  <c r="N214" i="6"/>
  <c r="N174" i="6"/>
  <c r="N168" i="6"/>
  <c r="N220" i="6"/>
  <c r="N184" i="6"/>
  <c r="N167" i="6"/>
  <c r="O168" i="6"/>
  <c r="M170" i="6"/>
  <c r="K170" i="6"/>
  <c r="O175" i="6"/>
  <c r="O177" i="6"/>
  <c r="P179" i="6"/>
  <c r="P181" i="6"/>
  <c r="N188" i="6"/>
  <c r="M190" i="6"/>
  <c r="K192" i="6"/>
  <c r="O192" i="6"/>
  <c r="O202" i="6"/>
  <c r="O204" i="6"/>
  <c r="N206" i="6"/>
  <c r="O214" i="6"/>
  <c r="M216" i="6"/>
  <c r="K216" i="6"/>
  <c r="M218" i="6"/>
  <c r="K218" i="6"/>
  <c r="N221" i="6"/>
  <c r="O248" i="6"/>
  <c r="K248" i="6"/>
  <c r="O257" i="6"/>
  <c r="K257" i="6"/>
  <c r="O266" i="6"/>
  <c r="K266" i="6"/>
  <c r="O275" i="6"/>
  <c r="K275" i="6"/>
  <c r="O284" i="6"/>
  <c r="K284" i="6"/>
  <c r="K339" i="6"/>
  <c r="M339" i="6"/>
  <c r="M341" i="6"/>
  <c r="M425" i="6"/>
  <c r="O417" i="6"/>
  <c r="O6" i="6"/>
  <c r="P9" i="6"/>
  <c r="K12" i="6"/>
  <c r="O17" i="6"/>
  <c r="N18" i="6"/>
  <c r="M22" i="6"/>
  <c r="N31" i="6"/>
  <c r="K31" i="6"/>
  <c r="P32" i="6"/>
  <c r="P40" i="6"/>
  <c r="P43" i="6"/>
  <c r="N46" i="6"/>
  <c r="M49" i="6"/>
  <c r="O51" i="6"/>
  <c r="N53" i="6"/>
  <c r="N56" i="6"/>
  <c r="P57" i="6"/>
  <c r="P64" i="6"/>
  <c r="M67" i="6"/>
  <c r="O69" i="6"/>
  <c r="N71" i="6"/>
  <c r="N74" i="6"/>
  <c r="P75" i="6"/>
  <c r="K83" i="6"/>
  <c r="M91" i="6"/>
  <c r="P100" i="6"/>
  <c r="N105" i="6"/>
  <c r="O107" i="6"/>
  <c r="N109" i="6"/>
  <c r="K109" i="6"/>
  <c r="M114" i="6"/>
  <c r="M118" i="6"/>
  <c r="K118" i="6"/>
  <c r="P121" i="6"/>
  <c r="O123" i="6"/>
  <c r="N125" i="6"/>
  <c r="O126" i="6"/>
  <c r="M128" i="6"/>
  <c r="K128" i="6"/>
  <c r="O133" i="6"/>
  <c r="K135" i="6"/>
  <c r="P140" i="6"/>
  <c r="N142" i="6"/>
  <c r="P144" i="6"/>
  <c r="N146" i="6"/>
  <c r="P147" i="6"/>
  <c r="K155" i="6"/>
  <c r="M163" i="6"/>
  <c r="P172" i="6"/>
  <c r="M176" i="6"/>
  <c r="K176" i="6"/>
  <c r="M178" i="6"/>
  <c r="K178" i="6"/>
  <c r="M180" i="6"/>
  <c r="K180" i="6"/>
  <c r="N183" i="6"/>
  <c r="O188" i="6"/>
  <c r="P198" i="6"/>
  <c r="N200" i="6"/>
  <c r="M203" i="6"/>
  <c r="K203" i="6"/>
  <c r="M205" i="6"/>
  <c r="K205" i="6"/>
  <c r="O206" i="6"/>
  <c r="M209" i="6"/>
  <c r="K209" i="6"/>
  <c r="O210" i="6"/>
  <c r="M253" i="6"/>
  <c r="M262" i="6"/>
  <c r="M271" i="6"/>
  <c r="N431" i="6"/>
  <c r="O11" i="6"/>
  <c r="M14" i="6"/>
  <c r="K14" i="6"/>
  <c r="M16" i="6"/>
  <c r="N25" i="6"/>
  <c r="K25" i="6"/>
  <c r="P26" i="6"/>
  <c r="P29" i="6"/>
  <c r="P34" i="6"/>
  <c r="P37" i="6"/>
  <c r="N40" i="6"/>
  <c r="M43" i="6"/>
  <c r="O54" i="6"/>
  <c r="M58" i="6"/>
  <c r="K58" i="6"/>
  <c r="N61" i="6"/>
  <c r="K61" i="6"/>
  <c r="E455" i="6" s="1"/>
  <c r="P62" i="6"/>
  <c r="N64" i="6"/>
  <c r="O67" i="6"/>
  <c r="O72" i="6"/>
  <c r="M76" i="6"/>
  <c r="K76" i="6"/>
  <c r="M77" i="6"/>
  <c r="P79" i="6"/>
  <c r="O81" i="6"/>
  <c r="N83" i="6"/>
  <c r="O84" i="6"/>
  <c r="M86" i="6"/>
  <c r="K86" i="6"/>
  <c r="O91" i="6"/>
  <c r="P98" i="6"/>
  <c r="N100" i="6"/>
  <c r="P102" i="6"/>
  <c r="N104" i="6"/>
  <c r="P105" i="6"/>
  <c r="K113" i="6"/>
  <c r="L150" i="6" s="1"/>
  <c r="M165" i="6"/>
  <c r="M159" i="6"/>
  <c r="M153" i="6"/>
  <c r="M147" i="6"/>
  <c r="M141" i="6"/>
  <c r="M135" i="6"/>
  <c r="M129" i="6"/>
  <c r="M123" i="6"/>
  <c r="M117" i="6"/>
  <c r="M121" i="6"/>
  <c r="P130" i="6"/>
  <c r="N135" i="6"/>
  <c r="O137" i="6"/>
  <c r="N139" i="6"/>
  <c r="K139" i="6"/>
  <c r="M144" i="6"/>
  <c r="M148" i="6"/>
  <c r="K148" i="6"/>
  <c r="M149" i="6"/>
  <c r="P151" i="6"/>
  <c r="O153" i="6"/>
  <c r="N155" i="6"/>
  <c r="O156" i="6"/>
  <c r="M158" i="6"/>
  <c r="K158" i="6"/>
  <c r="O163" i="6"/>
  <c r="P170" i="6"/>
  <c r="N172" i="6"/>
  <c r="P174" i="6"/>
  <c r="N178" i="6"/>
  <c r="M182" i="6"/>
  <c r="K182" i="6"/>
  <c r="O185" i="6"/>
  <c r="N187" i="6"/>
  <c r="M192" i="6"/>
  <c r="O195" i="6"/>
  <c r="M212" i="6"/>
  <c r="K212" i="6"/>
  <c r="O216" i="6"/>
  <c r="O218" i="6"/>
  <c r="M251" i="6"/>
  <c r="M260" i="6"/>
  <c r="M269" i="6"/>
  <c r="N299" i="6"/>
  <c r="K299" i="6"/>
  <c r="N313" i="6"/>
  <c r="N315" i="6"/>
  <c r="O56" i="6"/>
  <c r="O50" i="6"/>
  <c r="O5" i="6"/>
  <c r="M10" i="6"/>
  <c r="M17" i="6"/>
  <c r="N19" i="6"/>
  <c r="K19" i="6"/>
  <c r="P20" i="6"/>
  <c r="O26" i="6"/>
  <c r="P28" i="6"/>
  <c r="P31" i="6"/>
  <c r="N34" i="6"/>
  <c r="M37" i="6"/>
  <c r="O43" i="6"/>
  <c r="O45" i="6"/>
  <c r="P48" i="6"/>
  <c r="P59" i="6"/>
  <c r="O64" i="6"/>
  <c r="P66" i="6"/>
  <c r="M79" i="6"/>
  <c r="P88" i="6"/>
  <c r="N93" i="6"/>
  <c r="O95" i="6"/>
  <c r="N97" i="6"/>
  <c r="K97" i="6"/>
  <c r="O100" i="6"/>
  <c r="M102" i="6"/>
  <c r="M106" i="6"/>
  <c r="K106" i="6"/>
  <c r="M107" i="6"/>
  <c r="P109" i="6"/>
  <c r="O111" i="6"/>
  <c r="N162" i="6"/>
  <c r="N156" i="6"/>
  <c r="N150" i="6"/>
  <c r="N144" i="6"/>
  <c r="N138" i="6"/>
  <c r="N132" i="6"/>
  <c r="N126" i="6"/>
  <c r="N120" i="6"/>
  <c r="N114" i="6"/>
  <c r="N113" i="6"/>
  <c r="O114" i="6"/>
  <c r="M116" i="6"/>
  <c r="K116" i="6"/>
  <c r="O121" i="6"/>
  <c r="P128" i="6"/>
  <c r="N130" i="6"/>
  <c r="P132" i="6"/>
  <c r="N134" i="6"/>
  <c r="P135" i="6"/>
  <c r="M151" i="6"/>
  <c r="P160" i="6"/>
  <c r="N165" i="6"/>
  <c r="O220" i="6"/>
  <c r="N169" i="6"/>
  <c r="K169" i="6"/>
  <c r="M174" i="6"/>
  <c r="O176" i="6"/>
  <c r="M183" i="6"/>
  <c r="N191" i="6"/>
  <c r="M195" i="6"/>
  <c r="N197" i="6"/>
  <c r="N199" i="6"/>
  <c r="K199" i="6"/>
  <c r="M201" i="6"/>
  <c r="K201" i="6"/>
  <c r="O203" i="6"/>
  <c r="O209" i="6"/>
  <c r="P214" i="6"/>
  <c r="M220" i="6"/>
  <c r="M232" i="6"/>
  <c r="K232" i="6"/>
  <c r="N331" i="6"/>
  <c r="N333" i="6"/>
  <c r="K394" i="6"/>
  <c r="M394" i="6"/>
  <c r="M431" i="6"/>
  <c r="M413" i="6"/>
  <c r="M407" i="6"/>
  <c r="N13" i="6"/>
  <c r="K13" i="6"/>
  <c r="P14" i="6"/>
  <c r="P17" i="6"/>
  <c r="O20" i="6"/>
  <c r="P22" i="6"/>
  <c r="P25" i="6"/>
  <c r="N28" i="6"/>
  <c r="M31" i="6"/>
  <c r="O39" i="6"/>
  <c r="O40" i="6"/>
  <c r="P42" i="6"/>
  <c r="K47" i="6"/>
  <c r="M48" i="6"/>
  <c r="N51" i="6"/>
  <c r="O53" i="6"/>
  <c r="M56" i="6"/>
  <c r="K56" i="6"/>
  <c r="P61" i="6"/>
  <c r="K65" i="6"/>
  <c r="M66" i="6"/>
  <c r="N69" i="6"/>
  <c r="O71" i="6"/>
  <c r="N72" i="6"/>
  <c r="M74" i="6"/>
  <c r="K74" i="6"/>
  <c r="O79" i="6"/>
  <c r="K81" i="6"/>
  <c r="P86" i="6"/>
  <c r="N88" i="6"/>
  <c r="P90" i="6"/>
  <c r="N92" i="6"/>
  <c r="P93" i="6"/>
  <c r="K101" i="6"/>
  <c r="M109" i="6"/>
  <c r="P118" i="6"/>
  <c r="N123" i="6"/>
  <c r="O125" i="6"/>
  <c r="N127" i="6"/>
  <c r="K127" i="6"/>
  <c r="M132" i="6"/>
  <c r="M136" i="6"/>
  <c r="K136" i="6"/>
  <c r="M137" i="6"/>
  <c r="P139" i="6"/>
  <c r="O141" i="6"/>
  <c r="N143" i="6"/>
  <c r="O144" i="6"/>
  <c r="M146" i="6"/>
  <c r="K146" i="6"/>
  <c r="O151" i="6"/>
  <c r="K153" i="6"/>
  <c r="P158" i="6"/>
  <c r="N160" i="6"/>
  <c r="P162" i="6"/>
  <c r="N164" i="6"/>
  <c r="P165" i="6"/>
  <c r="P208" i="6"/>
  <c r="P178" i="6"/>
  <c r="P180" i="6"/>
  <c r="K185" i="6"/>
  <c r="O189" i="6"/>
  <c r="M196" i="6"/>
  <c r="K196" i="6"/>
  <c r="O207" i="6"/>
  <c r="N211" i="6"/>
  <c r="O212" i="6"/>
  <c r="N218" i="6"/>
  <c r="M226" i="6"/>
  <c r="K226" i="6"/>
  <c r="O251" i="6"/>
  <c r="K251" i="6"/>
  <c r="O260" i="6"/>
  <c r="K260" i="6"/>
  <c r="O269" i="6"/>
  <c r="K269" i="6"/>
  <c r="O304" i="6"/>
  <c r="O292" i="6"/>
  <c r="O331" i="6"/>
  <c r="O325" i="6"/>
  <c r="O308" i="6"/>
  <c r="O296" i="6"/>
  <c r="O298" i="6"/>
  <c r="O328" i="6"/>
  <c r="O322" i="6"/>
  <c r="O316" i="6"/>
  <c r="O310" i="6"/>
  <c r="O278" i="6"/>
  <c r="O329" i="6"/>
  <c r="O323" i="6"/>
  <c r="O317" i="6"/>
  <c r="O311" i="6"/>
  <c r="O301" i="6"/>
  <c r="O312" i="6"/>
  <c r="O303" i="6"/>
  <c r="O291" i="6"/>
  <c r="O289" i="6"/>
  <c r="O330" i="6"/>
  <c r="O318" i="6"/>
  <c r="O324" i="6"/>
  <c r="O302" i="6"/>
  <c r="O290" i="6"/>
  <c r="K278" i="6"/>
  <c r="O287" i="6"/>
  <c r="K287" i="6"/>
  <c r="K349" i="6"/>
  <c r="M349" i="6"/>
  <c r="K411" i="6"/>
  <c r="M411" i="6"/>
  <c r="N7" i="6"/>
  <c r="K7" i="6"/>
  <c r="P8" i="6"/>
  <c r="P11" i="6"/>
  <c r="O14" i="6"/>
  <c r="P16" i="6"/>
  <c r="P19" i="6"/>
  <c r="N22" i="6"/>
  <c r="M25" i="6"/>
  <c r="K28" i="6"/>
  <c r="O33" i="6"/>
  <c r="P36" i="6"/>
  <c r="K41" i="6"/>
  <c r="M42" i="6"/>
  <c r="K45" i="6"/>
  <c r="N47" i="6"/>
  <c r="N50" i="6"/>
  <c r="P51" i="6"/>
  <c r="P58" i="6"/>
  <c r="M61" i="6"/>
  <c r="O63" i="6"/>
  <c r="N65" i="6"/>
  <c r="N68" i="6"/>
  <c r="P69" i="6"/>
  <c r="P76" i="6"/>
  <c r="N81" i="6"/>
  <c r="O83" i="6"/>
  <c r="N85" i="6"/>
  <c r="K85" i="6"/>
  <c r="M90" i="6"/>
  <c r="M94" i="6"/>
  <c r="K94" i="6"/>
  <c r="P97" i="6"/>
  <c r="O99" i="6"/>
  <c r="N101" i="6"/>
  <c r="O102" i="6"/>
  <c r="M104" i="6"/>
  <c r="K104" i="6"/>
  <c r="O109" i="6"/>
  <c r="K111" i="6"/>
  <c r="P116" i="6"/>
  <c r="N118" i="6"/>
  <c r="P120" i="6"/>
  <c r="N122" i="6"/>
  <c r="P123" i="6"/>
  <c r="M139" i="6"/>
  <c r="K144" i="6"/>
  <c r="P148" i="6"/>
  <c r="N153" i="6"/>
  <c r="O155" i="6"/>
  <c r="N157" i="6"/>
  <c r="K157" i="6"/>
  <c r="M162" i="6"/>
  <c r="M166" i="6"/>
  <c r="K166" i="6"/>
  <c r="P169" i="6"/>
  <c r="O171" i="6"/>
  <c r="N173" i="6"/>
  <c r="O174" i="6"/>
  <c r="N176" i="6"/>
  <c r="N180" i="6"/>
  <c r="N185" i="6"/>
  <c r="M187" i="6"/>
  <c r="K187" i="6"/>
  <c r="N192" i="6"/>
  <c r="N194" i="6"/>
  <c r="O201" i="6"/>
  <c r="N203" i="6"/>
  <c r="N209" i="6"/>
  <c r="M213" i="6"/>
  <c r="K213" i="6"/>
  <c r="M230" i="6"/>
  <c r="K230" i="6"/>
  <c r="O232" i="6"/>
  <c r="M247" i="6"/>
  <c r="M256" i="6"/>
  <c r="M265" i="6"/>
  <c r="M274" i="6"/>
  <c r="M283" i="6"/>
  <c r="O378" i="6"/>
  <c r="F339" i="5"/>
  <c r="F345" i="5"/>
  <c r="F351" i="5"/>
  <c r="F357" i="5"/>
  <c r="F363" i="5"/>
  <c r="M363" i="5" s="1"/>
  <c r="F369" i="5"/>
  <c r="M369" i="5" s="1"/>
  <c r="F375" i="5"/>
  <c r="M375" i="5" s="1"/>
  <c r="F381" i="5"/>
  <c r="H428" i="5"/>
  <c r="I428" i="5" s="1"/>
  <c r="H434" i="5"/>
  <c r="I434" i="5" s="1"/>
  <c r="H440" i="5"/>
  <c r="I440" i="5" s="1"/>
  <c r="H446" i="5"/>
  <c r="I446" i="5" s="1"/>
  <c r="O8" i="6"/>
  <c r="P10" i="6"/>
  <c r="P13" i="6"/>
  <c r="N16" i="6"/>
  <c r="M19" i="6"/>
  <c r="K22" i="6"/>
  <c r="O27" i="6"/>
  <c r="P30" i="6"/>
  <c r="K35" i="6"/>
  <c r="M36" i="6"/>
  <c r="K39" i="6"/>
  <c r="N41" i="6"/>
  <c r="N44" i="6"/>
  <c r="N45" i="6"/>
  <c r="O48" i="6"/>
  <c r="M52" i="6"/>
  <c r="K52" i="6"/>
  <c r="M53" i="6"/>
  <c r="N55" i="6"/>
  <c r="K55" i="6"/>
  <c r="P56" i="6"/>
  <c r="N58" i="6"/>
  <c r="O61" i="6"/>
  <c r="O66" i="6"/>
  <c r="M70" i="6"/>
  <c r="K70" i="6"/>
  <c r="M71" i="6"/>
  <c r="N73" i="6"/>
  <c r="K73" i="6"/>
  <c r="P74" i="6"/>
  <c r="N76" i="6"/>
  <c r="P78" i="6"/>
  <c r="N80" i="6"/>
  <c r="P81" i="6"/>
  <c r="K89" i="6"/>
  <c r="M97" i="6"/>
  <c r="K102" i="6"/>
  <c r="P106" i="6"/>
  <c r="N111" i="6"/>
  <c r="O113" i="6"/>
  <c r="N115" i="6"/>
  <c r="K115" i="6"/>
  <c r="M120" i="6"/>
  <c r="M124" i="6"/>
  <c r="K124" i="6"/>
  <c r="M125" i="6"/>
  <c r="P127" i="6"/>
  <c r="O129" i="6"/>
  <c r="N131" i="6"/>
  <c r="O132" i="6"/>
  <c r="M134" i="6"/>
  <c r="K134" i="6"/>
  <c r="O139" i="6"/>
  <c r="K141" i="6"/>
  <c r="P146" i="6"/>
  <c r="N148" i="6"/>
  <c r="P150" i="6"/>
  <c r="N152" i="6"/>
  <c r="P153" i="6"/>
  <c r="K161" i="6"/>
  <c r="M169" i="6"/>
  <c r="K174" i="6"/>
  <c r="P176" i="6"/>
  <c r="O182" i="6"/>
  <c r="P185" i="6"/>
  <c r="O187" i="6"/>
  <c r="M189" i="6"/>
  <c r="M191" i="6"/>
  <c r="K193" i="6"/>
  <c r="M199" i="6"/>
  <c r="P201" i="6"/>
  <c r="O205" i="6"/>
  <c r="M207" i="6"/>
  <c r="K207" i="6"/>
  <c r="M217" i="6"/>
  <c r="K217" i="6"/>
  <c r="M224" i="6"/>
  <c r="M244" i="6"/>
  <c r="M240" i="6"/>
  <c r="M236" i="6"/>
  <c r="K224" i="6"/>
  <c r="M242" i="6"/>
  <c r="M238" i="6"/>
  <c r="M234" i="6"/>
  <c r="M228" i="6"/>
  <c r="M222" i="6"/>
  <c r="O226" i="6"/>
  <c r="M245" i="6"/>
  <c r="M254" i="6"/>
  <c r="M263" i="6"/>
  <c r="M272" i="6"/>
  <c r="M281" i="6"/>
  <c r="P7" i="6"/>
  <c r="N10" i="6"/>
  <c r="M13" i="6"/>
  <c r="K16" i="6"/>
  <c r="O19" i="6"/>
  <c r="O21" i="6"/>
  <c r="P24" i="6"/>
  <c r="K29" i="6"/>
  <c r="M30" i="6"/>
  <c r="K33" i="6"/>
  <c r="N35" i="6"/>
  <c r="N38" i="6"/>
  <c r="N39" i="6"/>
  <c r="O42" i="6"/>
  <c r="P45" i="6"/>
  <c r="K48" i="6"/>
  <c r="P53" i="6"/>
  <c r="O58" i="6"/>
  <c r="P60" i="6"/>
  <c r="P107" i="6"/>
  <c r="P101" i="6"/>
  <c r="P95" i="6"/>
  <c r="P89" i="6"/>
  <c r="P83" i="6"/>
  <c r="P77" i="6"/>
  <c r="K63" i="6"/>
  <c r="K66" i="6"/>
  <c r="P71" i="6"/>
  <c r="O76" i="6"/>
  <c r="M78" i="6"/>
  <c r="M82" i="6"/>
  <c r="K82" i="6"/>
  <c r="P85" i="6"/>
  <c r="O87" i="6"/>
  <c r="N89" i="6"/>
  <c r="O90" i="6"/>
  <c r="M92" i="6"/>
  <c r="K92" i="6"/>
  <c r="O97" i="6"/>
  <c r="P104" i="6"/>
  <c r="N106" i="6"/>
  <c r="P108" i="6"/>
  <c r="N110" i="6"/>
  <c r="P111" i="6"/>
  <c r="K119" i="6"/>
  <c r="M127" i="6"/>
  <c r="K132" i="6"/>
  <c r="P136" i="6"/>
  <c r="N141" i="6"/>
  <c r="O143" i="6"/>
  <c r="N145" i="6"/>
  <c r="K145" i="6"/>
  <c r="M150" i="6"/>
  <c r="M154" i="6"/>
  <c r="K154" i="6"/>
  <c r="M155" i="6"/>
  <c r="P157" i="6"/>
  <c r="O159" i="6"/>
  <c r="N161" i="6"/>
  <c r="O162" i="6"/>
  <c r="M164" i="6"/>
  <c r="K164" i="6"/>
  <c r="O169" i="6"/>
  <c r="O197" i="6"/>
  <c r="O184" i="6"/>
  <c r="M186" i="6"/>
  <c r="K186" i="6"/>
  <c r="P187" i="6"/>
  <c r="N189" i="6"/>
  <c r="O191" i="6"/>
  <c r="N193" i="6"/>
  <c r="O199" i="6"/>
  <c r="N201" i="6"/>
  <c r="M204" i="6"/>
  <c r="K204" i="6"/>
  <c r="M208" i="6"/>
  <c r="K208" i="6"/>
  <c r="M211" i="6"/>
  <c r="K211" i="6"/>
  <c r="O219" i="6"/>
  <c r="M241" i="6"/>
  <c r="M243" i="6"/>
  <c r="K384" i="6"/>
  <c r="M384" i="6"/>
  <c r="M7" i="6"/>
  <c r="K10" i="6"/>
  <c r="O13" i="6"/>
  <c r="O15" i="6"/>
  <c r="O16" i="6"/>
  <c r="P18" i="6"/>
  <c r="K23" i="6"/>
  <c r="M24" i="6"/>
  <c r="K27" i="6"/>
  <c r="N29" i="6"/>
  <c r="N32" i="6"/>
  <c r="N33" i="6"/>
  <c r="O36" i="6"/>
  <c r="P39" i="6"/>
  <c r="O47" i="6"/>
  <c r="N48" i="6"/>
  <c r="M50" i="6"/>
  <c r="K50" i="6"/>
  <c r="P55" i="6"/>
  <c r="K59" i="6"/>
  <c r="M111" i="6"/>
  <c r="M105" i="6"/>
  <c r="M99" i="6"/>
  <c r="M93" i="6"/>
  <c r="M87" i="6"/>
  <c r="M81" i="6"/>
  <c r="M75" i="6"/>
  <c r="M69" i="6"/>
  <c r="M63" i="6"/>
  <c r="M60" i="6"/>
  <c r="N63" i="6"/>
  <c r="O65" i="6"/>
  <c r="M68" i="6"/>
  <c r="K68" i="6"/>
  <c r="P73" i="6"/>
  <c r="K77" i="6"/>
  <c r="M85" i="6"/>
  <c r="P94" i="6"/>
  <c r="N99" i="6"/>
  <c r="O101" i="6"/>
  <c r="N103" i="6"/>
  <c r="K103" i="6"/>
  <c r="O106" i="6"/>
  <c r="M108" i="6"/>
  <c r="M112" i="6"/>
  <c r="K112" i="6"/>
  <c r="M113" i="6"/>
  <c r="P115" i="6"/>
  <c r="O117" i="6"/>
  <c r="N119" i="6"/>
  <c r="O120" i="6"/>
  <c r="M122" i="6"/>
  <c r="K122" i="6"/>
  <c r="O127" i="6"/>
  <c r="P134" i="6"/>
  <c r="N136" i="6"/>
  <c r="P138" i="6"/>
  <c r="N140" i="6"/>
  <c r="P141" i="6"/>
  <c r="K149" i="6"/>
  <c r="M157" i="6"/>
  <c r="P166" i="6"/>
  <c r="N171" i="6"/>
  <c r="O173" i="6"/>
  <c r="N175" i="6"/>
  <c r="K175" i="6"/>
  <c r="N177" i="6"/>
  <c r="O179" i="6"/>
  <c r="N181" i="6"/>
  <c r="K181" i="6"/>
  <c r="N182" i="6"/>
  <c r="M188" i="6"/>
  <c r="K188" i="6"/>
  <c r="O196" i="6"/>
  <c r="M202" i="6"/>
  <c r="K202" i="6"/>
  <c r="M206" i="6"/>
  <c r="K206" i="6"/>
  <c r="N208" i="6"/>
  <c r="O211" i="6"/>
  <c r="P213" i="6"/>
  <c r="M215" i="6"/>
  <c r="O217" i="6"/>
  <c r="P219" i="6"/>
  <c r="M233" i="6"/>
  <c r="K233" i="6"/>
  <c r="M237" i="6"/>
  <c r="M239" i="6"/>
  <c r="O245" i="6"/>
  <c r="K245" i="6"/>
  <c r="O254" i="6"/>
  <c r="K254" i="6"/>
  <c r="O263" i="6"/>
  <c r="K263" i="6"/>
  <c r="O272" i="6"/>
  <c r="K272" i="6"/>
  <c r="O281" i="6"/>
  <c r="K281" i="6"/>
  <c r="N405" i="6"/>
  <c r="N425" i="6"/>
  <c r="N407" i="6"/>
  <c r="N444" i="6"/>
  <c r="N440" i="6"/>
  <c r="N436" i="6"/>
  <c r="N401" i="6"/>
  <c r="K421" i="6"/>
  <c r="M421" i="6"/>
  <c r="O7" i="6"/>
  <c r="O9" i="6"/>
  <c r="O10" i="6"/>
  <c r="P12" i="6"/>
  <c r="M18" i="6"/>
  <c r="N23" i="6"/>
  <c r="N26" i="6"/>
  <c r="N27" i="6"/>
  <c r="O30" i="6"/>
  <c r="P33" i="6"/>
  <c r="O41" i="6"/>
  <c r="M44" i="6"/>
  <c r="K44" i="6"/>
  <c r="M46" i="6"/>
  <c r="P52" i="6"/>
  <c r="M55" i="6"/>
  <c r="O57" i="6"/>
  <c r="N108" i="6"/>
  <c r="N102" i="6"/>
  <c r="N96" i="6"/>
  <c r="N90" i="6"/>
  <c r="N84" i="6"/>
  <c r="N78" i="6"/>
  <c r="N59" i="6"/>
  <c r="N62" i="6"/>
  <c r="P63" i="6"/>
  <c r="P70" i="6"/>
  <c r="M73" i="6"/>
  <c r="N77" i="6"/>
  <c r="O78" i="6"/>
  <c r="M80" i="6"/>
  <c r="K80" i="6"/>
  <c r="O85" i="6"/>
  <c r="P92" i="6"/>
  <c r="N94" i="6"/>
  <c r="P96" i="6"/>
  <c r="N98" i="6"/>
  <c r="P99" i="6"/>
  <c r="M115" i="6"/>
  <c r="P124" i="6"/>
  <c r="N129" i="6"/>
  <c r="O131" i="6"/>
  <c r="N133" i="6"/>
  <c r="K133" i="6"/>
  <c r="M138" i="6"/>
  <c r="M142" i="6"/>
  <c r="K142" i="6"/>
  <c r="M143" i="6"/>
  <c r="P145" i="6"/>
  <c r="O147" i="6"/>
  <c r="N149" i="6"/>
  <c r="O150" i="6"/>
  <c r="M152" i="6"/>
  <c r="K152" i="6"/>
  <c r="O157" i="6"/>
  <c r="P164" i="6"/>
  <c r="N166" i="6"/>
  <c r="P205" i="6"/>
  <c r="P203" i="6"/>
  <c r="P177" i="6"/>
  <c r="P168" i="6"/>
  <c r="P183" i="6"/>
  <c r="P173" i="6"/>
  <c r="P167" i="6"/>
  <c r="P196" i="6"/>
  <c r="P195" i="6"/>
  <c r="P193" i="6"/>
  <c r="P182" i="6"/>
  <c r="N170" i="6"/>
  <c r="P171" i="6"/>
  <c r="O186" i="6"/>
  <c r="N190" i="6"/>
  <c r="P191" i="6"/>
  <c r="O198" i="6"/>
  <c r="M200" i="6"/>
  <c r="K200" i="6"/>
  <c r="N202" i="6"/>
  <c r="P211" i="6"/>
  <c r="O213" i="6"/>
  <c r="N215" i="6"/>
  <c r="O221" i="6"/>
  <c r="M227" i="6"/>
  <c r="K227" i="6"/>
  <c r="M235" i="6"/>
  <c r="O241" i="6"/>
  <c r="K241" i="6"/>
  <c r="M250" i="6"/>
  <c r="M259" i="6"/>
  <c r="M268" i="6"/>
  <c r="M277" i="6"/>
  <c r="P6" i="6"/>
  <c r="R454" i="6" s="1"/>
  <c r="K11" i="6"/>
  <c r="M12" i="6"/>
  <c r="K15" i="6"/>
  <c r="N17" i="6"/>
  <c r="N20" i="6"/>
  <c r="N21" i="6"/>
  <c r="O24" i="6"/>
  <c r="P27" i="6"/>
  <c r="K30" i="6"/>
  <c r="O35" i="6"/>
  <c r="N36" i="6"/>
  <c r="M38" i="6"/>
  <c r="K38" i="6"/>
  <c r="M40" i="6"/>
  <c r="M47" i="6"/>
  <c r="N49" i="6"/>
  <c r="K49" i="6"/>
  <c r="P50" i="6"/>
  <c r="N52" i="6"/>
  <c r="O55" i="6"/>
  <c r="O60" i="6"/>
  <c r="M64" i="6"/>
  <c r="K64" i="6"/>
  <c r="M65" i="6"/>
  <c r="N67" i="6"/>
  <c r="K67" i="6"/>
  <c r="P68" i="6"/>
  <c r="N70" i="6"/>
  <c r="O73" i="6"/>
  <c r="P82" i="6"/>
  <c r="N87" i="6"/>
  <c r="O89" i="6"/>
  <c r="N91" i="6"/>
  <c r="K91" i="6"/>
  <c r="M96" i="6"/>
  <c r="M100" i="6"/>
  <c r="K100" i="6"/>
  <c r="M101" i="6"/>
  <c r="P103" i="6"/>
  <c r="O105" i="6"/>
  <c r="N107" i="6"/>
  <c r="O108" i="6"/>
  <c r="M110" i="6"/>
  <c r="K110" i="6"/>
  <c r="O115" i="6"/>
  <c r="K117" i="6"/>
  <c r="P122" i="6"/>
  <c r="N124" i="6"/>
  <c r="P126" i="6"/>
  <c r="N128" i="6"/>
  <c r="P129" i="6"/>
  <c r="K137" i="6"/>
  <c r="M145" i="6"/>
  <c r="P154" i="6"/>
  <c r="N159" i="6"/>
  <c r="O161" i="6"/>
  <c r="N163" i="6"/>
  <c r="K163" i="6"/>
  <c r="M168" i="6"/>
  <c r="M172" i="6"/>
  <c r="K172" i="6"/>
  <c r="M173" i="6"/>
  <c r="P175" i="6"/>
  <c r="K179" i="6"/>
  <c r="P184" i="6"/>
  <c r="O193" i="6"/>
  <c r="N196" i="6"/>
  <c r="P204" i="6"/>
  <c r="O215" i="6"/>
  <c r="K215" i="6"/>
  <c r="N217" i="6"/>
  <c r="K219" i="6"/>
  <c r="M231" i="6"/>
  <c r="K231" i="6"/>
  <c r="O237" i="6"/>
  <c r="K237" i="6"/>
  <c r="M248" i="6"/>
  <c r="M257" i="6"/>
  <c r="M266" i="6"/>
  <c r="M275" i="6"/>
  <c r="K322" i="6"/>
  <c r="M322" i="6"/>
  <c r="M311" i="6"/>
  <c r="O380" i="6"/>
  <c r="O372" i="6"/>
  <c r="M184" i="6"/>
  <c r="N223" i="6"/>
  <c r="N229" i="6"/>
  <c r="M246" i="6"/>
  <c r="M249" i="6"/>
  <c r="M252" i="6"/>
  <c r="M255" i="6"/>
  <c r="M258" i="6"/>
  <c r="M261" i="6"/>
  <c r="M264" i="6"/>
  <c r="M267" i="6"/>
  <c r="M270" i="6"/>
  <c r="M273" i="6"/>
  <c r="M276" i="6"/>
  <c r="M279" i="6"/>
  <c r="M282" i="6"/>
  <c r="M285" i="6"/>
  <c r="N288" i="6"/>
  <c r="O295" i="6"/>
  <c r="O297" i="6"/>
  <c r="O299" i="6"/>
  <c r="M300" i="6"/>
  <c r="O307" i="6"/>
  <c r="O309" i="6"/>
  <c r="O313" i="6"/>
  <c r="M317" i="6"/>
  <c r="N323" i="6"/>
  <c r="K328" i="6"/>
  <c r="M328" i="6"/>
  <c r="M329" i="6"/>
  <c r="N337" i="6"/>
  <c r="N339" i="6"/>
  <c r="K345" i="6"/>
  <c r="M345" i="6"/>
  <c r="O351" i="6"/>
  <c r="K355" i="6"/>
  <c r="M355" i="6"/>
  <c r="O360" i="6"/>
  <c r="N372" i="6"/>
  <c r="N382" i="6"/>
  <c r="O386" i="6"/>
  <c r="K390" i="6"/>
  <c r="M390" i="6"/>
  <c r="N395" i="6"/>
  <c r="K400" i="6"/>
  <c r="M400" i="6"/>
  <c r="M401" i="6"/>
  <c r="N409" i="6"/>
  <c r="N411" i="6"/>
  <c r="K417" i="6"/>
  <c r="M417" i="6"/>
  <c r="O423" i="6"/>
  <c r="N432" i="6"/>
  <c r="N434" i="6"/>
  <c r="N438" i="6"/>
  <c r="N442" i="6"/>
  <c r="O19" i="8"/>
  <c r="F20" i="8"/>
  <c r="N19" i="8" s="1"/>
  <c r="O167" i="6"/>
  <c r="O183" i="6"/>
  <c r="P186" i="6"/>
  <c r="O194" i="6"/>
  <c r="P200" i="6"/>
  <c r="N205" i="6"/>
  <c r="P216" i="6"/>
  <c r="O225" i="6"/>
  <c r="O231" i="6"/>
  <c r="M293" i="6"/>
  <c r="K293" i="6"/>
  <c r="M295" i="6"/>
  <c r="K295" i="6"/>
  <c r="N297" i="6"/>
  <c r="M305" i="6"/>
  <c r="K305" i="6"/>
  <c r="M307" i="6"/>
  <c r="K307" i="6"/>
  <c r="N309" i="6"/>
  <c r="K316" i="6"/>
  <c r="M316" i="6"/>
  <c r="N317" i="6"/>
  <c r="N320" i="6"/>
  <c r="K324" i="6"/>
  <c r="M324" i="6"/>
  <c r="K334" i="6"/>
  <c r="M334" i="6"/>
  <c r="M335" i="6"/>
  <c r="N343" i="6"/>
  <c r="N345" i="6"/>
  <c r="K351" i="6"/>
  <c r="M351" i="6"/>
  <c r="O357" i="6"/>
  <c r="K361" i="6"/>
  <c r="M361" i="6"/>
  <c r="N378" i="6"/>
  <c r="N388" i="6"/>
  <c r="O433" i="6"/>
  <c r="O427" i="6"/>
  <c r="O421" i="6"/>
  <c r="O415" i="6"/>
  <c r="O409" i="6"/>
  <c r="O403" i="6"/>
  <c r="O397" i="6"/>
  <c r="O392" i="6"/>
  <c r="O447" i="6"/>
  <c r="O443" i="6"/>
  <c r="O439" i="6"/>
  <c r="O435" i="6"/>
  <c r="O430" i="6"/>
  <c r="O424" i="6"/>
  <c r="O418" i="6"/>
  <c r="O412" i="6"/>
  <c r="O406" i="6"/>
  <c r="O400" i="6"/>
  <c r="O394" i="6"/>
  <c r="O431" i="6"/>
  <c r="O425" i="6"/>
  <c r="O419" i="6"/>
  <c r="O413" i="6"/>
  <c r="O407" i="6"/>
  <c r="O401" i="6"/>
  <c r="O395" i="6"/>
  <c r="K396" i="6"/>
  <c r="M396" i="6"/>
  <c r="K406" i="6"/>
  <c r="M406" i="6"/>
  <c r="N415" i="6"/>
  <c r="N417" i="6"/>
  <c r="K423" i="6"/>
  <c r="M423" i="6"/>
  <c r="K427" i="6"/>
  <c r="M427" i="6"/>
  <c r="N446" i="6"/>
  <c r="O12" i="8"/>
  <c r="F12" i="8"/>
  <c r="N12" i="8" s="1"/>
  <c r="P210" i="6"/>
  <c r="O236" i="6"/>
  <c r="O240" i="6"/>
  <c r="O244" i="6"/>
  <c r="N326" i="6"/>
  <c r="N283" i="6"/>
  <c r="N282" i="6"/>
  <c r="N281" i="6"/>
  <c r="N280" i="6"/>
  <c r="N279" i="6"/>
  <c r="N278" i="6"/>
  <c r="N300" i="6"/>
  <c r="N290" i="6"/>
  <c r="N293" i="6"/>
  <c r="N295" i="6"/>
  <c r="N302" i="6"/>
  <c r="N305" i="6"/>
  <c r="N307" i="6"/>
  <c r="N316" i="6"/>
  <c r="K318" i="6"/>
  <c r="M318" i="6"/>
  <c r="O320" i="6"/>
  <c r="N322" i="6"/>
  <c r="O326" i="6"/>
  <c r="K330" i="6"/>
  <c r="M330" i="6"/>
  <c r="K340" i="6"/>
  <c r="M340" i="6"/>
  <c r="K357" i="6"/>
  <c r="M357" i="6"/>
  <c r="O363" i="6"/>
  <c r="K367" i="6"/>
  <c r="M367" i="6"/>
  <c r="N384" i="6"/>
  <c r="N394" i="6"/>
  <c r="O398" i="6"/>
  <c r="K402" i="6"/>
  <c r="M402" i="6"/>
  <c r="K412" i="6"/>
  <c r="M412" i="6"/>
  <c r="N421" i="6"/>
  <c r="N423" i="6"/>
  <c r="O429" i="6"/>
  <c r="O432" i="6"/>
  <c r="K435" i="6"/>
  <c r="M435" i="6"/>
  <c r="O436" i="6"/>
  <c r="K439" i="6"/>
  <c r="M439" i="6"/>
  <c r="O440" i="6"/>
  <c r="K443" i="6"/>
  <c r="M443" i="6"/>
  <c r="O444" i="6"/>
  <c r="P197" i="6"/>
  <c r="P220" i="6"/>
  <c r="O224" i="6"/>
  <c r="O230" i="6"/>
  <c r="O247" i="6"/>
  <c r="O250" i="6"/>
  <c r="O253" i="6"/>
  <c r="O256" i="6"/>
  <c r="O259" i="6"/>
  <c r="O262" i="6"/>
  <c r="O265" i="6"/>
  <c r="O268" i="6"/>
  <c r="O271" i="6"/>
  <c r="O274" i="6"/>
  <c r="O277" i="6"/>
  <c r="O280" i="6"/>
  <c r="O283" i="6"/>
  <c r="O286" i="6"/>
  <c r="O293" i="6"/>
  <c r="O305" i="6"/>
  <c r="K310" i="6"/>
  <c r="M310" i="6"/>
  <c r="N311" i="6"/>
  <c r="N314" i="6"/>
  <c r="N328" i="6"/>
  <c r="O332" i="6"/>
  <c r="K336" i="6"/>
  <c r="M336" i="6"/>
  <c r="N341" i="6"/>
  <c r="K346" i="6"/>
  <c r="M346" i="6"/>
  <c r="M347" i="6"/>
  <c r="N355" i="6"/>
  <c r="N357" i="6"/>
  <c r="K363" i="6"/>
  <c r="M363" i="6"/>
  <c r="O369" i="6"/>
  <c r="K373" i="6"/>
  <c r="M373" i="6"/>
  <c r="N390" i="6"/>
  <c r="N400" i="6"/>
  <c r="O404" i="6"/>
  <c r="K408" i="6"/>
  <c r="M408" i="6"/>
  <c r="N413" i="6"/>
  <c r="K418" i="6"/>
  <c r="M418" i="6"/>
  <c r="M419" i="6"/>
  <c r="K429" i="6"/>
  <c r="M429" i="6"/>
  <c r="K433" i="6"/>
  <c r="M433" i="6"/>
  <c r="K437" i="6"/>
  <c r="M437" i="6"/>
  <c r="K441" i="6"/>
  <c r="M441" i="6"/>
  <c r="N448" i="6"/>
  <c r="K189" i="6"/>
  <c r="N227" i="6"/>
  <c r="N233" i="6"/>
  <c r="K289" i="6"/>
  <c r="M291" i="6"/>
  <c r="K291" i="6"/>
  <c r="M298" i="6"/>
  <c r="M303" i="6"/>
  <c r="K303" i="6"/>
  <c r="N310" i="6"/>
  <c r="K312" i="6"/>
  <c r="M312" i="6"/>
  <c r="O314" i="6"/>
  <c r="N324" i="6"/>
  <c r="N386" i="6"/>
  <c r="O338" i="6"/>
  <c r="O347" i="6"/>
  <c r="O341" i="6"/>
  <c r="O335" i="6"/>
  <c r="K342" i="6"/>
  <c r="M342" i="6"/>
  <c r="N347" i="6"/>
  <c r="K352" i="6"/>
  <c r="M352" i="6"/>
  <c r="M353" i="6"/>
  <c r="N361" i="6"/>
  <c r="N363" i="6"/>
  <c r="K369" i="6"/>
  <c r="M369" i="6"/>
  <c r="O375" i="6"/>
  <c r="K379" i="6"/>
  <c r="M379" i="6"/>
  <c r="O384" i="6"/>
  <c r="N396" i="6"/>
  <c r="N406" i="6"/>
  <c r="O410" i="6"/>
  <c r="K414" i="6"/>
  <c r="M414" i="6"/>
  <c r="N419" i="6"/>
  <c r="N427" i="6"/>
  <c r="N429" i="6"/>
  <c r="O448" i="6"/>
  <c r="K190" i="6"/>
  <c r="P199" i="6"/>
  <c r="P207" i="6"/>
  <c r="O223" i="6"/>
  <c r="O229" i="6"/>
  <c r="O235" i="6"/>
  <c r="K236" i="6"/>
  <c r="N237" i="6"/>
  <c r="O239" i="6"/>
  <c r="K240" i="6"/>
  <c r="N241" i="6"/>
  <c r="O243" i="6"/>
  <c r="K244" i="6"/>
  <c r="N291" i="6"/>
  <c r="N298" i="6"/>
  <c r="N303" i="6"/>
  <c r="N318" i="6"/>
  <c r="N330" i="6"/>
  <c r="N340" i="6"/>
  <c r="O344" i="6"/>
  <c r="K348" i="6"/>
  <c r="M348" i="6"/>
  <c r="N353" i="6"/>
  <c r="K358" i="6"/>
  <c r="M358" i="6"/>
  <c r="M359" i="6"/>
  <c r="N367" i="6"/>
  <c r="N369" i="6"/>
  <c r="K375" i="6"/>
  <c r="M375" i="6"/>
  <c r="O381" i="6"/>
  <c r="K385" i="6"/>
  <c r="M385" i="6"/>
  <c r="O390" i="6"/>
  <c r="N402" i="6"/>
  <c r="N412" i="6"/>
  <c r="O416" i="6"/>
  <c r="K420" i="6"/>
  <c r="M420" i="6"/>
  <c r="N435" i="6"/>
  <c r="O437" i="6"/>
  <c r="N439" i="6"/>
  <c r="O441" i="6"/>
  <c r="N443" i="6"/>
  <c r="O445" i="6"/>
  <c r="K191" i="6"/>
  <c r="N219" i="6"/>
  <c r="N226" i="6"/>
  <c r="N232" i="6"/>
  <c r="K247" i="6"/>
  <c r="K250" i="6"/>
  <c r="K253" i="6"/>
  <c r="K256" i="6"/>
  <c r="K259" i="6"/>
  <c r="K262" i="6"/>
  <c r="K265" i="6"/>
  <c r="K268" i="6"/>
  <c r="K271" i="6"/>
  <c r="K274" i="6"/>
  <c r="K277" i="6"/>
  <c r="K280" i="6"/>
  <c r="K283" i="6"/>
  <c r="K286" i="6"/>
  <c r="M289" i="6"/>
  <c r="N294" i="6"/>
  <c r="N306" i="6"/>
  <c r="N336" i="6"/>
  <c r="N346" i="6"/>
  <c r="O350" i="6"/>
  <c r="K354" i="6"/>
  <c r="M354" i="6"/>
  <c r="N359" i="6"/>
  <c r="K364" i="6"/>
  <c r="M364" i="6"/>
  <c r="M365" i="6"/>
  <c r="N373" i="6"/>
  <c r="N375" i="6"/>
  <c r="K381" i="6"/>
  <c r="M381" i="6"/>
  <c r="O387" i="6"/>
  <c r="K391" i="6"/>
  <c r="M391" i="6"/>
  <c r="O396" i="6"/>
  <c r="N408" i="6"/>
  <c r="N418" i="6"/>
  <c r="O422" i="6"/>
  <c r="N433" i="6"/>
  <c r="N437" i="6"/>
  <c r="N441" i="6"/>
  <c r="O62" i="6"/>
  <c r="O68" i="6"/>
  <c r="O74" i="6"/>
  <c r="O80" i="6"/>
  <c r="O86" i="6"/>
  <c r="O92" i="6"/>
  <c r="O98" i="6"/>
  <c r="O104" i="6"/>
  <c r="O110" i="6"/>
  <c r="O116" i="6"/>
  <c r="O122" i="6"/>
  <c r="O128" i="6"/>
  <c r="O134" i="6"/>
  <c r="O140" i="6"/>
  <c r="O146" i="6"/>
  <c r="O152" i="6"/>
  <c r="O158" i="6"/>
  <c r="O164" i="6"/>
  <c r="O170" i="6"/>
  <c r="O178" i="6"/>
  <c r="P192" i="6"/>
  <c r="N195" i="6"/>
  <c r="N213" i="6"/>
  <c r="O222" i="6"/>
  <c r="O228" i="6"/>
  <c r="O234" i="6"/>
  <c r="O246" i="6"/>
  <c r="O249" i="6"/>
  <c r="O252" i="6"/>
  <c r="O255" i="6"/>
  <c r="O258" i="6"/>
  <c r="O261" i="6"/>
  <c r="O264" i="6"/>
  <c r="O267" i="6"/>
  <c r="O270" i="6"/>
  <c r="O273" i="6"/>
  <c r="O276" i="6"/>
  <c r="O279" i="6"/>
  <c r="O282" i="6"/>
  <c r="O285" i="6"/>
  <c r="O288" i="6"/>
  <c r="N289" i="6"/>
  <c r="O294" i="6"/>
  <c r="M296" i="6"/>
  <c r="K296" i="6"/>
  <c r="O300" i="6"/>
  <c r="M301" i="6"/>
  <c r="O306" i="6"/>
  <c r="M308" i="6"/>
  <c r="K308" i="6"/>
  <c r="N312" i="6"/>
  <c r="O321" i="6"/>
  <c r="K325" i="6"/>
  <c r="M325" i="6"/>
  <c r="N342" i="6"/>
  <c r="N352" i="6"/>
  <c r="O356" i="6"/>
  <c r="K360" i="6"/>
  <c r="M360" i="6"/>
  <c r="N365" i="6"/>
  <c r="K370" i="6"/>
  <c r="M370" i="6"/>
  <c r="M371" i="6"/>
  <c r="N379" i="6"/>
  <c r="N381" i="6"/>
  <c r="K387" i="6"/>
  <c r="M387" i="6"/>
  <c r="O393" i="6"/>
  <c r="K397" i="6"/>
  <c r="M397" i="6"/>
  <c r="O402" i="6"/>
  <c r="N414" i="6"/>
  <c r="K426" i="6"/>
  <c r="M426" i="6"/>
  <c r="N445" i="6"/>
  <c r="N447" i="6"/>
  <c r="O449" i="6"/>
  <c r="P221" i="6"/>
  <c r="P215" i="6"/>
  <c r="P209" i="6"/>
  <c r="O190" i="6"/>
  <c r="N207" i="6"/>
  <c r="N225" i="6"/>
  <c r="N231" i="6"/>
  <c r="N236" i="6"/>
  <c r="O238" i="6"/>
  <c r="N240" i="6"/>
  <c r="O242" i="6"/>
  <c r="M294" i="6"/>
  <c r="K294" i="6"/>
  <c r="N296" i="6"/>
  <c r="N301" i="6"/>
  <c r="M306" i="6"/>
  <c r="N308" i="6"/>
  <c r="K319" i="6"/>
  <c r="M319" i="6"/>
  <c r="K321" i="6"/>
  <c r="M321" i="6"/>
  <c r="O327" i="6"/>
  <c r="K331" i="6"/>
  <c r="M331" i="6"/>
  <c r="O336" i="6"/>
  <c r="N348" i="6"/>
  <c r="N358" i="6"/>
  <c r="O362" i="6"/>
  <c r="K366" i="6"/>
  <c r="M366" i="6"/>
  <c r="N371" i="6"/>
  <c r="K376" i="6"/>
  <c r="M376" i="6"/>
  <c r="M377" i="6"/>
  <c r="N385" i="6"/>
  <c r="N387" i="6"/>
  <c r="K393" i="6"/>
  <c r="M393" i="6"/>
  <c r="O399" i="6"/>
  <c r="K403" i="6"/>
  <c r="M403" i="6"/>
  <c r="O408" i="6"/>
  <c r="N420" i="6"/>
  <c r="N424" i="6"/>
  <c r="O428" i="6"/>
  <c r="P189" i="6"/>
  <c r="P194" i="6"/>
  <c r="P21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O227" i="6"/>
  <c r="O233" i="6"/>
  <c r="M299" i="6"/>
  <c r="M290" i="6"/>
  <c r="K290" i="6"/>
  <c r="M292" i="6"/>
  <c r="K292" i="6"/>
  <c r="M302" i="6"/>
  <c r="K302" i="6"/>
  <c r="M304" i="6"/>
  <c r="K304" i="6"/>
  <c r="O315" i="6"/>
  <c r="N319" i="6"/>
  <c r="N321" i="6"/>
  <c r="K327" i="6"/>
  <c r="M327" i="6"/>
  <c r="O333" i="6"/>
  <c r="O373" i="6"/>
  <c r="K337" i="6"/>
  <c r="M337" i="6"/>
  <c r="O342" i="6"/>
  <c r="N354" i="6"/>
  <c r="N364" i="6"/>
  <c r="O368" i="6"/>
  <c r="K372" i="6"/>
  <c r="M372" i="6"/>
  <c r="N377" i="6"/>
  <c r="K382" i="6"/>
  <c r="M382" i="6"/>
  <c r="M383" i="6"/>
  <c r="N391" i="6"/>
  <c r="N416" i="6"/>
  <c r="N410" i="6"/>
  <c r="N404" i="6"/>
  <c r="N398" i="6"/>
  <c r="N392" i="6"/>
  <c r="N393" i="6"/>
  <c r="K399" i="6"/>
  <c r="M399" i="6"/>
  <c r="O405" i="6"/>
  <c r="K409" i="6"/>
  <c r="M409" i="6"/>
  <c r="O414" i="6"/>
  <c r="K432" i="6"/>
  <c r="M432" i="6"/>
  <c r="N449" i="6"/>
  <c r="O39" i="8"/>
  <c r="F40" i="8"/>
  <c r="N39" i="8" s="1"/>
  <c r="P212" i="6"/>
  <c r="N224" i="6"/>
  <c r="N230" i="6"/>
  <c r="N292" i="6"/>
  <c r="M297" i="6"/>
  <c r="N304" i="6"/>
  <c r="M309" i="6"/>
  <c r="K309" i="6"/>
  <c r="K313" i="6"/>
  <c r="M313" i="6"/>
  <c r="K315" i="6"/>
  <c r="M315" i="6"/>
  <c r="O319" i="6"/>
  <c r="N325" i="6"/>
  <c r="N327" i="6"/>
  <c r="K333" i="6"/>
  <c r="M333" i="6"/>
  <c r="O339" i="6"/>
  <c r="K343" i="6"/>
  <c r="M343" i="6"/>
  <c r="O348" i="6"/>
  <c r="N360" i="6"/>
  <c r="N370" i="6"/>
  <c r="O374" i="6"/>
  <c r="K378" i="6"/>
  <c r="M378" i="6"/>
  <c r="N383" i="6"/>
  <c r="K388" i="6"/>
  <c r="M388" i="6"/>
  <c r="M389" i="6"/>
  <c r="N397" i="6"/>
  <c r="N399" i="6"/>
  <c r="K405" i="6"/>
  <c r="M405" i="6"/>
  <c r="O411" i="6"/>
  <c r="K415" i="6"/>
  <c r="M415" i="6"/>
  <c r="O420" i="6"/>
  <c r="N426" i="6"/>
  <c r="N430" i="6"/>
  <c r="O434" i="6"/>
  <c r="O438" i="6"/>
  <c r="O442" i="6"/>
  <c r="K314" i="6"/>
  <c r="K320" i="6"/>
  <c r="K326" i="6"/>
  <c r="K332" i="6"/>
  <c r="K338" i="6"/>
  <c r="K344" i="6"/>
  <c r="K350" i="6"/>
  <c r="O353" i="6"/>
  <c r="K356" i="6"/>
  <c r="O359" i="6"/>
  <c r="K362" i="6"/>
  <c r="O365" i="6"/>
  <c r="K368" i="6"/>
  <c r="O371" i="6"/>
  <c r="K374" i="6"/>
  <c r="O377" i="6"/>
  <c r="K380" i="6"/>
  <c r="O383" i="6"/>
  <c r="K386" i="6"/>
  <c r="O389" i="6"/>
  <c r="K392" i="6"/>
  <c r="K398" i="6"/>
  <c r="K404" i="6"/>
  <c r="K410" i="6"/>
  <c r="K416" i="6"/>
  <c r="K422" i="6"/>
  <c r="M424" i="6"/>
  <c r="K428" i="6"/>
  <c r="M430" i="6"/>
  <c r="K434" i="6"/>
  <c r="K438" i="6"/>
  <c r="K442" i="6"/>
  <c r="K446" i="6"/>
  <c r="M447" i="6"/>
  <c r="F7" i="8"/>
  <c r="F23" i="8"/>
  <c r="N22" i="8" s="1"/>
  <c r="F37" i="8"/>
  <c r="N36" i="8" s="1"/>
  <c r="O47" i="8"/>
  <c r="F48" i="8"/>
  <c r="N47" i="8" s="1"/>
  <c r="F108" i="8"/>
  <c r="N108" i="8" s="1"/>
  <c r="N284" i="6"/>
  <c r="N285" i="6"/>
  <c r="N286" i="6"/>
  <c r="N287" i="6"/>
  <c r="N334" i="6"/>
  <c r="F17" i="8"/>
  <c r="N16" i="8" s="1"/>
  <c r="O27" i="8"/>
  <c r="F28" i="8"/>
  <c r="N27" i="8" s="1"/>
  <c r="F51" i="8"/>
  <c r="N50" i="8" s="1"/>
  <c r="O81" i="8"/>
  <c r="F93" i="8"/>
  <c r="N93" i="8" s="1"/>
  <c r="F96" i="8"/>
  <c r="N96" i="8" s="1"/>
  <c r="F125" i="8"/>
  <c r="N125" i="8" s="1"/>
  <c r="F128" i="8"/>
  <c r="N128" i="8" s="1"/>
  <c r="O334" i="6"/>
  <c r="O340" i="6"/>
  <c r="O346" i="6"/>
  <c r="O352" i="6"/>
  <c r="O358" i="6"/>
  <c r="O364" i="6"/>
  <c r="O370" i="6"/>
  <c r="O376" i="6"/>
  <c r="O382" i="6"/>
  <c r="O388" i="6"/>
  <c r="N81" i="8"/>
  <c r="K306" i="6"/>
  <c r="M434" i="6"/>
  <c r="M438" i="6"/>
  <c r="M442" i="6"/>
  <c r="K445" i="6"/>
  <c r="M446" i="6"/>
  <c r="K449" i="6"/>
  <c r="F25" i="8"/>
  <c r="N24" i="8" s="1"/>
  <c r="O35" i="8"/>
  <c r="F36" i="8"/>
  <c r="N35" i="8" s="1"/>
  <c r="F84" i="8"/>
  <c r="N84" i="8" s="1"/>
  <c r="F116" i="8"/>
  <c r="N116" i="8" s="1"/>
  <c r="M314" i="6"/>
  <c r="M320" i="6"/>
  <c r="M326" i="6"/>
  <c r="M332" i="6"/>
  <c r="M338" i="6"/>
  <c r="M344" i="6"/>
  <c r="M350" i="6"/>
  <c r="M356" i="6"/>
  <c r="M362" i="6"/>
  <c r="M368" i="6"/>
  <c r="M374" i="6"/>
  <c r="M380" i="6"/>
  <c r="M386" i="6"/>
  <c r="M392" i="6"/>
  <c r="M398" i="6"/>
  <c r="M404" i="6"/>
  <c r="M410" i="6"/>
  <c r="M416" i="6"/>
  <c r="M422" i="6"/>
  <c r="M428" i="6"/>
  <c r="F39" i="8"/>
  <c r="N38" i="8" s="1"/>
  <c r="F101" i="8"/>
  <c r="N101" i="8" s="1"/>
  <c r="F104" i="8"/>
  <c r="N104" i="8" s="1"/>
  <c r="F133" i="8"/>
  <c r="N133" i="8" s="1"/>
  <c r="F136" i="8"/>
  <c r="N136" i="8" s="1"/>
  <c r="N332" i="6"/>
  <c r="N338" i="6"/>
  <c r="N344" i="6"/>
  <c r="N350" i="6"/>
  <c r="N356" i="6"/>
  <c r="N362" i="6"/>
  <c r="N368" i="6"/>
  <c r="N374" i="6"/>
  <c r="N380" i="6"/>
  <c r="N422" i="6"/>
  <c r="N428" i="6"/>
  <c r="N6" i="8"/>
  <c r="O43" i="8"/>
  <c r="F44" i="8"/>
  <c r="N43" i="8" s="1"/>
  <c r="F56" i="8"/>
  <c r="N55" i="8" s="1"/>
  <c r="K311" i="6"/>
  <c r="K317" i="6"/>
  <c r="K323" i="6"/>
  <c r="K329" i="6"/>
  <c r="K335" i="6"/>
  <c r="K341" i="6"/>
  <c r="K347" i="6"/>
  <c r="K353" i="6"/>
  <c r="K359" i="6"/>
  <c r="M445" i="6"/>
  <c r="M449" i="6"/>
  <c r="O8" i="8"/>
  <c r="F8" i="8"/>
  <c r="N8" i="8" s="1"/>
  <c r="O23" i="8"/>
  <c r="F24" i="8"/>
  <c r="N23" i="8" s="1"/>
  <c r="F13" i="8"/>
  <c r="N13" i="8" s="1"/>
  <c r="F27" i="8"/>
  <c r="N26" i="8" s="1"/>
  <c r="F41" i="8"/>
  <c r="N40" i="8" s="1"/>
  <c r="F109" i="8"/>
  <c r="N109" i="8" s="1"/>
  <c r="F112" i="8"/>
  <c r="N112" i="8" s="1"/>
  <c r="O337" i="6"/>
  <c r="O343" i="6"/>
  <c r="O349" i="6"/>
  <c r="O355" i="6"/>
  <c r="O361" i="6"/>
  <c r="O367" i="6"/>
  <c r="O379" i="6"/>
  <c r="O385" i="6"/>
  <c r="O391" i="6"/>
  <c r="K424" i="6"/>
  <c r="K430" i="6"/>
  <c r="O31" i="8"/>
  <c r="F32" i="8"/>
  <c r="N31" i="8" s="1"/>
  <c r="M436" i="6"/>
  <c r="M440" i="6"/>
  <c r="M444" i="6"/>
  <c r="K447" i="6"/>
  <c r="M448" i="6"/>
  <c r="F35" i="8"/>
  <c r="N34" i="8" s="1"/>
  <c r="F49" i="8"/>
  <c r="N48" i="8" s="1"/>
  <c r="F52" i="8"/>
  <c r="N51" i="8" s="1"/>
  <c r="E402" i="9"/>
  <c r="K408" i="9"/>
  <c r="E426" i="9"/>
  <c r="K432" i="9"/>
  <c r="E450" i="9"/>
  <c r="K456" i="9"/>
  <c r="F474" i="9"/>
  <c r="G493" i="9"/>
  <c r="K386" i="9"/>
  <c r="K392" i="9"/>
  <c r="K398" i="9"/>
  <c r="F86" i="8"/>
  <c r="N86" i="8" s="1"/>
  <c r="F94" i="8"/>
  <c r="N94" i="8" s="1"/>
  <c r="F102" i="8"/>
  <c r="N102" i="8" s="1"/>
  <c r="F110" i="8"/>
  <c r="N110" i="8" s="1"/>
  <c r="F118" i="8"/>
  <c r="N118" i="8" s="1"/>
  <c r="F126" i="8"/>
  <c r="N126" i="8" s="1"/>
  <c r="F134" i="8"/>
  <c r="N134" i="8" s="1"/>
  <c r="E384" i="9"/>
  <c r="E390" i="9"/>
  <c r="E396" i="9"/>
  <c r="E406" i="9"/>
  <c r="K412" i="9"/>
  <c r="E430" i="9"/>
  <c r="K436" i="9"/>
  <c r="E454" i="9"/>
  <c r="E468" i="9"/>
  <c r="K521" i="9"/>
  <c r="F87" i="8"/>
  <c r="N87" i="8" s="1"/>
  <c r="F95" i="8"/>
  <c r="N95" i="8" s="1"/>
  <c r="F103" i="8"/>
  <c r="N103" i="8" s="1"/>
  <c r="F111" i="8"/>
  <c r="N111" i="8" s="1"/>
  <c r="F119" i="8"/>
  <c r="N119" i="8" s="1"/>
  <c r="F127" i="8"/>
  <c r="N127" i="8" s="1"/>
  <c r="F135" i="8"/>
  <c r="N135" i="8" s="1"/>
  <c r="E410" i="9"/>
  <c r="K416" i="9"/>
  <c r="E434" i="9"/>
  <c r="K440" i="9"/>
  <c r="F463" i="9"/>
  <c r="G473" i="9"/>
  <c r="F520" i="9"/>
  <c r="K529" i="9"/>
  <c r="K384" i="9"/>
  <c r="K390" i="9"/>
  <c r="K396" i="9"/>
  <c r="F458" i="9"/>
  <c r="F486" i="9"/>
  <c r="K537" i="9"/>
  <c r="J372" i="9"/>
  <c r="E382" i="9"/>
  <c r="F372" i="9"/>
  <c r="E372" i="9"/>
  <c r="D372" i="9"/>
  <c r="E494" i="9"/>
  <c r="E388" i="9"/>
  <c r="E394" i="9"/>
  <c r="E414" i="9"/>
  <c r="K420" i="9"/>
  <c r="E438" i="9"/>
  <c r="K444" i="9"/>
  <c r="G472" i="9"/>
  <c r="K491" i="9"/>
  <c r="K545" i="9"/>
  <c r="E527" i="9"/>
  <c r="K553" i="9"/>
  <c r="K400" i="9"/>
  <c r="K424" i="9"/>
  <c r="E442" i="9"/>
  <c r="K448" i="9"/>
  <c r="E480" i="9"/>
  <c r="E535" i="9"/>
  <c r="K382" i="9"/>
  <c r="F378" i="9"/>
  <c r="E378" i="9"/>
  <c r="D378" i="9"/>
  <c r="J378" i="9"/>
  <c r="K388" i="9"/>
  <c r="K394" i="9"/>
  <c r="E543" i="9"/>
  <c r="K608" i="9"/>
  <c r="F83" i="8"/>
  <c r="N83" i="8" s="1"/>
  <c r="F91" i="8"/>
  <c r="N91" i="8" s="1"/>
  <c r="F99" i="8"/>
  <c r="N99" i="8" s="1"/>
  <c r="F107" i="8"/>
  <c r="N107" i="8" s="1"/>
  <c r="F115" i="8"/>
  <c r="N115" i="8" s="1"/>
  <c r="F123" i="8"/>
  <c r="N123" i="8" s="1"/>
  <c r="F131" i="8"/>
  <c r="N131" i="8" s="1"/>
  <c r="E386" i="9"/>
  <c r="E392" i="9"/>
  <c r="E398" i="9"/>
  <c r="K404" i="9"/>
  <c r="E422" i="9"/>
  <c r="K428" i="9"/>
  <c r="E446" i="9"/>
  <c r="K452" i="9"/>
  <c r="E551" i="9"/>
  <c r="G672" i="9"/>
  <c r="F382" i="9"/>
  <c r="J373" i="9"/>
  <c r="F373" i="9"/>
  <c r="E373" i="9"/>
  <c r="D373" i="9"/>
  <c r="F386" i="9"/>
  <c r="F390" i="9"/>
  <c r="F394" i="9"/>
  <c r="F398" i="9"/>
  <c r="F402" i="9"/>
  <c r="F406" i="9"/>
  <c r="F410" i="9"/>
  <c r="F414" i="9"/>
  <c r="F418" i="9"/>
  <c r="F422" i="9"/>
  <c r="F426" i="9"/>
  <c r="F430" i="9"/>
  <c r="F434" i="9"/>
  <c r="F438" i="9"/>
  <c r="F442" i="9"/>
  <c r="F446" i="9"/>
  <c r="F450" i="9"/>
  <c r="F454" i="9"/>
  <c r="G458" i="9"/>
  <c r="E459" i="9"/>
  <c r="G463" i="9"/>
  <c r="K466" i="9"/>
  <c r="F468" i="9"/>
  <c r="G474" i="9"/>
  <c r="E475" i="9"/>
  <c r="K478" i="9"/>
  <c r="F480" i="9"/>
  <c r="G486" i="9"/>
  <c r="E487" i="9"/>
  <c r="G494" i="9"/>
  <c r="E495" i="9"/>
  <c r="F527" i="9"/>
  <c r="F535" i="9"/>
  <c r="F543" i="9"/>
  <c r="F551" i="9"/>
  <c r="G565" i="9"/>
  <c r="G577" i="9"/>
  <c r="G593" i="9"/>
  <c r="F667" i="9"/>
  <c r="F374" i="9"/>
  <c r="E374" i="9"/>
  <c r="D374" i="9"/>
  <c r="G382" i="9"/>
  <c r="J374" i="9"/>
  <c r="H374" i="9"/>
  <c r="G386" i="9"/>
  <c r="G390" i="9"/>
  <c r="G394" i="9"/>
  <c r="G398" i="9"/>
  <c r="G402" i="9"/>
  <c r="G406" i="9"/>
  <c r="G410" i="9"/>
  <c r="G414" i="9"/>
  <c r="G418" i="9"/>
  <c r="G422" i="9"/>
  <c r="G426" i="9"/>
  <c r="G430" i="9"/>
  <c r="G434" i="9"/>
  <c r="G438" i="9"/>
  <c r="G442" i="9"/>
  <c r="G446" i="9"/>
  <c r="G450" i="9"/>
  <c r="G454" i="9"/>
  <c r="K457" i="9"/>
  <c r="F459" i="9"/>
  <c r="E464" i="9"/>
  <c r="G468" i="9"/>
  <c r="E469" i="9"/>
  <c r="F475" i="9"/>
  <c r="G480" i="9"/>
  <c r="E481" i="9"/>
  <c r="F487" i="9"/>
  <c r="F495" i="9"/>
  <c r="K565" i="9"/>
  <c r="K577" i="9"/>
  <c r="F639" i="9"/>
  <c r="G644" i="9"/>
  <c r="E383" i="9"/>
  <c r="K385" i="9"/>
  <c r="E387" i="9"/>
  <c r="K389" i="9"/>
  <c r="E391" i="9"/>
  <c r="K393" i="9"/>
  <c r="E395" i="9"/>
  <c r="K397" i="9"/>
  <c r="E399" i="9"/>
  <c r="K401" i="9"/>
  <c r="E403" i="9"/>
  <c r="K405" i="9"/>
  <c r="E407" i="9"/>
  <c r="K409" i="9"/>
  <c r="E411" i="9"/>
  <c r="K413" i="9"/>
  <c r="E415" i="9"/>
  <c r="K417" i="9"/>
  <c r="E419" i="9"/>
  <c r="K421" i="9"/>
  <c r="E423" i="9"/>
  <c r="K425" i="9"/>
  <c r="E427" i="9"/>
  <c r="K429" i="9"/>
  <c r="E431" i="9"/>
  <c r="K433" i="9"/>
  <c r="E435" i="9"/>
  <c r="K437" i="9"/>
  <c r="E439" i="9"/>
  <c r="K441" i="9"/>
  <c r="E443" i="9"/>
  <c r="K445" i="9"/>
  <c r="E447" i="9"/>
  <c r="K449" i="9"/>
  <c r="E451" i="9"/>
  <c r="K453" i="9"/>
  <c r="E455" i="9"/>
  <c r="G459" i="9"/>
  <c r="K462" i="9"/>
  <c r="F464" i="9"/>
  <c r="K467" i="9"/>
  <c r="K473" i="9"/>
  <c r="G475" i="9"/>
  <c r="K479" i="9"/>
  <c r="K485" i="9"/>
  <c r="G487" i="9"/>
  <c r="E488" i="9"/>
  <c r="K493" i="9"/>
  <c r="G495" i="9"/>
  <c r="E497" i="9"/>
  <c r="E515" i="9"/>
  <c r="E563" i="9"/>
  <c r="E575" i="9"/>
  <c r="G597" i="9"/>
  <c r="F383" i="9"/>
  <c r="F387" i="9"/>
  <c r="F391" i="9"/>
  <c r="F395" i="9"/>
  <c r="F399" i="9"/>
  <c r="F403" i="9"/>
  <c r="F407" i="9"/>
  <c r="F411" i="9"/>
  <c r="F415" i="9"/>
  <c r="F419" i="9"/>
  <c r="F423" i="9"/>
  <c r="F427" i="9"/>
  <c r="F431" i="9"/>
  <c r="F435" i="9"/>
  <c r="F439" i="9"/>
  <c r="F443" i="9"/>
  <c r="F447" i="9"/>
  <c r="F451" i="9"/>
  <c r="F455" i="9"/>
  <c r="E460" i="9"/>
  <c r="G464" i="9"/>
  <c r="G469" i="9"/>
  <c r="F470" i="9"/>
  <c r="E476" i="9"/>
  <c r="G481" i="9"/>
  <c r="F482" i="9"/>
  <c r="F488" i="9"/>
  <c r="E489" i="9"/>
  <c r="F496" i="9"/>
  <c r="E499" i="9"/>
  <c r="F515" i="9"/>
  <c r="F516" i="9"/>
  <c r="G517" i="9"/>
  <c r="F549" i="9"/>
  <c r="F615" i="9"/>
  <c r="G620" i="9"/>
  <c r="E633" i="9"/>
  <c r="G383" i="9"/>
  <c r="G387" i="9"/>
  <c r="G391" i="9"/>
  <c r="G395" i="9"/>
  <c r="G399" i="9"/>
  <c r="G403" i="9"/>
  <c r="G407" i="9"/>
  <c r="G411" i="9"/>
  <c r="G415" i="9"/>
  <c r="G419" i="9"/>
  <c r="G423" i="9"/>
  <c r="G427" i="9"/>
  <c r="G431" i="9"/>
  <c r="G435" i="9"/>
  <c r="G439" i="9"/>
  <c r="G443" i="9"/>
  <c r="G447" i="9"/>
  <c r="G451" i="9"/>
  <c r="G455" i="9"/>
  <c r="K458" i="9"/>
  <c r="F460" i="9"/>
  <c r="K463" i="9"/>
  <c r="E465" i="9"/>
  <c r="G470" i="9"/>
  <c r="E471" i="9"/>
  <c r="K474" i="9"/>
  <c r="F476" i="9"/>
  <c r="G482" i="9"/>
  <c r="E483" i="9"/>
  <c r="K486" i="9"/>
  <c r="K494" i="9"/>
  <c r="G497" i="9"/>
  <c r="G498" i="9"/>
  <c r="F499" i="9"/>
  <c r="E500" i="9"/>
  <c r="E501" i="9"/>
  <c r="K517" i="9"/>
  <c r="G525" i="9"/>
  <c r="G533" i="9"/>
  <c r="G541" i="9"/>
  <c r="G549" i="9"/>
  <c r="G557" i="9"/>
  <c r="G569" i="9"/>
  <c r="G581" i="9"/>
  <c r="G601" i="9"/>
  <c r="F652" i="9"/>
  <c r="K675" i="9"/>
  <c r="E400" i="9"/>
  <c r="K402" i="9"/>
  <c r="E404" i="9"/>
  <c r="K406" i="9"/>
  <c r="E408" i="9"/>
  <c r="K410" i="9"/>
  <c r="E412" i="9"/>
  <c r="K414" i="9"/>
  <c r="E416" i="9"/>
  <c r="K418" i="9"/>
  <c r="E420" i="9"/>
  <c r="K422" i="9"/>
  <c r="E424" i="9"/>
  <c r="K426" i="9"/>
  <c r="E428" i="9"/>
  <c r="K430" i="9"/>
  <c r="E432" i="9"/>
  <c r="K434" i="9"/>
  <c r="E436" i="9"/>
  <c r="K438" i="9"/>
  <c r="E440" i="9"/>
  <c r="K442" i="9"/>
  <c r="E444" i="9"/>
  <c r="K446" i="9"/>
  <c r="E448" i="9"/>
  <c r="K450" i="9"/>
  <c r="E452" i="9"/>
  <c r="K454" i="9"/>
  <c r="E456" i="9"/>
  <c r="G460" i="9"/>
  <c r="F465" i="9"/>
  <c r="F471" i="9"/>
  <c r="G476" i="9"/>
  <c r="E477" i="9"/>
  <c r="F483" i="9"/>
  <c r="K487" i="9"/>
  <c r="G489" i="9"/>
  <c r="F490" i="9"/>
  <c r="K495" i="9"/>
  <c r="G499" i="9"/>
  <c r="F500" i="9"/>
  <c r="E503" i="9"/>
  <c r="E523" i="9"/>
  <c r="K525" i="9"/>
  <c r="E531" i="9"/>
  <c r="K533" i="9"/>
  <c r="E539" i="9"/>
  <c r="K541" i="9"/>
  <c r="E547" i="9"/>
  <c r="K549" i="9"/>
  <c r="E555" i="9"/>
  <c r="K557" i="9"/>
  <c r="K569" i="9"/>
  <c r="K581" i="9"/>
  <c r="E669" i="9"/>
  <c r="F384" i="9"/>
  <c r="F388" i="9"/>
  <c r="F392" i="9"/>
  <c r="F396" i="9"/>
  <c r="F400" i="9"/>
  <c r="F404" i="9"/>
  <c r="F408" i="9"/>
  <c r="F412" i="9"/>
  <c r="F416" i="9"/>
  <c r="F420" i="9"/>
  <c r="F424" i="9"/>
  <c r="F428" i="9"/>
  <c r="F432" i="9"/>
  <c r="F436" i="9"/>
  <c r="F440" i="9"/>
  <c r="F444" i="9"/>
  <c r="F448" i="9"/>
  <c r="F452" i="9"/>
  <c r="F456" i="9"/>
  <c r="K459" i="9"/>
  <c r="E461" i="9"/>
  <c r="G465" i="9"/>
  <c r="K469" i="9"/>
  <c r="G471" i="9"/>
  <c r="K475" i="9"/>
  <c r="K481" i="9"/>
  <c r="G483" i="9"/>
  <c r="G490" i="9"/>
  <c r="E491" i="9"/>
  <c r="K497" i="9"/>
  <c r="G501" i="9"/>
  <c r="G502" i="9"/>
  <c r="F503" i="9"/>
  <c r="E505" i="9"/>
  <c r="E507" i="9"/>
  <c r="E509" i="9"/>
  <c r="E511" i="9"/>
  <c r="F523" i="9"/>
  <c r="F531" i="9"/>
  <c r="F539" i="9"/>
  <c r="F547" i="9"/>
  <c r="F555" i="9"/>
  <c r="E567" i="9"/>
  <c r="E579" i="9"/>
  <c r="G605" i="9"/>
  <c r="G384" i="9"/>
  <c r="G388" i="9"/>
  <c r="G392" i="9"/>
  <c r="G396" i="9"/>
  <c r="G400" i="9"/>
  <c r="G404" i="9"/>
  <c r="G408" i="9"/>
  <c r="G412" i="9"/>
  <c r="G416" i="9"/>
  <c r="G420" i="9"/>
  <c r="G424" i="9"/>
  <c r="G428" i="9"/>
  <c r="G432" i="9"/>
  <c r="G436" i="9"/>
  <c r="G440" i="9"/>
  <c r="G444" i="9"/>
  <c r="G448" i="9"/>
  <c r="G452" i="9"/>
  <c r="G456" i="9"/>
  <c r="F461" i="9"/>
  <c r="F466" i="9"/>
  <c r="E472" i="9"/>
  <c r="G477" i="9"/>
  <c r="F478" i="9"/>
  <c r="E484" i="9"/>
  <c r="F491" i="9"/>
  <c r="K499" i="9"/>
  <c r="G503" i="9"/>
  <c r="F504" i="9"/>
  <c r="F507" i="9"/>
  <c r="F508" i="9"/>
  <c r="F511" i="9"/>
  <c r="F512" i="9"/>
  <c r="G513" i="9"/>
  <c r="K695" i="9"/>
  <c r="K383" i="9"/>
  <c r="E385" i="9"/>
  <c r="K387" i="9"/>
  <c r="E389" i="9"/>
  <c r="K391" i="9"/>
  <c r="E393" i="9"/>
  <c r="K395" i="9"/>
  <c r="E397" i="9"/>
  <c r="K399" i="9"/>
  <c r="E401" i="9"/>
  <c r="K403" i="9"/>
  <c r="E405" i="9"/>
  <c r="K407" i="9"/>
  <c r="E409" i="9"/>
  <c r="K411" i="9"/>
  <c r="E413" i="9"/>
  <c r="K415" i="9"/>
  <c r="E417" i="9"/>
  <c r="K419" i="9"/>
  <c r="E421" i="9"/>
  <c r="K423" i="9"/>
  <c r="E425" i="9"/>
  <c r="K427" i="9"/>
  <c r="E429" i="9"/>
  <c r="K431" i="9"/>
  <c r="E433" i="9"/>
  <c r="K435" i="9"/>
  <c r="E437" i="9"/>
  <c r="K439" i="9"/>
  <c r="E441" i="9"/>
  <c r="K443" i="9"/>
  <c r="E445" i="9"/>
  <c r="K447" i="9"/>
  <c r="E449" i="9"/>
  <c r="K451" i="9"/>
  <c r="E453" i="9"/>
  <c r="K455" i="9"/>
  <c r="E457" i="9"/>
  <c r="G461" i="9"/>
  <c r="G466" i="9"/>
  <c r="E467" i="9"/>
  <c r="K470" i="9"/>
  <c r="F472" i="9"/>
  <c r="G478" i="9"/>
  <c r="E479" i="9"/>
  <c r="K482" i="9"/>
  <c r="F484" i="9"/>
  <c r="K489" i="9"/>
  <c r="G491" i="9"/>
  <c r="E492" i="9"/>
  <c r="K501" i="9"/>
  <c r="G505" i="9"/>
  <c r="G506" i="9"/>
  <c r="G509" i="9"/>
  <c r="G510" i="9"/>
  <c r="K513" i="9"/>
  <c r="G561" i="9"/>
  <c r="G573" i="9"/>
  <c r="G585" i="9"/>
  <c r="F627" i="9"/>
  <c r="G632" i="9"/>
  <c r="E645" i="9"/>
  <c r="F385" i="9"/>
  <c r="F389" i="9"/>
  <c r="F393" i="9"/>
  <c r="F397" i="9"/>
  <c r="F401" i="9"/>
  <c r="F405" i="9"/>
  <c r="F409" i="9"/>
  <c r="F413" i="9"/>
  <c r="F417" i="9"/>
  <c r="F421" i="9"/>
  <c r="F425" i="9"/>
  <c r="F429" i="9"/>
  <c r="F433" i="9"/>
  <c r="F437" i="9"/>
  <c r="F441" i="9"/>
  <c r="F445" i="9"/>
  <c r="F449" i="9"/>
  <c r="F453" i="9"/>
  <c r="F457" i="9"/>
  <c r="F462" i="9"/>
  <c r="K465" i="9"/>
  <c r="F467" i="9"/>
  <c r="E473" i="9"/>
  <c r="F479" i="9"/>
  <c r="G484" i="9"/>
  <c r="E485" i="9"/>
  <c r="F492" i="9"/>
  <c r="E493" i="9"/>
  <c r="K503" i="9"/>
  <c r="K561" i="9"/>
  <c r="K573" i="9"/>
  <c r="K585" i="9"/>
  <c r="G385" i="9"/>
  <c r="G389" i="9"/>
  <c r="G393" i="9"/>
  <c r="G397" i="9"/>
  <c r="G401" i="9"/>
  <c r="G405" i="9"/>
  <c r="G409" i="9"/>
  <c r="G413" i="9"/>
  <c r="G417" i="9"/>
  <c r="G421" i="9"/>
  <c r="G425" i="9"/>
  <c r="G429" i="9"/>
  <c r="G433" i="9"/>
  <c r="G437" i="9"/>
  <c r="G441" i="9"/>
  <c r="G445" i="9"/>
  <c r="G449" i="9"/>
  <c r="G453" i="9"/>
  <c r="G457" i="9"/>
  <c r="E458" i="9"/>
  <c r="G462" i="9"/>
  <c r="E463" i="9"/>
  <c r="G467" i="9"/>
  <c r="K471" i="9"/>
  <c r="F473" i="9"/>
  <c r="K477" i="9"/>
  <c r="G479" i="9"/>
  <c r="K483" i="9"/>
  <c r="K490" i="9"/>
  <c r="K505" i="9"/>
  <c r="K507" i="9"/>
  <c r="K509" i="9"/>
  <c r="E519" i="9"/>
  <c r="G521" i="9"/>
  <c r="G529" i="9"/>
  <c r="G537" i="9"/>
  <c r="G545" i="9"/>
  <c r="G553" i="9"/>
  <c r="E559" i="9"/>
  <c r="E571" i="9"/>
  <c r="E583" i="9"/>
  <c r="G589" i="9"/>
  <c r="K613" i="9"/>
  <c r="E621" i="9"/>
  <c r="K460" i="9"/>
  <c r="E462" i="9"/>
  <c r="K464" i="9"/>
  <c r="E466" i="9"/>
  <c r="K468" i="9"/>
  <c r="E470" i="9"/>
  <c r="K472" i="9"/>
  <c r="E474" i="9"/>
  <c r="K476" i="9"/>
  <c r="E478" i="9"/>
  <c r="K480" i="9"/>
  <c r="E482" i="9"/>
  <c r="K484" i="9"/>
  <c r="E486" i="9"/>
  <c r="K488" i="9"/>
  <c r="E490" i="9"/>
  <c r="K492" i="9"/>
  <c r="K496" i="9"/>
  <c r="E498" i="9"/>
  <c r="K500" i="9"/>
  <c r="E502" i="9"/>
  <c r="K504" i="9"/>
  <c r="E506" i="9"/>
  <c r="K508" i="9"/>
  <c r="E510" i="9"/>
  <c r="K512" i="9"/>
  <c r="E514" i="9"/>
  <c r="K516" i="9"/>
  <c r="E518" i="9"/>
  <c r="K520" i="9"/>
  <c r="E522" i="9"/>
  <c r="K524" i="9"/>
  <c r="E526" i="9"/>
  <c r="K528" i="9"/>
  <c r="E530" i="9"/>
  <c r="K532" i="9"/>
  <c r="E534" i="9"/>
  <c r="K536" i="9"/>
  <c r="E538" i="9"/>
  <c r="K540" i="9"/>
  <c r="E542" i="9"/>
  <c r="K544" i="9"/>
  <c r="E546" i="9"/>
  <c r="K548" i="9"/>
  <c r="E550" i="9"/>
  <c r="K552" i="9"/>
  <c r="E554" i="9"/>
  <c r="K556" i="9"/>
  <c r="E558" i="9"/>
  <c r="K560" i="9"/>
  <c r="E562" i="9"/>
  <c r="K564" i="9"/>
  <c r="E566" i="9"/>
  <c r="K568" i="9"/>
  <c r="E570" i="9"/>
  <c r="K572" i="9"/>
  <c r="E574" i="9"/>
  <c r="K576" i="9"/>
  <c r="E578" i="9"/>
  <c r="K580" i="9"/>
  <c r="E582" i="9"/>
  <c r="K584" i="9"/>
  <c r="E586" i="9"/>
  <c r="K588" i="9"/>
  <c r="E590" i="9"/>
  <c r="K592" i="9"/>
  <c r="E594" i="9"/>
  <c r="K596" i="9"/>
  <c r="E598" i="9"/>
  <c r="K600" i="9"/>
  <c r="E602" i="9"/>
  <c r="K604" i="9"/>
  <c r="E606" i="9"/>
  <c r="G610" i="9"/>
  <c r="E611" i="9"/>
  <c r="G615" i="9"/>
  <c r="K619" i="9"/>
  <c r="E622" i="9"/>
  <c r="K625" i="9"/>
  <c r="G627" i="9"/>
  <c r="K631" i="9"/>
  <c r="E634" i="9"/>
  <c r="K637" i="9"/>
  <c r="G639" i="9"/>
  <c r="K643" i="9"/>
  <c r="E646" i="9"/>
  <c r="G652" i="9"/>
  <c r="E653" i="9"/>
  <c r="G667" i="9"/>
  <c r="F668" i="9"/>
  <c r="F498" i="9"/>
  <c r="F502" i="9"/>
  <c r="F506" i="9"/>
  <c r="F510" i="9"/>
  <c r="F514" i="9"/>
  <c r="F518" i="9"/>
  <c r="F522" i="9"/>
  <c r="F526" i="9"/>
  <c r="F530" i="9"/>
  <c r="F534" i="9"/>
  <c r="F538" i="9"/>
  <c r="F542" i="9"/>
  <c r="F546" i="9"/>
  <c r="F550" i="9"/>
  <c r="F554" i="9"/>
  <c r="F558" i="9"/>
  <c r="F562" i="9"/>
  <c r="F566" i="9"/>
  <c r="F570" i="9"/>
  <c r="F574" i="9"/>
  <c r="F578" i="9"/>
  <c r="F582" i="9"/>
  <c r="F586" i="9"/>
  <c r="F590" i="9"/>
  <c r="F594" i="9"/>
  <c r="F598" i="9"/>
  <c r="F602" i="9"/>
  <c r="F606" i="9"/>
  <c r="K609" i="9"/>
  <c r="F611" i="9"/>
  <c r="E616" i="9"/>
  <c r="G621" i="9"/>
  <c r="E628" i="9"/>
  <c r="G633" i="9"/>
  <c r="E640" i="9"/>
  <c r="G645" i="9"/>
  <c r="K650" i="9"/>
  <c r="F655" i="9"/>
  <c r="F659" i="9"/>
  <c r="F663" i="9"/>
  <c r="E665" i="9"/>
  <c r="G668" i="9"/>
  <c r="K671" i="9"/>
  <c r="E685" i="9"/>
  <c r="K687" i="9"/>
  <c r="E693" i="9"/>
  <c r="K699" i="9"/>
  <c r="G514" i="9"/>
  <c r="G518" i="9"/>
  <c r="G522" i="9"/>
  <c r="G526" i="9"/>
  <c r="G530" i="9"/>
  <c r="G534" i="9"/>
  <c r="G538" i="9"/>
  <c r="G542" i="9"/>
  <c r="G546" i="9"/>
  <c r="G550" i="9"/>
  <c r="G554" i="9"/>
  <c r="G558" i="9"/>
  <c r="G562" i="9"/>
  <c r="G566" i="9"/>
  <c r="G570" i="9"/>
  <c r="G574" i="9"/>
  <c r="G578" i="9"/>
  <c r="G582" i="9"/>
  <c r="G586" i="9"/>
  <c r="G590" i="9"/>
  <c r="G594" i="9"/>
  <c r="G598" i="9"/>
  <c r="G602" i="9"/>
  <c r="G606" i="9"/>
  <c r="E607" i="9"/>
  <c r="G611" i="9"/>
  <c r="K614" i="9"/>
  <c r="F616" i="9"/>
  <c r="K620" i="9"/>
  <c r="G622" i="9"/>
  <c r="E623" i="9"/>
  <c r="K626" i="9"/>
  <c r="F628" i="9"/>
  <c r="K632" i="9"/>
  <c r="G634" i="9"/>
  <c r="E635" i="9"/>
  <c r="K638" i="9"/>
  <c r="F640" i="9"/>
  <c r="K644" i="9"/>
  <c r="G646" i="9"/>
  <c r="E647" i="9"/>
  <c r="K651" i="9"/>
  <c r="G653" i="9"/>
  <c r="G654" i="9"/>
  <c r="G655" i="9"/>
  <c r="E656" i="9"/>
  <c r="G659" i="9"/>
  <c r="E660" i="9"/>
  <c r="G663" i="9"/>
  <c r="F664" i="9"/>
  <c r="F684" i="9"/>
  <c r="F692" i="9"/>
  <c r="E587" i="9"/>
  <c r="K589" i="9"/>
  <c r="E591" i="9"/>
  <c r="K593" i="9"/>
  <c r="E595" i="9"/>
  <c r="K597" i="9"/>
  <c r="E599" i="9"/>
  <c r="K601" i="9"/>
  <c r="E603" i="9"/>
  <c r="K605" i="9"/>
  <c r="F607" i="9"/>
  <c r="E612" i="9"/>
  <c r="G616" i="9"/>
  <c r="E617" i="9"/>
  <c r="F623" i="9"/>
  <c r="G628" i="9"/>
  <c r="E629" i="9"/>
  <c r="F635" i="9"/>
  <c r="G640" i="9"/>
  <c r="E641" i="9"/>
  <c r="F647" i="9"/>
  <c r="F656" i="9"/>
  <c r="E657" i="9"/>
  <c r="F660" i="9"/>
  <c r="E661" i="9"/>
  <c r="G664" i="9"/>
  <c r="K667" i="9"/>
  <c r="G684" i="9"/>
  <c r="G692" i="9"/>
  <c r="E697" i="9"/>
  <c r="K703" i="9"/>
  <c r="F559" i="9"/>
  <c r="F563" i="9"/>
  <c r="F567" i="9"/>
  <c r="F571" i="9"/>
  <c r="F575" i="9"/>
  <c r="F579" i="9"/>
  <c r="F583" i="9"/>
  <c r="F587" i="9"/>
  <c r="F591" i="9"/>
  <c r="F595" i="9"/>
  <c r="F599" i="9"/>
  <c r="F603" i="9"/>
  <c r="G607" i="9"/>
  <c r="K610" i="9"/>
  <c r="F612" i="9"/>
  <c r="K615" i="9"/>
  <c r="E618" i="9"/>
  <c r="K621" i="9"/>
  <c r="G623" i="9"/>
  <c r="K627" i="9"/>
  <c r="E630" i="9"/>
  <c r="K633" i="9"/>
  <c r="G635" i="9"/>
  <c r="K639" i="9"/>
  <c r="E642" i="9"/>
  <c r="K645" i="9"/>
  <c r="G647" i="9"/>
  <c r="G656" i="9"/>
  <c r="G660" i="9"/>
  <c r="G507" i="9"/>
  <c r="G511" i="9"/>
  <c r="G515" i="9"/>
  <c r="G519" i="9"/>
  <c r="G523" i="9"/>
  <c r="G527" i="9"/>
  <c r="G531" i="9"/>
  <c r="G535" i="9"/>
  <c r="G539" i="9"/>
  <c r="G543" i="9"/>
  <c r="G547" i="9"/>
  <c r="G551" i="9"/>
  <c r="G555" i="9"/>
  <c r="G559" i="9"/>
  <c r="G563" i="9"/>
  <c r="G567" i="9"/>
  <c r="G571" i="9"/>
  <c r="G575" i="9"/>
  <c r="G579" i="9"/>
  <c r="G583" i="9"/>
  <c r="G587" i="9"/>
  <c r="G591" i="9"/>
  <c r="G595" i="9"/>
  <c r="G599" i="9"/>
  <c r="G603" i="9"/>
  <c r="E608" i="9"/>
  <c r="G612" i="9"/>
  <c r="G617" i="9"/>
  <c r="E624" i="9"/>
  <c r="G629" i="9"/>
  <c r="E636" i="9"/>
  <c r="G641" i="9"/>
  <c r="E648" i="9"/>
  <c r="K654" i="9"/>
  <c r="G661" i="9"/>
  <c r="K663" i="9"/>
  <c r="F679" i="9"/>
  <c r="E681" i="9"/>
  <c r="E701" i="9"/>
  <c r="K707" i="9"/>
  <c r="E496" i="9"/>
  <c r="K498" i="9"/>
  <c r="K502" i="9"/>
  <c r="E504" i="9"/>
  <c r="K506" i="9"/>
  <c r="E508" i="9"/>
  <c r="K510" i="9"/>
  <c r="E512" i="9"/>
  <c r="K514" i="9"/>
  <c r="E516" i="9"/>
  <c r="K518" i="9"/>
  <c r="E520" i="9"/>
  <c r="K522" i="9"/>
  <c r="E524" i="9"/>
  <c r="K526" i="9"/>
  <c r="E528" i="9"/>
  <c r="K530" i="9"/>
  <c r="E532" i="9"/>
  <c r="K534" i="9"/>
  <c r="E536" i="9"/>
  <c r="K538" i="9"/>
  <c r="E540" i="9"/>
  <c r="K542" i="9"/>
  <c r="E544" i="9"/>
  <c r="K546" i="9"/>
  <c r="E548" i="9"/>
  <c r="K550" i="9"/>
  <c r="E552" i="9"/>
  <c r="K554" i="9"/>
  <c r="E556" i="9"/>
  <c r="K558" i="9"/>
  <c r="E560" i="9"/>
  <c r="K562" i="9"/>
  <c r="E564" i="9"/>
  <c r="K566" i="9"/>
  <c r="E568" i="9"/>
  <c r="K570" i="9"/>
  <c r="E572" i="9"/>
  <c r="K574" i="9"/>
  <c r="E576" i="9"/>
  <c r="K578" i="9"/>
  <c r="E580" i="9"/>
  <c r="K582" i="9"/>
  <c r="E584" i="9"/>
  <c r="K586" i="9"/>
  <c r="E588" i="9"/>
  <c r="K590" i="9"/>
  <c r="E592" i="9"/>
  <c r="K594" i="9"/>
  <c r="E596" i="9"/>
  <c r="K598" i="9"/>
  <c r="E600" i="9"/>
  <c r="K602" i="9"/>
  <c r="E604" i="9"/>
  <c r="K606" i="9"/>
  <c r="F608" i="9"/>
  <c r="K611" i="9"/>
  <c r="E613" i="9"/>
  <c r="K616" i="9"/>
  <c r="G618" i="9"/>
  <c r="E619" i="9"/>
  <c r="K622" i="9"/>
  <c r="F624" i="9"/>
  <c r="K628" i="9"/>
  <c r="G630" i="9"/>
  <c r="E631" i="9"/>
  <c r="K634" i="9"/>
  <c r="F636" i="9"/>
  <c r="K640" i="9"/>
  <c r="G642" i="9"/>
  <c r="E643" i="9"/>
  <c r="K646" i="9"/>
  <c r="F648" i="9"/>
  <c r="K655" i="9"/>
  <c r="K658" i="9"/>
  <c r="K659" i="9"/>
  <c r="G679" i="9"/>
  <c r="F680" i="9"/>
  <c r="F524" i="9"/>
  <c r="F528" i="9"/>
  <c r="F532" i="9"/>
  <c r="F536" i="9"/>
  <c r="F540" i="9"/>
  <c r="F544" i="9"/>
  <c r="F548" i="9"/>
  <c r="F552" i="9"/>
  <c r="F556" i="9"/>
  <c r="F560" i="9"/>
  <c r="F564" i="9"/>
  <c r="F568" i="9"/>
  <c r="F572" i="9"/>
  <c r="F576" i="9"/>
  <c r="F580" i="9"/>
  <c r="F584" i="9"/>
  <c r="F588" i="9"/>
  <c r="F592" i="9"/>
  <c r="F596" i="9"/>
  <c r="F600" i="9"/>
  <c r="F604" i="9"/>
  <c r="G608" i="9"/>
  <c r="F613" i="9"/>
  <c r="F619" i="9"/>
  <c r="G624" i="9"/>
  <c r="E625" i="9"/>
  <c r="F631" i="9"/>
  <c r="G636" i="9"/>
  <c r="E637" i="9"/>
  <c r="F643" i="9"/>
  <c r="G648" i="9"/>
  <c r="E649" i="9"/>
  <c r="F675" i="9"/>
  <c r="E677" i="9"/>
  <c r="G680" i="9"/>
  <c r="K683" i="9"/>
  <c r="E689" i="9"/>
  <c r="K691" i="9"/>
  <c r="E705" i="9"/>
  <c r="K711" i="9"/>
  <c r="G488" i="9"/>
  <c r="G492" i="9"/>
  <c r="G496" i="9"/>
  <c r="G500" i="9"/>
  <c r="G504" i="9"/>
  <c r="G508" i="9"/>
  <c r="G512" i="9"/>
  <c r="G516" i="9"/>
  <c r="G520" i="9"/>
  <c r="G524" i="9"/>
  <c r="G528" i="9"/>
  <c r="G532" i="9"/>
  <c r="G536" i="9"/>
  <c r="G540" i="9"/>
  <c r="G544" i="9"/>
  <c r="G548" i="9"/>
  <c r="G552" i="9"/>
  <c r="G556" i="9"/>
  <c r="G560" i="9"/>
  <c r="G564" i="9"/>
  <c r="G568" i="9"/>
  <c r="G572" i="9"/>
  <c r="G576" i="9"/>
  <c r="G580" i="9"/>
  <c r="G584" i="9"/>
  <c r="G588" i="9"/>
  <c r="G592" i="9"/>
  <c r="G596" i="9"/>
  <c r="G600" i="9"/>
  <c r="G604" i="9"/>
  <c r="K607" i="9"/>
  <c r="E609" i="9"/>
  <c r="G613" i="9"/>
  <c r="E614" i="9"/>
  <c r="K617" i="9"/>
  <c r="G619" i="9"/>
  <c r="K623" i="9"/>
  <c r="E626" i="9"/>
  <c r="K629" i="9"/>
  <c r="G631" i="9"/>
  <c r="K635" i="9"/>
  <c r="E638" i="9"/>
  <c r="K641" i="9"/>
  <c r="G643" i="9"/>
  <c r="K647" i="9"/>
  <c r="E650" i="9"/>
  <c r="G675" i="9"/>
  <c r="F676" i="9"/>
  <c r="F688" i="9"/>
  <c r="K511" i="9"/>
  <c r="E513" i="9"/>
  <c r="K515" i="9"/>
  <c r="E517" i="9"/>
  <c r="K519" i="9"/>
  <c r="E521" i="9"/>
  <c r="K523" i="9"/>
  <c r="E525" i="9"/>
  <c r="K527" i="9"/>
  <c r="E529" i="9"/>
  <c r="K531" i="9"/>
  <c r="E533" i="9"/>
  <c r="K535" i="9"/>
  <c r="E537" i="9"/>
  <c r="K539" i="9"/>
  <c r="E541" i="9"/>
  <c r="K543" i="9"/>
  <c r="E545" i="9"/>
  <c r="K547" i="9"/>
  <c r="E549" i="9"/>
  <c r="K551" i="9"/>
  <c r="E553" i="9"/>
  <c r="K555" i="9"/>
  <c r="E557" i="9"/>
  <c r="K559" i="9"/>
  <c r="E561" i="9"/>
  <c r="K563" i="9"/>
  <c r="E565" i="9"/>
  <c r="K567" i="9"/>
  <c r="E569" i="9"/>
  <c r="K571" i="9"/>
  <c r="E573" i="9"/>
  <c r="K575" i="9"/>
  <c r="E577" i="9"/>
  <c r="K579" i="9"/>
  <c r="E581" i="9"/>
  <c r="K583" i="9"/>
  <c r="E585" i="9"/>
  <c r="K587" i="9"/>
  <c r="E589" i="9"/>
  <c r="K591" i="9"/>
  <c r="E593" i="9"/>
  <c r="K595" i="9"/>
  <c r="E597" i="9"/>
  <c r="K599" i="9"/>
  <c r="E601" i="9"/>
  <c r="K603" i="9"/>
  <c r="E605" i="9"/>
  <c r="F609" i="9"/>
  <c r="K612" i="9"/>
  <c r="E620" i="9"/>
  <c r="G625" i="9"/>
  <c r="E632" i="9"/>
  <c r="G637" i="9"/>
  <c r="E644" i="9"/>
  <c r="G649" i="9"/>
  <c r="F651" i="9"/>
  <c r="F671" i="9"/>
  <c r="E673" i="9"/>
  <c r="G676" i="9"/>
  <c r="K679" i="9"/>
  <c r="G688" i="9"/>
  <c r="E709" i="9"/>
  <c r="F469" i="9"/>
  <c r="F477" i="9"/>
  <c r="F481" i="9"/>
  <c r="F485" i="9"/>
  <c r="F489" i="9"/>
  <c r="F493" i="9"/>
  <c r="F497" i="9"/>
  <c r="F501" i="9"/>
  <c r="F505" i="9"/>
  <c r="F509" i="9"/>
  <c r="F513" i="9"/>
  <c r="F517" i="9"/>
  <c r="F521" i="9"/>
  <c r="F525" i="9"/>
  <c r="F529" i="9"/>
  <c r="F533" i="9"/>
  <c r="F537" i="9"/>
  <c r="F541" i="9"/>
  <c r="F545" i="9"/>
  <c r="F553" i="9"/>
  <c r="F557" i="9"/>
  <c r="F561" i="9"/>
  <c r="F565" i="9"/>
  <c r="F569" i="9"/>
  <c r="F573" i="9"/>
  <c r="F577" i="9"/>
  <c r="F581" i="9"/>
  <c r="F585" i="9"/>
  <c r="F589" i="9"/>
  <c r="F593" i="9"/>
  <c r="F597" i="9"/>
  <c r="F601" i="9"/>
  <c r="F605" i="9"/>
  <c r="G609" i="9"/>
  <c r="E610" i="9"/>
  <c r="G614" i="9"/>
  <c r="E615" i="9"/>
  <c r="K618" i="9"/>
  <c r="F620" i="9"/>
  <c r="K624" i="9"/>
  <c r="G626" i="9"/>
  <c r="E627" i="9"/>
  <c r="K630" i="9"/>
  <c r="F632" i="9"/>
  <c r="K636" i="9"/>
  <c r="G638" i="9"/>
  <c r="E639" i="9"/>
  <c r="K642" i="9"/>
  <c r="F644" i="9"/>
  <c r="K648" i="9"/>
  <c r="G650" i="9"/>
  <c r="G651" i="9"/>
  <c r="E652" i="9"/>
  <c r="G671" i="9"/>
  <c r="F672" i="9"/>
  <c r="F617" i="9"/>
  <c r="F621" i="9"/>
  <c r="F625" i="9"/>
  <c r="F629" i="9"/>
  <c r="F633" i="9"/>
  <c r="F637" i="9"/>
  <c r="F641" i="9"/>
  <c r="F645" i="9"/>
  <c r="F649" i="9"/>
  <c r="F653" i="9"/>
  <c r="F657" i="9"/>
  <c r="F661" i="9"/>
  <c r="F665" i="9"/>
  <c r="F669" i="9"/>
  <c r="F673" i="9"/>
  <c r="F677" i="9"/>
  <c r="F681" i="9"/>
  <c r="F685" i="9"/>
  <c r="F689" i="9"/>
  <c r="F693" i="9"/>
  <c r="F697" i="9"/>
  <c r="F701" i="9"/>
  <c r="F705" i="9"/>
  <c r="F709" i="9"/>
  <c r="G657" i="9"/>
  <c r="G665" i="9"/>
  <c r="G669" i="9"/>
  <c r="G673" i="9"/>
  <c r="G677" i="9"/>
  <c r="G681" i="9"/>
  <c r="G685" i="9"/>
  <c r="G689" i="9"/>
  <c r="G693" i="9"/>
  <c r="G697" i="9"/>
  <c r="G701" i="9"/>
  <c r="G705" i="9"/>
  <c r="G709" i="9"/>
  <c r="K652" i="9"/>
  <c r="E654" i="9"/>
  <c r="K656" i="9"/>
  <c r="E658" i="9"/>
  <c r="K660" i="9"/>
  <c r="E662" i="9"/>
  <c r="K664" i="9"/>
  <c r="E666" i="9"/>
  <c r="K668" i="9"/>
  <c r="E670" i="9"/>
  <c r="K672" i="9"/>
  <c r="E674" i="9"/>
  <c r="K676" i="9"/>
  <c r="E678" i="9"/>
  <c r="K680" i="9"/>
  <c r="E682" i="9"/>
  <c r="K684" i="9"/>
  <c r="E686" i="9"/>
  <c r="K688" i="9"/>
  <c r="E690" i="9"/>
  <c r="K692" i="9"/>
  <c r="E694" i="9"/>
  <c r="K696" i="9"/>
  <c r="E698" i="9"/>
  <c r="K700" i="9"/>
  <c r="E702" i="9"/>
  <c r="K704" i="9"/>
  <c r="E706" i="9"/>
  <c r="K708" i="9"/>
  <c r="E710" i="9"/>
  <c r="K712" i="9"/>
  <c r="F610" i="9"/>
  <c r="F614" i="9"/>
  <c r="F618" i="9"/>
  <c r="F622" i="9"/>
  <c r="F626" i="9"/>
  <c r="F630" i="9"/>
  <c r="F634" i="9"/>
  <c r="F638" i="9"/>
  <c r="F642" i="9"/>
  <c r="F646" i="9"/>
  <c r="F650" i="9"/>
  <c r="F654" i="9"/>
  <c r="F658" i="9"/>
  <c r="F662" i="9"/>
  <c r="F666" i="9"/>
  <c r="F670" i="9"/>
  <c r="F674" i="9"/>
  <c r="F678" i="9"/>
  <c r="F682" i="9"/>
  <c r="F686" i="9"/>
  <c r="F690" i="9"/>
  <c r="F694" i="9"/>
  <c r="F698" i="9"/>
  <c r="F702" i="9"/>
  <c r="F706" i="9"/>
  <c r="F710" i="9"/>
  <c r="G658" i="9"/>
  <c r="G662" i="9"/>
  <c r="G666" i="9"/>
  <c r="G670" i="9"/>
  <c r="G674" i="9"/>
  <c r="G678" i="9"/>
  <c r="G682" i="9"/>
  <c r="G686" i="9"/>
  <c r="G690" i="9"/>
  <c r="G694" i="9"/>
  <c r="G698" i="9"/>
  <c r="G702" i="9"/>
  <c r="G706" i="9"/>
  <c r="G710" i="9"/>
  <c r="K649" i="9"/>
  <c r="E651" i="9"/>
  <c r="K653" i="9"/>
  <c r="E655" i="9"/>
  <c r="K657" i="9"/>
  <c r="E659" i="9"/>
  <c r="K661" i="9"/>
  <c r="E663" i="9"/>
  <c r="K665" i="9"/>
  <c r="E667" i="9"/>
  <c r="K669" i="9"/>
  <c r="E671" i="9"/>
  <c r="K673" i="9"/>
  <c r="E675" i="9"/>
  <c r="K677" i="9"/>
  <c r="E679" i="9"/>
  <c r="K681" i="9"/>
  <c r="E683" i="9"/>
  <c r="K685" i="9"/>
  <c r="E687" i="9"/>
  <c r="K689" i="9"/>
  <c r="E691" i="9"/>
  <c r="K693" i="9"/>
  <c r="E695" i="9"/>
  <c r="K697" i="9"/>
  <c r="E699" i="9"/>
  <c r="K701" i="9"/>
  <c r="E703" i="9"/>
  <c r="K705" i="9"/>
  <c r="E707" i="9"/>
  <c r="K709" i="9"/>
  <c r="E711" i="9"/>
  <c r="F683" i="9"/>
  <c r="F687" i="9"/>
  <c r="F691" i="9"/>
  <c r="F695" i="9"/>
  <c r="F699" i="9"/>
  <c r="F703" i="9"/>
  <c r="F707" i="9"/>
  <c r="F711" i="9"/>
  <c r="G683" i="9"/>
  <c r="G687" i="9"/>
  <c r="G691" i="9"/>
  <c r="G695" i="9"/>
  <c r="G699" i="9"/>
  <c r="G703" i="9"/>
  <c r="G707" i="9"/>
  <c r="G711" i="9"/>
  <c r="K662" i="9"/>
  <c r="E664" i="9"/>
  <c r="K666" i="9"/>
  <c r="E668" i="9"/>
  <c r="K670" i="9"/>
  <c r="E672" i="9"/>
  <c r="K674" i="9"/>
  <c r="E676" i="9"/>
  <c r="K678" i="9"/>
  <c r="E680" i="9"/>
  <c r="K682" i="9"/>
  <c r="E684" i="9"/>
  <c r="K686" i="9"/>
  <c r="E688" i="9"/>
  <c r="K690" i="9"/>
  <c r="E692" i="9"/>
  <c r="K694" i="9"/>
  <c r="E696" i="9"/>
  <c r="K698" i="9"/>
  <c r="E700" i="9"/>
  <c r="K702" i="9"/>
  <c r="E704" i="9"/>
  <c r="K706" i="9"/>
  <c r="E708" i="9"/>
  <c r="K710" i="9"/>
  <c r="E712" i="9"/>
  <c r="F696" i="9"/>
  <c r="F700" i="9"/>
  <c r="F704" i="9"/>
  <c r="F708" i="9"/>
  <c r="F712" i="9"/>
  <c r="G696" i="9"/>
  <c r="G700" i="9"/>
  <c r="G704" i="9"/>
  <c r="G708" i="9"/>
  <c r="G712" i="9"/>
  <c r="B2048" i="9"/>
  <c r="C2054" i="9"/>
  <c r="C2057" i="9"/>
  <c r="C2048" i="9"/>
  <c r="C2158" i="9"/>
  <c r="B2160" i="9"/>
  <c r="L219" i="6" l="1"/>
  <c r="L195" i="6"/>
  <c r="J185" i="5"/>
  <c r="J183" i="5"/>
  <c r="J173" i="5"/>
  <c r="J458" i="6"/>
  <c r="F455" i="6"/>
  <c r="D70" i="12" s="1"/>
  <c r="F70" i="12" s="1"/>
  <c r="G70" i="12" s="1"/>
  <c r="C512" i="5"/>
  <c r="H493" i="5"/>
  <c r="L57" i="6"/>
  <c r="J211" i="5"/>
  <c r="J246" i="5"/>
  <c r="J207" i="5"/>
  <c r="J143" i="5"/>
  <c r="K457" i="5"/>
  <c r="L425" i="6"/>
  <c r="L152" i="6"/>
  <c r="P490" i="5"/>
  <c r="F480" i="5"/>
  <c r="F497" i="5"/>
  <c r="J427" i="5"/>
  <c r="K477" i="5"/>
  <c r="J131" i="5"/>
  <c r="K319" i="5"/>
  <c r="L319" i="5" s="1"/>
  <c r="H495" i="5"/>
  <c r="J147" i="5"/>
  <c r="J104" i="5"/>
  <c r="L307" i="5"/>
  <c r="K307" i="5"/>
  <c r="L359" i="6"/>
  <c r="B63" i="8"/>
  <c r="J390" i="5"/>
  <c r="L221" i="6"/>
  <c r="H460" i="5"/>
  <c r="J86" i="5"/>
  <c r="L234" i="6"/>
  <c r="J346" i="5"/>
  <c r="C511" i="5"/>
  <c r="K460" i="5"/>
  <c r="I576" i="9"/>
  <c r="C15" i="10"/>
  <c r="C24" i="11"/>
  <c r="L236" i="6"/>
  <c r="L63" i="6"/>
  <c r="L297" i="6"/>
  <c r="L24" i="6"/>
  <c r="C19" i="10"/>
  <c r="L228" i="6"/>
  <c r="J414" i="5"/>
  <c r="J426" i="5"/>
  <c r="P494" i="5"/>
  <c r="K495" i="5"/>
  <c r="F485" i="5"/>
  <c r="J403" i="5"/>
  <c r="J165" i="5"/>
  <c r="J87" i="5"/>
  <c r="H469" i="5"/>
  <c r="J219" i="5"/>
  <c r="H460" i="4"/>
  <c r="D8" i="12" s="1"/>
  <c r="F8" i="12" s="1"/>
  <c r="G8" i="12" s="1"/>
  <c r="B1137" i="9"/>
  <c r="L256" i="6"/>
  <c r="F459" i="6"/>
  <c r="D82" i="12" s="1"/>
  <c r="F82" i="12" s="1"/>
  <c r="G82" i="12" s="1"/>
  <c r="L138" i="6"/>
  <c r="J653" i="9"/>
  <c r="D661" i="9"/>
  <c r="D628" i="9"/>
  <c r="D560" i="9"/>
  <c r="C571" i="9"/>
  <c r="C2052" i="9"/>
  <c r="C7" i="10"/>
  <c r="B2056" i="9"/>
  <c r="F204" i="8"/>
  <c r="N203" i="8" s="1"/>
  <c r="L405" i="6"/>
  <c r="J434" i="5"/>
  <c r="J355" i="5"/>
  <c r="F490" i="5"/>
  <c r="K487" i="5"/>
  <c r="K496" i="5"/>
  <c r="J361" i="5"/>
  <c r="J448" i="5"/>
  <c r="F464" i="5"/>
  <c r="H707" i="9"/>
  <c r="H700" i="9"/>
  <c r="H693" i="9"/>
  <c r="H660" i="9"/>
  <c r="I374" i="9"/>
  <c r="K325" i="5"/>
  <c r="L325" i="5" s="1"/>
  <c r="L314" i="6"/>
  <c r="E456" i="6"/>
  <c r="L46" i="6"/>
  <c r="J369" i="5"/>
  <c r="J340" i="5"/>
  <c r="J159" i="5"/>
  <c r="J81" i="5"/>
  <c r="E510" i="5"/>
  <c r="G9" i="7" s="1"/>
  <c r="E506" i="5"/>
  <c r="G5" i="7" s="1"/>
  <c r="L410" i="6"/>
  <c r="L371" i="6"/>
  <c r="L75" i="6"/>
  <c r="L27" i="6"/>
  <c r="K482" i="5"/>
  <c r="J200" i="5"/>
  <c r="K476" i="5"/>
  <c r="J146" i="5"/>
  <c r="I467" i="4"/>
  <c r="M511" i="5"/>
  <c r="D49" i="12" s="1"/>
  <c r="F49" i="12" s="1"/>
  <c r="G49" i="12" s="1"/>
  <c r="D51" i="12"/>
  <c r="F51" i="12" s="1"/>
  <c r="G51" i="12" s="1"/>
  <c r="D460" i="6"/>
  <c r="M512" i="5"/>
  <c r="D56" i="12" s="1"/>
  <c r="F56" i="12" s="1"/>
  <c r="G56" i="12" s="1"/>
  <c r="D44" i="12"/>
  <c r="F44" i="12" s="1"/>
  <c r="G44" i="12" s="1"/>
  <c r="D459" i="6"/>
  <c r="C139" i="8"/>
  <c r="M461" i="6"/>
  <c r="K212" i="5"/>
  <c r="L212" i="5" s="1"/>
  <c r="K211" i="5"/>
  <c r="L211" i="5" s="1"/>
  <c r="M16" i="5"/>
  <c r="J16" i="5"/>
  <c r="I622" i="9"/>
  <c r="J535" i="9"/>
  <c r="K222" i="5"/>
  <c r="L222" i="5" s="1"/>
  <c r="D627" i="9"/>
  <c r="C627" i="9"/>
  <c r="K37" i="5"/>
  <c r="L37" i="5" s="1"/>
  <c r="D641" i="9"/>
  <c r="D597" i="9"/>
  <c r="D566" i="9"/>
  <c r="D541" i="9"/>
  <c r="D525" i="9"/>
  <c r="J698" i="9"/>
  <c r="C677" i="9"/>
  <c r="C655" i="9"/>
  <c r="J600" i="9"/>
  <c r="I709" i="9"/>
  <c r="H695" i="9"/>
  <c r="H676" i="9"/>
  <c r="I655" i="9"/>
  <c r="H637" i="9"/>
  <c r="H614" i="9"/>
  <c r="I597" i="9"/>
  <c r="I583" i="9"/>
  <c r="D695" i="9"/>
  <c r="J543" i="9"/>
  <c r="H481" i="9"/>
  <c r="J564" i="9"/>
  <c r="I526" i="9"/>
  <c r="J540" i="9"/>
  <c r="B1437" i="9"/>
  <c r="H385" i="9"/>
  <c r="J474" i="9"/>
  <c r="I419" i="9"/>
  <c r="J492" i="9"/>
  <c r="I563" i="9"/>
  <c r="H513" i="9"/>
  <c r="D448" i="9"/>
  <c r="C414" i="9"/>
  <c r="H523" i="9"/>
  <c r="C439" i="9"/>
  <c r="I574" i="9"/>
  <c r="J447" i="9"/>
  <c r="H519" i="9"/>
  <c r="H575" i="9"/>
  <c r="D669" i="9"/>
  <c r="C548" i="9"/>
  <c r="C519" i="9"/>
  <c r="C422" i="9"/>
  <c r="C568" i="9"/>
  <c r="C511" i="9"/>
  <c r="J446" i="9"/>
  <c r="J401" i="9"/>
  <c r="C387" i="9"/>
  <c r="H487" i="9"/>
  <c r="H402" i="9"/>
  <c r="H404" i="9"/>
  <c r="L427" i="6"/>
  <c r="L122" i="6"/>
  <c r="L127" i="6"/>
  <c r="J300" i="5"/>
  <c r="M300" i="5"/>
  <c r="J309" i="5"/>
  <c r="M309" i="5"/>
  <c r="K268" i="5"/>
  <c r="L268" i="5" s="1"/>
  <c r="J439" i="5"/>
  <c r="M439" i="5"/>
  <c r="L398" i="5"/>
  <c r="K398" i="5"/>
  <c r="D509" i="5"/>
  <c r="D34" i="12" s="1"/>
  <c r="F34" i="12" s="1"/>
  <c r="G34" i="12" s="1"/>
  <c r="M167" i="5"/>
  <c r="K223" i="5"/>
  <c r="L223" i="5" s="1"/>
  <c r="K131" i="5"/>
  <c r="L131" i="5" s="1"/>
  <c r="K86" i="5"/>
  <c r="L86" i="5" s="1"/>
  <c r="J47" i="5"/>
  <c r="F455" i="5"/>
  <c r="I686" i="9"/>
  <c r="I675" i="9"/>
  <c r="I665" i="9"/>
  <c r="D700" i="9"/>
  <c r="D649" i="9"/>
  <c r="D583" i="9"/>
  <c r="D534" i="9"/>
  <c r="D517" i="9"/>
  <c r="C688" i="9"/>
  <c r="J666" i="9"/>
  <c r="J629" i="9"/>
  <c r="J614" i="9"/>
  <c r="H705" i="9"/>
  <c r="I688" i="9"/>
  <c r="H662" i="9"/>
  <c r="I641" i="9"/>
  <c r="H625" i="9"/>
  <c r="H604" i="9"/>
  <c r="I577" i="9"/>
  <c r="H609" i="9"/>
  <c r="H582" i="9"/>
  <c r="H455" i="9"/>
  <c r="H613" i="9"/>
  <c r="C510" i="9"/>
  <c r="I385" i="9"/>
  <c r="I487" i="9"/>
  <c r="I441" i="9"/>
  <c r="I416" i="9"/>
  <c r="I466" i="9"/>
  <c r="H509" i="9"/>
  <c r="H484" i="9"/>
  <c r="J393" i="9"/>
  <c r="C8" i="10"/>
  <c r="I442" i="9"/>
  <c r="H675" i="9"/>
  <c r="D428" i="9"/>
  <c r="H638" i="9"/>
  <c r="C541" i="9"/>
  <c r="C433" i="9"/>
  <c r="H606" i="9"/>
  <c r="J477" i="9"/>
  <c r="C393" i="9"/>
  <c r="D604" i="9"/>
  <c r="I513" i="9"/>
  <c r="H411" i="9"/>
  <c r="D587" i="9"/>
  <c r="D431" i="9"/>
  <c r="B2050" i="9"/>
  <c r="B2052" i="9"/>
  <c r="B378" i="9"/>
  <c r="L447" i="6"/>
  <c r="I459" i="6"/>
  <c r="L353" i="6"/>
  <c r="B139" i="8"/>
  <c r="I461" i="6"/>
  <c r="N7" i="8"/>
  <c r="C65" i="8" s="1"/>
  <c r="B62" i="8"/>
  <c r="L404" i="6"/>
  <c r="L309" i="6"/>
  <c r="L432" i="6"/>
  <c r="L302" i="6"/>
  <c r="M460" i="6"/>
  <c r="L331" i="6"/>
  <c r="L426" i="6"/>
  <c r="L308" i="6"/>
  <c r="L253" i="6"/>
  <c r="L414" i="6"/>
  <c r="L365" i="6"/>
  <c r="E460" i="6"/>
  <c r="L417" i="6"/>
  <c r="L237" i="6"/>
  <c r="L179" i="6"/>
  <c r="L78" i="6"/>
  <c r="R457" i="6"/>
  <c r="L80" i="6"/>
  <c r="L36" i="6"/>
  <c r="L272" i="6"/>
  <c r="L132" i="6"/>
  <c r="L89" i="6"/>
  <c r="L39" i="6"/>
  <c r="L349" i="6"/>
  <c r="L81" i="6"/>
  <c r="L232" i="6"/>
  <c r="L106" i="6"/>
  <c r="L299" i="6"/>
  <c r="L61" i="6"/>
  <c r="L209" i="6"/>
  <c r="L180" i="6"/>
  <c r="L298" i="6"/>
  <c r="L160" i="6"/>
  <c r="R456" i="6"/>
  <c r="L105" i="6"/>
  <c r="L79" i="6"/>
  <c r="M372" i="5"/>
  <c r="J372" i="5"/>
  <c r="J388" i="5"/>
  <c r="L285" i="6"/>
  <c r="L409" i="5"/>
  <c r="K409" i="5"/>
  <c r="J353" i="5"/>
  <c r="M353" i="5"/>
  <c r="J341" i="5"/>
  <c r="M341" i="5"/>
  <c r="L282" i="6"/>
  <c r="J396" i="5"/>
  <c r="M362" i="5"/>
  <c r="J362" i="5"/>
  <c r="J337" i="5"/>
  <c r="J306" i="5"/>
  <c r="M306" i="5"/>
  <c r="J315" i="5"/>
  <c r="M315" i="5"/>
  <c r="K238" i="5"/>
  <c r="L238" i="5" s="1"/>
  <c r="J276" i="5"/>
  <c r="M276" i="5"/>
  <c r="K406" i="5"/>
  <c r="L406" i="5" s="1"/>
  <c r="M419" i="5"/>
  <c r="J419" i="5"/>
  <c r="H492" i="5"/>
  <c r="E490" i="5"/>
  <c r="J490" i="5"/>
  <c r="J488" i="5"/>
  <c r="E488" i="5"/>
  <c r="F486" i="5"/>
  <c r="F484" i="5"/>
  <c r="E478" i="5"/>
  <c r="J478" i="5"/>
  <c r="K478" i="5"/>
  <c r="J397" i="5"/>
  <c r="H497" i="5"/>
  <c r="L96" i="6"/>
  <c r="L140" i="6"/>
  <c r="M180" i="5"/>
  <c r="J180" i="5"/>
  <c r="M168" i="5"/>
  <c r="J168" i="5"/>
  <c r="M156" i="5"/>
  <c r="J156" i="5"/>
  <c r="M144" i="5"/>
  <c r="J144" i="5"/>
  <c r="M132" i="5"/>
  <c r="J132" i="5"/>
  <c r="M120" i="5"/>
  <c r="J120" i="5"/>
  <c r="M108" i="5"/>
  <c r="J108" i="5"/>
  <c r="M96" i="5"/>
  <c r="J96" i="5"/>
  <c r="M84" i="5"/>
  <c r="J84" i="5"/>
  <c r="M72" i="5"/>
  <c r="J72" i="5"/>
  <c r="M60" i="5"/>
  <c r="J60" i="5"/>
  <c r="M48" i="5"/>
  <c r="J48" i="5"/>
  <c r="J269" i="5"/>
  <c r="M269" i="5"/>
  <c r="J175" i="5"/>
  <c r="E509" i="5"/>
  <c r="G8" i="7" s="1"/>
  <c r="J153" i="5"/>
  <c r="J135" i="5"/>
  <c r="J117" i="5"/>
  <c r="J105" i="5"/>
  <c r="L87" i="5"/>
  <c r="K87" i="5"/>
  <c r="J69" i="5"/>
  <c r="K57" i="5"/>
  <c r="L57" i="5" s="1"/>
  <c r="J466" i="5"/>
  <c r="E466" i="5"/>
  <c r="K467" i="5"/>
  <c r="J463" i="5"/>
  <c r="E463" i="5"/>
  <c r="H462" i="5"/>
  <c r="J465" i="5"/>
  <c r="E465" i="5"/>
  <c r="M216" i="5"/>
  <c r="J216" i="5"/>
  <c r="M188" i="5"/>
  <c r="J188" i="5"/>
  <c r="J125" i="5"/>
  <c r="J83" i="5"/>
  <c r="J44" i="5"/>
  <c r="L14" i="5"/>
  <c r="K14" i="5"/>
  <c r="M36" i="5"/>
  <c r="J36" i="5"/>
  <c r="J459" i="5"/>
  <c r="E459" i="5"/>
  <c r="C701" i="9"/>
  <c r="J697" i="9"/>
  <c r="C687" i="9"/>
  <c r="J675" i="9"/>
  <c r="C666" i="9"/>
  <c r="J646" i="9"/>
  <c r="J628" i="9"/>
  <c r="I698" i="9"/>
  <c r="I654" i="9"/>
  <c r="I604" i="9"/>
  <c r="I565" i="9"/>
  <c r="I554" i="9"/>
  <c r="I544" i="9"/>
  <c r="I533" i="9"/>
  <c r="I520" i="9"/>
  <c r="I505" i="9"/>
  <c r="D679" i="9"/>
  <c r="D646" i="9"/>
  <c r="D636" i="9"/>
  <c r="D599" i="9"/>
  <c r="D571" i="9"/>
  <c r="C686" i="9"/>
  <c r="J674" i="9"/>
  <c r="C665" i="9"/>
  <c r="C646" i="9"/>
  <c r="J631" i="9"/>
  <c r="C613" i="9"/>
  <c r="J602" i="9"/>
  <c r="J587" i="9"/>
  <c r="C564" i="9"/>
  <c r="J546" i="9"/>
  <c r="J27" i="5"/>
  <c r="M30" i="5"/>
  <c r="J30" i="5"/>
  <c r="D689" i="9"/>
  <c r="D681" i="9"/>
  <c r="C681" i="9"/>
  <c r="J673" i="9"/>
  <c r="C667" i="9"/>
  <c r="J659" i="9"/>
  <c r="J655" i="9"/>
  <c r="C645" i="9"/>
  <c r="J638" i="9"/>
  <c r="C620" i="9"/>
  <c r="C584" i="9"/>
  <c r="C570" i="9"/>
  <c r="C556" i="9"/>
  <c r="J541" i="9"/>
  <c r="I466" i="4"/>
  <c r="D623" i="9"/>
  <c r="D549" i="9"/>
  <c r="D485" i="9"/>
  <c r="D475" i="9"/>
  <c r="C638" i="9"/>
  <c r="C623" i="9"/>
  <c r="C609" i="9"/>
  <c r="J593" i="9"/>
  <c r="J576" i="9"/>
  <c r="H599" i="9"/>
  <c r="H492" i="9"/>
  <c r="H419" i="9"/>
  <c r="H711" i="9"/>
  <c r="H661" i="9"/>
  <c r="C544" i="9"/>
  <c r="C461" i="9"/>
  <c r="D435" i="9"/>
  <c r="C386" i="9"/>
  <c r="J561" i="9"/>
  <c r="J496" i="9"/>
  <c r="C476" i="9"/>
  <c r="J471" i="9"/>
  <c r="H391" i="9"/>
  <c r="H668" i="9"/>
  <c r="H624" i="9"/>
  <c r="H501" i="9"/>
  <c r="I450" i="9"/>
  <c r="J428" i="9"/>
  <c r="D388" i="9"/>
  <c r="H430" i="9"/>
  <c r="I392" i="9"/>
  <c r="H628" i="9"/>
  <c r="H532" i="9"/>
  <c r="D522" i="9"/>
  <c r="C514" i="9"/>
  <c r="H500" i="9"/>
  <c r="H470" i="9"/>
  <c r="H413" i="9"/>
  <c r="B12" i="10"/>
  <c r="B13" i="10"/>
  <c r="D484" i="9"/>
  <c r="D464" i="9"/>
  <c r="C27" i="11"/>
  <c r="B27" i="11"/>
  <c r="D147" i="12" s="1"/>
  <c r="F147" i="12" s="1"/>
  <c r="G147" i="12" s="1"/>
  <c r="H400" i="9"/>
  <c r="J499" i="9"/>
  <c r="C444" i="9"/>
  <c r="J427" i="9"/>
  <c r="D391" i="9"/>
  <c r="H653" i="9"/>
  <c r="J497" i="9"/>
  <c r="I643" i="9"/>
  <c r="I529" i="9"/>
  <c r="I413" i="9"/>
  <c r="J450" i="9"/>
  <c r="I426" i="9"/>
  <c r="D658" i="9"/>
  <c r="J588" i="9"/>
  <c r="J547" i="9"/>
  <c r="I528" i="9"/>
  <c r="H503" i="9"/>
  <c r="I400" i="9"/>
  <c r="J481" i="9"/>
  <c r="H456" i="9"/>
  <c r="H410" i="9"/>
  <c r="J610" i="9"/>
  <c r="C593" i="9"/>
  <c r="C557" i="9"/>
  <c r="C469" i="9"/>
  <c r="C453" i="9"/>
  <c r="C438" i="9"/>
  <c r="J405" i="9"/>
  <c r="D399" i="9"/>
  <c r="H482" i="9"/>
  <c r="I573" i="9"/>
  <c r="C549" i="9"/>
  <c r="J516" i="9"/>
  <c r="J487" i="9"/>
  <c r="C457" i="9"/>
  <c r="H392" i="9"/>
  <c r="H438" i="9"/>
  <c r="H422" i="9"/>
  <c r="H469" i="9"/>
  <c r="L25" i="6"/>
  <c r="K369" i="5"/>
  <c r="L369" i="5" s="1"/>
  <c r="J374" i="5"/>
  <c r="M374" i="5"/>
  <c r="L130" i="6"/>
  <c r="L328" i="5"/>
  <c r="K328" i="5"/>
  <c r="J652" i="9"/>
  <c r="D6" i="12"/>
  <c r="F6" i="12" s="1"/>
  <c r="G6" i="12" s="1"/>
  <c r="D458" i="4"/>
  <c r="I699" i="9"/>
  <c r="H683" i="9"/>
  <c r="H669" i="9"/>
  <c r="I648" i="9"/>
  <c r="I630" i="9"/>
  <c r="I619" i="9"/>
  <c r="I609" i="9"/>
  <c r="I590" i="9"/>
  <c r="H631" i="9"/>
  <c r="D554" i="9"/>
  <c r="J532" i="9"/>
  <c r="C554" i="9"/>
  <c r="J515" i="9"/>
  <c r="C398" i="9"/>
  <c r="D698" i="9"/>
  <c r="C492" i="9"/>
  <c r="I410" i="9"/>
  <c r="H459" i="9"/>
  <c r="I435" i="9"/>
  <c r="H673" i="9"/>
  <c r="H458" i="9"/>
  <c r="H517" i="9"/>
  <c r="I387" i="9"/>
  <c r="H632" i="9"/>
  <c r="H559" i="9"/>
  <c r="C471" i="9"/>
  <c r="D705" i="9"/>
  <c r="D559" i="9"/>
  <c r="H598" i="9"/>
  <c r="I560" i="9"/>
  <c r="C506" i="9"/>
  <c r="J437" i="9"/>
  <c r="J399" i="9"/>
  <c r="J383" i="9"/>
  <c r="H401" i="9"/>
  <c r="H644" i="9"/>
  <c r="D598" i="9"/>
  <c r="H457" i="9"/>
  <c r="I650" i="9"/>
  <c r="B1682" i="9"/>
  <c r="C614" i="9"/>
  <c r="J533" i="9"/>
  <c r="J493" i="9"/>
  <c r="C452" i="9"/>
  <c r="C392" i="9"/>
  <c r="H377" i="9"/>
  <c r="C377" i="9"/>
  <c r="J382" i="9"/>
  <c r="B377" i="9"/>
  <c r="J377" i="9"/>
  <c r="I377" i="9"/>
  <c r="G377" i="9"/>
  <c r="F377" i="9"/>
  <c r="E377" i="9"/>
  <c r="I378" i="9"/>
  <c r="D377" i="9"/>
  <c r="I587" i="9"/>
  <c r="H538" i="9"/>
  <c r="H473" i="9"/>
  <c r="B2054" i="9"/>
  <c r="D127" i="12" s="1"/>
  <c r="F127" i="12" s="1"/>
  <c r="G127" i="12" s="1"/>
  <c r="L347" i="6"/>
  <c r="B64" i="8"/>
  <c r="B140" i="8"/>
  <c r="N460" i="6"/>
  <c r="L398" i="6"/>
  <c r="L362" i="6"/>
  <c r="L343" i="6"/>
  <c r="Q457" i="6"/>
  <c r="L370" i="6"/>
  <c r="L286" i="6"/>
  <c r="L250" i="6"/>
  <c r="L375" i="6"/>
  <c r="L423" i="6"/>
  <c r="L137" i="6"/>
  <c r="L49" i="6"/>
  <c r="L222" i="6"/>
  <c r="L188" i="6"/>
  <c r="L162" i="6"/>
  <c r="L50" i="6"/>
  <c r="L23" i="6"/>
  <c r="L224" i="6"/>
  <c r="L166" i="6"/>
  <c r="L94" i="6"/>
  <c r="L251" i="6"/>
  <c r="L185" i="6"/>
  <c r="L146" i="6"/>
  <c r="R455" i="6"/>
  <c r="L19" i="6"/>
  <c r="L113" i="6"/>
  <c r="L109" i="6"/>
  <c r="L284" i="6"/>
  <c r="L218" i="6"/>
  <c r="L53" i="6"/>
  <c r="M366" i="5"/>
  <c r="J366" i="5"/>
  <c r="L273" i="6"/>
  <c r="L84" i="6"/>
  <c r="L177" i="6"/>
  <c r="L32" i="6"/>
  <c r="J410" i="5"/>
  <c r="L270" i="6"/>
  <c r="M377" i="5"/>
  <c r="J377" i="5"/>
  <c r="L298" i="5"/>
  <c r="K298" i="5"/>
  <c r="K286" i="5"/>
  <c r="L286" i="5" s="1"/>
  <c r="J312" i="5"/>
  <c r="M312" i="5"/>
  <c r="J321" i="5"/>
  <c r="M321" i="5"/>
  <c r="J445" i="5"/>
  <c r="M445" i="5"/>
  <c r="H490" i="5"/>
  <c r="H491" i="5"/>
  <c r="K485" i="5"/>
  <c r="P488" i="5"/>
  <c r="K480" i="5"/>
  <c r="J480" i="5"/>
  <c r="E480" i="5"/>
  <c r="L6" i="6"/>
  <c r="J233" i="5"/>
  <c r="M204" i="5"/>
  <c r="J204" i="5"/>
  <c r="B509" i="5"/>
  <c r="O167" i="5"/>
  <c r="P167" i="5" s="1"/>
  <c r="B507" i="5"/>
  <c r="O59" i="5"/>
  <c r="P59" i="5" s="1"/>
  <c r="J247" i="5"/>
  <c r="M247" i="5"/>
  <c r="M206" i="5"/>
  <c r="J206" i="5"/>
  <c r="J470" i="5"/>
  <c r="E470" i="5"/>
  <c r="J460" i="5"/>
  <c r="E460" i="5"/>
  <c r="J199" i="5"/>
  <c r="M23" i="5"/>
  <c r="J23" i="5"/>
  <c r="K187" i="5"/>
  <c r="L187" i="5" s="1"/>
  <c r="J119" i="5"/>
  <c r="J80" i="5"/>
  <c r="J41" i="5"/>
  <c r="M10" i="5"/>
  <c r="J10" i="5"/>
  <c r="J128" i="5"/>
  <c r="K459" i="5"/>
  <c r="C637" i="9"/>
  <c r="C622" i="9"/>
  <c r="I680" i="9"/>
  <c r="I629" i="9"/>
  <c r="I586" i="9"/>
  <c r="D653" i="9"/>
  <c r="D617" i="9"/>
  <c r="D480" i="9"/>
  <c r="D467" i="9"/>
  <c r="D456" i="9"/>
  <c r="D443" i="9"/>
  <c r="D429" i="9"/>
  <c r="D412" i="9"/>
  <c r="M18" i="5"/>
  <c r="J18" i="5"/>
  <c r="C624" i="9"/>
  <c r="C595" i="9"/>
  <c r="J582" i="9"/>
  <c r="C539" i="9"/>
  <c r="J528" i="9"/>
  <c r="C703" i="9"/>
  <c r="C685" i="9"/>
  <c r="J677" i="9"/>
  <c r="J663" i="9"/>
  <c r="J597" i="9"/>
  <c r="J534" i="9"/>
  <c r="J517" i="9"/>
  <c r="E458" i="4"/>
  <c r="E455" i="4"/>
  <c r="I470" i="4"/>
  <c r="C31" i="11"/>
  <c r="B31" i="11"/>
  <c r="D151" i="12" s="1"/>
  <c r="F151" i="12" s="1"/>
  <c r="G151" i="12" s="1"/>
  <c r="D605" i="9"/>
  <c r="D573" i="9"/>
  <c r="D493" i="9"/>
  <c r="D461" i="9"/>
  <c r="D434" i="9"/>
  <c r="D420" i="9"/>
  <c r="J708" i="9"/>
  <c r="J705" i="9"/>
  <c r="J701" i="9"/>
  <c r="C692" i="9"/>
  <c r="C659" i="9"/>
  <c r="C648" i="9"/>
  <c r="J586" i="9"/>
  <c r="C569" i="9"/>
  <c r="I613" i="9"/>
  <c r="H588" i="9"/>
  <c r="H435" i="9"/>
  <c r="C405" i="9"/>
  <c r="B1435" i="9"/>
  <c r="B1431" i="9"/>
  <c r="C1434" i="9"/>
  <c r="C1430" i="9"/>
  <c r="C1426" i="9"/>
  <c r="B1432" i="9"/>
  <c r="C1427" i="9"/>
  <c r="C1425" i="9"/>
  <c r="B1434" i="9"/>
  <c r="C1429" i="9"/>
  <c r="B1425" i="9"/>
  <c r="D124" i="12" s="1"/>
  <c r="F124" i="12" s="1"/>
  <c r="G124" i="12" s="1"/>
  <c r="B1429" i="9"/>
  <c r="B1438" i="9"/>
  <c r="B1439" i="9" s="1"/>
  <c r="B1428" i="9"/>
  <c r="C1436" i="9"/>
  <c r="B1424" i="9"/>
  <c r="B1436" i="9"/>
  <c r="B1430" i="9"/>
  <c r="C1435" i="9"/>
  <c r="C1428" i="9"/>
  <c r="C1433" i="9"/>
  <c r="B1427" i="9"/>
  <c r="B1433" i="9"/>
  <c r="B1426" i="9"/>
  <c r="C1432" i="9"/>
  <c r="C1424" i="9"/>
  <c r="C1431" i="9"/>
  <c r="H617" i="9"/>
  <c r="C533" i="9"/>
  <c r="C517" i="9"/>
  <c r="J507" i="9"/>
  <c r="C467" i="9"/>
  <c r="D455" i="9"/>
  <c r="C425" i="9"/>
  <c r="D419" i="9"/>
  <c r="I405" i="9"/>
  <c r="H665" i="9"/>
  <c r="H621" i="9"/>
  <c r="H585" i="9"/>
  <c r="C565" i="9"/>
  <c r="D553" i="9"/>
  <c r="C545" i="9"/>
  <c r="J522" i="9"/>
  <c r="I482" i="9"/>
  <c r="J434" i="9"/>
  <c r="I389" i="9"/>
  <c r="C515" i="9"/>
  <c r="C508" i="9"/>
  <c r="H496" i="9"/>
  <c r="H491" i="9"/>
  <c r="H485" i="9"/>
  <c r="J479" i="9"/>
  <c r="J444" i="9"/>
  <c r="I409" i="9"/>
  <c r="H696" i="9"/>
  <c r="I553" i="9"/>
  <c r="D540" i="9"/>
  <c r="J506" i="9"/>
  <c r="J384" i="9"/>
  <c r="B5" i="10"/>
  <c r="B6" i="10"/>
  <c r="I636" i="9"/>
  <c r="C576" i="9"/>
  <c r="H506" i="9"/>
  <c r="H677" i="9"/>
  <c r="H520" i="9"/>
  <c r="J489" i="9"/>
  <c r="I471" i="9"/>
  <c r="I465" i="9"/>
  <c r="I459" i="9"/>
  <c r="J453" i="9"/>
  <c r="J418" i="9"/>
  <c r="J412" i="9"/>
  <c r="I421" i="9"/>
  <c r="C26" i="11"/>
  <c r="B26" i="11"/>
  <c r="D146" i="12" s="1"/>
  <c r="F146" i="12" s="1"/>
  <c r="G146" i="12" s="1"/>
  <c r="H570" i="9"/>
  <c r="H537" i="9"/>
  <c r="J512" i="9"/>
  <c r="J503" i="9"/>
  <c r="J494" i="9"/>
  <c r="I484" i="9"/>
  <c r="I464" i="9"/>
  <c r="I454" i="9"/>
  <c r="J426" i="9"/>
  <c r="H554" i="9"/>
  <c r="D600" i="9"/>
  <c r="D594" i="9"/>
  <c r="C520" i="9"/>
  <c r="H468" i="9"/>
  <c r="H437" i="9"/>
  <c r="H682" i="9"/>
  <c r="D488" i="9"/>
  <c r="D477" i="9"/>
  <c r="D462" i="9"/>
  <c r="H436" i="9"/>
  <c r="D691" i="9"/>
  <c r="D568" i="9"/>
  <c r="C538" i="9"/>
  <c r="J498" i="9"/>
  <c r="I478" i="9"/>
  <c r="I463" i="9"/>
  <c r="I418" i="9"/>
  <c r="I412" i="9"/>
  <c r="C406" i="9"/>
  <c r="H398" i="9"/>
  <c r="H399" i="9"/>
  <c r="H573" i="9"/>
  <c r="L289" i="6"/>
  <c r="L28" i="6"/>
  <c r="L86" i="6"/>
  <c r="L31" i="6"/>
  <c r="L147" i="6"/>
  <c r="J496" i="5"/>
  <c r="E496" i="5"/>
  <c r="L146" i="5"/>
  <c r="K146" i="5"/>
  <c r="I672" i="9"/>
  <c r="H681" i="9"/>
  <c r="H670" i="9"/>
  <c r="D674" i="9"/>
  <c r="D639" i="9"/>
  <c r="D606" i="9"/>
  <c r="C700" i="9"/>
  <c r="C602" i="9"/>
  <c r="J577" i="9"/>
  <c r="J562" i="9"/>
  <c r="C522" i="9"/>
  <c r="B374" i="9"/>
  <c r="G373" i="9"/>
  <c r="G372" i="9"/>
  <c r="L341" i="6"/>
  <c r="B68" i="8"/>
  <c r="D107" i="12" s="1"/>
  <c r="F107" i="12" s="1"/>
  <c r="G107" i="12" s="1"/>
  <c r="C75" i="8"/>
  <c r="B141" i="8"/>
  <c r="J460" i="6"/>
  <c r="L446" i="6"/>
  <c r="L392" i="6"/>
  <c r="L337" i="6"/>
  <c r="L292" i="6"/>
  <c r="M458" i="6"/>
  <c r="L283" i="6"/>
  <c r="L247" i="6"/>
  <c r="L189" i="6"/>
  <c r="L418" i="6"/>
  <c r="L363" i="6"/>
  <c r="L357" i="6"/>
  <c r="L295" i="6"/>
  <c r="N457" i="6"/>
  <c r="L355" i="6"/>
  <c r="L231" i="6"/>
  <c r="L227" i="6"/>
  <c r="L120" i="6"/>
  <c r="L421" i="6"/>
  <c r="L263" i="6"/>
  <c r="L119" i="6"/>
  <c r="L193" i="6"/>
  <c r="L124" i="6"/>
  <c r="L35" i="6"/>
  <c r="L287" i="6"/>
  <c r="L74" i="6"/>
  <c r="L13" i="6"/>
  <c r="L51" i="6"/>
  <c r="L126" i="6"/>
  <c r="L58" i="6"/>
  <c r="L14" i="6"/>
  <c r="L178" i="6"/>
  <c r="L135" i="6"/>
  <c r="L98" i="6"/>
  <c r="J360" i="5"/>
  <c r="M360" i="5"/>
  <c r="L108" i="6"/>
  <c r="L261" i="6"/>
  <c r="L258" i="6"/>
  <c r="M380" i="5"/>
  <c r="J380" i="5"/>
  <c r="K310" i="5"/>
  <c r="L310" i="5" s="1"/>
  <c r="J318" i="5"/>
  <c r="M318" i="5"/>
  <c r="J327" i="5"/>
  <c r="M327" i="5"/>
  <c r="L250" i="5"/>
  <c r="K250" i="5"/>
  <c r="D513" i="5"/>
  <c r="D62" i="12" s="1"/>
  <c r="F62" i="12" s="1"/>
  <c r="G62" i="12" s="1"/>
  <c r="M392" i="5"/>
  <c r="J393" i="5"/>
  <c r="M393" i="5"/>
  <c r="M425" i="5"/>
  <c r="J425" i="5"/>
  <c r="J495" i="5"/>
  <c r="E495" i="5"/>
  <c r="J487" i="5"/>
  <c r="E487" i="5"/>
  <c r="P486" i="5"/>
  <c r="F481" i="5"/>
  <c r="L18" i="6"/>
  <c r="K498" i="5"/>
  <c r="H496" i="5"/>
  <c r="J498" i="5"/>
  <c r="E498" i="5"/>
  <c r="J385" i="5"/>
  <c r="J402" i="5"/>
  <c r="K421" i="5"/>
  <c r="L421" i="5" s="1"/>
  <c r="K403" i="5"/>
  <c r="L403" i="5" s="1"/>
  <c r="M232" i="5"/>
  <c r="J232" i="5"/>
  <c r="M178" i="5"/>
  <c r="J178" i="5"/>
  <c r="M166" i="5"/>
  <c r="J166" i="5"/>
  <c r="M154" i="5"/>
  <c r="J154" i="5"/>
  <c r="M142" i="5"/>
  <c r="J142" i="5"/>
  <c r="M130" i="5"/>
  <c r="J130" i="5"/>
  <c r="M118" i="5"/>
  <c r="J118" i="5"/>
  <c r="M106" i="5"/>
  <c r="J106" i="5"/>
  <c r="M94" i="5"/>
  <c r="J94" i="5"/>
  <c r="M82" i="5"/>
  <c r="J82" i="5"/>
  <c r="M70" i="5"/>
  <c r="J70" i="5"/>
  <c r="M58" i="5"/>
  <c r="J58" i="5"/>
  <c r="M46" i="5"/>
  <c r="J46" i="5"/>
  <c r="J260" i="5"/>
  <c r="M260" i="5"/>
  <c r="L246" i="5"/>
  <c r="K246" i="5"/>
  <c r="K171" i="5"/>
  <c r="L171" i="5" s="1"/>
  <c r="J151" i="5"/>
  <c r="J133" i="5"/>
  <c r="J115" i="5"/>
  <c r="D508" i="5"/>
  <c r="D27" i="12" s="1"/>
  <c r="F27" i="12" s="1"/>
  <c r="G27" i="12" s="1"/>
  <c r="M113" i="5"/>
  <c r="J103" i="5"/>
  <c r="J85" i="5"/>
  <c r="J67" i="5"/>
  <c r="J55" i="5"/>
  <c r="K205" i="5"/>
  <c r="L205" i="5" s="1"/>
  <c r="J474" i="5"/>
  <c r="E474" i="5"/>
  <c r="K474" i="5"/>
  <c r="H477" i="5"/>
  <c r="H468" i="5"/>
  <c r="H466" i="5"/>
  <c r="P460" i="5"/>
  <c r="J116" i="5"/>
  <c r="J77" i="5"/>
  <c r="J8" i="5"/>
  <c r="J113" i="5"/>
  <c r="K31" i="5"/>
  <c r="L31" i="5" s="1"/>
  <c r="K456" i="5"/>
  <c r="F456" i="5"/>
  <c r="J711" i="9"/>
  <c r="C705" i="9"/>
  <c r="C691" i="9"/>
  <c r="J679" i="9"/>
  <c r="C669" i="9"/>
  <c r="J657" i="9"/>
  <c r="I705" i="9"/>
  <c r="I662" i="9"/>
  <c r="I611" i="9"/>
  <c r="J38" i="5"/>
  <c r="B30" i="11"/>
  <c r="D150" i="12" s="1"/>
  <c r="F150" i="12" s="1"/>
  <c r="G150" i="12" s="1"/>
  <c r="C30" i="11"/>
  <c r="C29" i="11"/>
  <c r="B29" i="11"/>
  <c r="D149" i="12" s="1"/>
  <c r="F149" i="12" s="1"/>
  <c r="G149" i="12" s="1"/>
  <c r="D697" i="9"/>
  <c r="D671" i="9"/>
  <c r="D607" i="9"/>
  <c r="D579" i="9"/>
  <c r="D529" i="9"/>
  <c r="D523" i="9"/>
  <c r="D515" i="9"/>
  <c r="D508" i="9"/>
  <c r="D501" i="9"/>
  <c r="J707" i="9"/>
  <c r="J703" i="9"/>
  <c r="C690" i="9"/>
  <c r="J678" i="9"/>
  <c r="C668" i="9"/>
  <c r="J656" i="9"/>
  <c r="J642" i="9"/>
  <c r="C575" i="9"/>
  <c r="J559" i="9"/>
  <c r="C550" i="9"/>
  <c r="J176" i="5"/>
  <c r="M198" i="5"/>
  <c r="J198" i="5"/>
  <c r="K25" i="5"/>
  <c r="L25" i="5" s="1"/>
  <c r="D656" i="9"/>
  <c r="C707" i="9"/>
  <c r="C689" i="9"/>
  <c r="C649" i="9"/>
  <c r="C631" i="9"/>
  <c r="J615" i="9"/>
  <c r="C606" i="9"/>
  <c r="J581" i="9"/>
  <c r="J566" i="9"/>
  <c r="J552" i="9"/>
  <c r="C526" i="9"/>
  <c r="K259" i="5"/>
  <c r="L259" i="5" s="1"/>
  <c r="E459" i="4"/>
  <c r="D7" i="12" s="1"/>
  <c r="F7" i="12" s="1"/>
  <c r="G7" i="12" s="1"/>
  <c r="I469" i="4"/>
  <c r="I710" i="9"/>
  <c r="I700" i="9"/>
  <c r="I685" i="9"/>
  <c r="I674" i="9"/>
  <c r="I664" i="9"/>
  <c r="I652" i="9"/>
  <c r="I642" i="9"/>
  <c r="I631" i="9"/>
  <c r="I616" i="9"/>
  <c r="I598" i="9"/>
  <c r="J7" i="5"/>
  <c r="D709" i="9"/>
  <c r="D702" i="9"/>
  <c r="D696" i="9"/>
  <c r="D688" i="9"/>
  <c r="D648" i="9"/>
  <c r="D630" i="9"/>
  <c r="D555" i="9"/>
  <c r="D499" i="9"/>
  <c r="J633" i="9"/>
  <c r="J618" i="9"/>
  <c r="J604" i="9"/>
  <c r="H659" i="9"/>
  <c r="H603" i="9"/>
  <c r="I556" i="9"/>
  <c r="H545" i="9"/>
  <c r="H534" i="9"/>
  <c r="H466" i="9"/>
  <c r="H450" i="9"/>
  <c r="D398" i="9"/>
  <c r="D389" i="9"/>
  <c r="D382" i="9"/>
  <c r="C373" i="9"/>
  <c r="I371" i="9"/>
  <c r="C352" i="9"/>
  <c r="C348" i="9"/>
  <c r="C344" i="9"/>
  <c r="C340" i="9"/>
  <c r="H371" i="9"/>
  <c r="B352" i="9"/>
  <c r="B348" i="9"/>
  <c r="B344" i="9"/>
  <c r="B340" i="9"/>
  <c r="D119" i="12" s="1"/>
  <c r="F119" i="12" s="1"/>
  <c r="G119" i="12" s="1"/>
  <c r="G371" i="9"/>
  <c r="F371" i="9"/>
  <c r="C351" i="9"/>
  <c r="C347" i="9"/>
  <c r="C343" i="9"/>
  <c r="E371" i="9"/>
  <c r="B351" i="9"/>
  <c r="B347" i="9"/>
  <c r="B343" i="9"/>
  <c r="D371" i="9"/>
  <c r="D121" i="12" s="1"/>
  <c r="F121" i="12" s="1"/>
  <c r="G121" i="12" s="1"/>
  <c r="C371" i="9"/>
  <c r="B355" i="9"/>
  <c r="C350" i="9"/>
  <c r="C346" i="9"/>
  <c r="C342" i="9"/>
  <c r="B371" i="9"/>
  <c r="B350" i="9"/>
  <c r="B346" i="9"/>
  <c r="B342" i="9"/>
  <c r="C353" i="9"/>
  <c r="C349" i="9"/>
  <c r="C345" i="9"/>
  <c r="C341" i="9"/>
  <c r="B353" i="9"/>
  <c r="B349" i="9"/>
  <c r="B345" i="9"/>
  <c r="B341" i="9"/>
  <c r="D118" i="12" s="1"/>
  <c r="F118" i="12" s="1"/>
  <c r="G118" i="12" s="1"/>
  <c r="J371" i="9"/>
  <c r="D582" i="9"/>
  <c r="I567" i="9"/>
  <c r="C498" i="9"/>
  <c r="D476" i="9"/>
  <c r="C441" i="9"/>
  <c r="J397" i="9"/>
  <c r="H396" i="9"/>
  <c r="D405" i="9"/>
  <c r="I498" i="9"/>
  <c r="C486" i="9"/>
  <c r="J465" i="9"/>
  <c r="J459" i="9"/>
  <c r="I446" i="9"/>
  <c r="J440" i="9"/>
  <c r="C415" i="9"/>
  <c r="C409" i="9"/>
  <c r="I398" i="9"/>
  <c r="I628" i="9"/>
  <c r="D578" i="9"/>
  <c r="H561" i="9"/>
  <c r="H551" i="9"/>
  <c r="H530" i="9"/>
  <c r="I472" i="9"/>
  <c r="H465" i="9"/>
  <c r="J458" i="9"/>
  <c r="H434" i="9"/>
  <c r="D526" i="9"/>
  <c r="I632" i="9"/>
  <c r="J575" i="9"/>
  <c r="I566" i="9"/>
  <c r="I525" i="9"/>
  <c r="H444" i="9"/>
  <c r="J400" i="9"/>
  <c r="J391" i="9"/>
  <c r="C12" i="10"/>
  <c r="C13" i="10"/>
  <c r="J419" i="9"/>
  <c r="I375" i="9"/>
  <c r="H375" i="9"/>
  <c r="G375" i="9"/>
  <c r="H382" i="9"/>
  <c r="F375" i="9"/>
  <c r="E375" i="9"/>
  <c r="D375" i="9"/>
  <c r="C375" i="9"/>
  <c r="B375" i="9"/>
  <c r="J375" i="9"/>
  <c r="G374" i="9"/>
  <c r="H564" i="9"/>
  <c r="H515" i="9"/>
  <c r="D490" i="9"/>
  <c r="C475" i="9"/>
  <c r="D454" i="9"/>
  <c r="D444" i="9"/>
  <c r="C434" i="9"/>
  <c r="D413" i="9"/>
  <c r="I501" i="9"/>
  <c r="I480" i="9"/>
  <c r="I475" i="9"/>
  <c r="J432" i="9"/>
  <c r="D396" i="9"/>
  <c r="C527" i="9"/>
  <c r="H679" i="9"/>
  <c r="J518" i="9"/>
  <c r="I474" i="9"/>
  <c r="I444" i="9"/>
  <c r="D403" i="9"/>
  <c r="J392" i="9"/>
  <c r="J387" i="9"/>
  <c r="H386" i="9"/>
  <c r="H702" i="9"/>
  <c r="D608" i="9"/>
  <c r="H560" i="9"/>
  <c r="H452" i="9"/>
  <c r="H620" i="9"/>
  <c r="C600" i="9"/>
  <c r="J526" i="9"/>
  <c r="D503" i="9"/>
  <c r="D494" i="9"/>
  <c r="D421" i="9"/>
  <c r="C412" i="9"/>
  <c r="D390" i="9"/>
  <c r="I603" i="9"/>
  <c r="H650" i="9"/>
  <c r="J585" i="9"/>
  <c r="I469" i="9"/>
  <c r="I438" i="9"/>
  <c r="I422" i="9"/>
  <c r="C395" i="9"/>
  <c r="J386" i="9"/>
  <c r="I599" i="9"/>
  <c r="H544" i="9"/>
  <c r="J472" i="9"/>
  <c r="H525" i="9"/>
  <c r="H418" i="9"/>
  <c r="H558" i="9"/>
  <c r="D105" i="12"/>
  <c r="F105" i="12" s="1"/>
  <c r="G105" i="12" s="1"/>
  <c r="B69" i="8"/>
  <c r="L313" i="6"/>
  <c r="L92" i="6"/>
  <c r="L153" i="6"/>
  <c r="M371" i="5"/>
  <c r="J371" i="5"/>
  <c r="J270" i="5"/>
  <c r="M270" i="5"/>
  <c r="J447" i="5"/>
  <c r="M447" i="5"/>
  <c r="M29" i="5"/>
  <c r="J29" i="5"/>
  <c r="J455" i="5"/>
  <c r="E455" i="5"/>
  <c r="J620" i="9"/>
  <c r="D707" i="9"/>
  <c r="D659" i="9"/>
  <c r="B2041" i="9"/>
  <c r="B2058" i="9"/>
  <c r="C2056" i="9"/>
  <c r="C2050" i="9"/>
  <c r="H373" i="9"/>
  <c r="H372" i="9"/>
  <c r="L335" i="6"/>
  <c r="B145" i="8"/>
  <c r="D112" i="12" s="1"/>
  <c r="F112" i="12" s="1"/>
  <c r="G112" i="12" s="1"/>
  <c r="L442" i="6"/>
  <c r="E461" i="6"/>
  <c r="L356" i="6"/>
  <c r="L409" i="6"/>
  <c r="L376" i="6"/>
  <c r="L321" i="6"/>
  <c r="Q456" i="6"/>
  <c r="N458" i="6"/>
  <c r="L364" i="6"/>
  <c r="L280" i="6"/>
  <c r="L420" i="6"/>
  <c r="L352" i="6"/>
  <c r="L312" i="6"/>
  <c r="L443" i="6"/>
  <c r="N461" i="6"/>
  <c r="L361" i="6"/>
  <c r="L324" i="6"/>
  <c r="L172" i="6"/>
  <c r="L15" i="6"/>
  <c r="L149" i="6"/>
  <c r="L90" i="6"/>
  <c r="L211" i="6"/>
  <c r="L186" i="6"/>
  <c r="L33" i="6"/>
  <c r="L55" i="6"/>
  <c r="J381" i="5"/>
  <c r="M381" i="5"/>
  <c r="L226" i="6"/>
  <c r="L47" i="6"/>
  <c r="L182" i="6"/>
  <c r="L205" i="6"/>
  <c r="L275" i="6"/>
  <c r="L216" i="6"/>
  <c r="L151" i="6"/>
  <c r="J354" i="5"/>
  <c r="M354" i="5"/>
  <c r="L249" i="6"/>
  <c r="K382" i="5"/>
  <c r="L382" i="5" s="1"/>
  <c r="L225" i="6"/>
  <c r="K400" i="5"/>
  <c r="L400" i="5" s="1"/>
  <c r="J350" i="5"/>
  <c r="M350" i="5"/>
  <c r="J338" i="5"/>
  <c r="M338" i="5"/>
  <c r="L246" i="6"/>
  <c r="L95" i="6"/>
  <c r="M383" i="5"/>
  <c r="J383" i="5"/>
  <c r="J324" i="5"/>
  <c r="M324" i="5"/>
  <c r="J333" i="5"/>
  <c r="M333" i="5"/>
  <c r="E513" i="5"/>
  <c r="G12" i="7" s="1"/>
  <c r="J399" i="5"/>
  <c r="M399" i="5"/>
  <c r="J493" i="5"/>
  <c r="E493" i="5"/>
  <c r="J492" i="5"/>
  <c r="E492" i="5"/>
  <c r="K489" i="5"/>
  <c r="F487" i="5"/>
  <c r="L5" i="6"/>
  <c r="L167" i="6"/>
  <c r="L184" i="6"/>
  <c r="J418" i="5"/>
  <c r="L231" i="5"/>
  <c r="K231" i="5"/>
  <c r="L484" i="5"/>
  <c r="M484" i="5"/>
  <c r="H475" i="5"/>
  <c r="P475" i="5"/>
  <c r="K475" i="5"/>
  <c r="J467" i="5"/>
  <c r="E467" i="5"/>
  <c r="E469" i="5"/>
  <c r="J469" i="5"/>
  <c r="H463" i="5"/>
  <c r="J416" i="5"/>
  <c r="J271" i="5"/>
  <c r="M271" i="5"/>
  <c r="M17" i="5"/>
  <c r="J17" i="5"/>
  <c r="J272" i="5"/>
  <c r="M272" i="5"/>
  <c r="B510" i="5"/>
  <c r="O222" i="5"/>
  <c r="P222" i="5" s="1"/>
  <c r="J179" i="5"/>
  <c r="J110" i="5"/>
  <c r="J74" i="5"/>
  <c r="M34" i="5"/>
  <c r="J34" i="5"/>
  <c r="J457" i="5"/>
  <c r="E457" i="5"/>
  <c r="F458" i="5"/>
  <c r="J650" i="9"/>
  <c r="J632" i="9"/>
  <c r="J617" i="9"/>
  <c r="M6" i="5"/>
  <c r="J6" i="5"/>
  <c r="I687" i="9"/>
  <c r="I637" i="9"/>
  <c r="I593" i="9"/>
  <c r="D690" i="9"/>
  <c r="D588" i="9"/>
  <c r="D536" i="9"/>
  <c r="D491" i="9"/>
  <c r="J240" i="5"/>
  <c r="K13" i="5"/>
  <c r="L13" i="5" s="1"/>
  <c r="C650" i="9"/>
  <c r="J635" i="9"/>
  <c r="C617" i="9"/>
  <c r="J606" i="9"/>
  <c r="J591" i="9"/>
  <c r="C532" i="9"/>
  <c r="I711" i="9"/>
  <c r="I704" i="9"/>
  <c r="I697" i="9"/>
  <c r="I690" i="9"/>
  <c r="H685" i="9"/>
  <c r="I679" i="9"/>
  <c r="H674" i="9"/>
  <c r="I668" i="9"/>
  <c r="H664" i="9"/>
  <c r="I657" i="9"/>
  <c r="D664" i="9"/>
  <c r="D645" i="9"/>
  <c r="D635" i="9"/>
  <c r="D620" i="9"/>
  <c r="C693" i="9"/>
  <c r="J641" i="9"/>
  <c r="J590" i="9"/>
  <c r="C574" i="9"/>
  <c r="C559" i="9"/>
  <c r="J545" i="9"/>
  <c r="F460" i="4"/>
  <c r="M12" i="5"/>
  <c r="J12" i="5"/>
  <c r="D677" i="9"/>
  <c r="D612" i="9"/>
  <c r="D581" i="9"/>
  <c r="D506" i="9"/>
  <c r="J712" i="9"/>
  <c r="C696" i="9"/>
  <c r="J683" i="9"/>
  <c r="J672" i="9"/>
  <c r="C663" i="9"/>
  <c r="C641" i="9"/>
  <c r="C626" i="9"/>
  <c r="C612" i="9"/>
  <c r="C597" i="9"/>
  <c r="J580" i="9"/>
  <c r="J565" i="9"/>
  <c r="H708" i="9"/>
  <c r="I702" i="9"/>
  <c r="H698" i="9"/>
  <c r="I692" i="9"/>
  <c r="H687" i="9"/>
  <c r="H680" i="9"/>
  <c r="I673" i="9"/>
  <c r="H666" i="9"/>
  <c r="I659" i="9"/>
  <c r="H654" i="9"/>
  <c r="H647" i="9"/>
  <c r="H640" i="9"/>
  <c r="I634" i="9"/>
  <c r="H629" i="9"/>
  <c r="I623" i="9"/>
  <c r="H618" i="9"/>
  <c r="I612" i="9"/>
  <c r="H608" i="9"/>
  <c r="I601" i="9"/>
  <c r="H596" i="9"/>
  <c r="H589" i="9"/>
  <c r="I581" i="9"/>
  <c r="D629" i="9"/>
  <c r="H592" i="9"/>
  <c r="D516" i="9"/>
  <c r="I621" i="9"/>
  <c r="J514" i="9"/>
  <c r="C482" i="9"/>
  <c r="C389" i="9"/>
  <c r="J385" i="9"/>
  <c r="I624" i="9"/>
  <c r="J579" i="9"/>
  <c r="I451" i="9"/>
  <c r="I425" i="9"/>
  <c r="I420" i="9"/>
  <c r="I382" i="9"/>
  <c r="J376" i="9"/>
  <c r="I376" i="9"/>
  <c r="H376" i="9"/>
  <c r="G376" i="9"/>
  <c r="F376" i="9"/>
  <c r="E376" i="9"/>
  <c r="D376" i="9"/>
  <c r="C376" i="9"/>
  <c r="B376" i="9"/>
  <c r="I543" i="9"/>
  <c r="C524" i="9"/>
  <c r="H449" i="9"/>
  <c r="I415" i="9"/>
  <c r="H504" i="9"/>
  <c r="I462" i="9"/>
  <c r="J424" i="9"/>
  <c r="H671" i="9"/>
  <c r="D561" i="9"/>
  <c r="I508" i="9"/>
  <c r="H490" i="9"/>
  <c r="B17" i="10"/>
  <c r="B19" i="10"/>
  <c r="B22" i="10" s="1"/>
  <c r="I503" i="9"/>
  <c r="C551" i="9"/>
  <c r="I523" i="9"/>
  <c r="D495" i="9"/>
  <c r="D470" i="9"/>
  <c r="I431" i="9"/>
  <c r="H572" i="9"/>
  <c r="I522" i="9"/>
  <c r="I491" i="9"/>
  <c r="J438" i="9"/>
  <c r="H403" i="9"/>
  <c r="D572" i="9"/>
  <c r="I550" i="9"/>
  <c r="I541" i="9"/>
  <c r="I433" i="9"/>
  <c r="J411" i="9"/>
  <c r="I588" i="9"/>
  <c r="H446" i="9"/>
  <c r="D596" i="9"/>
  <c r="D591" i="9"/>
  <c r="C572" i="9"/>
  <c r="H550" i="9"/>
  <c r="J536" i="9"/>
  <c r="H511" i="9"/>
  <c r="H477" i="9"/>
  <c r="I391" i="9"/>
  <c r="J476" i="9"/>
  <c r="H451" i="9"/>
  <c r="I402" i="9"/>
  <c r="J613" i="9"/>
  <c r="H535" i="9"/>
  <c r="C443" i="9"/>
  <c r="H502" i="9"/>
  <c r="I468" i="9"/>
  <c r="H526" i="9"/>
  <c r="C483" i="9"/>
  <c r="I443" i="9"/>
  <c r="I432" i="9"/>
  <c r="I427" i="9"/>
  <c r="H383" i="9"/>
  <c r="H569" i="9"/>
  <c r="H387" i="9"/>
  <c r="L367" i="6"/>
  <c r="L239" i="6"/>
  <c r="M378" i="5"/>
  <c r="J378" i="5"/>
  <c r="K236" i="5"/>
  <c r="L236" i="5" s="1"/>
  <c r="P473" i="5"/>
  <c r="C374" i="9"/>
  <c r="I373" i="9"/>
  <c r="I372" i="9"/>
  <c r="L329" i="6"/>
  <c r="L449" i="6"/>
  <c r="L438" i="6"/>
  <c r="L388" i="6"/>
  <c r="L333" i="6"/>
  <c r="L290" i="6"/>
  <c r="L397" i="6"/>
  <c r="L360" i="6"/>
  <c r="L277" i="6"/>
  <c r="L310" i="6"/>
  <c r="L412" i="6"/>
  <c r="L340" i="6"/>
  <c r="L293" i="6"/>
  <c r="L100" i="6"/>
  <c r="L67" i="6"/>
  <c r="L107" i="6"/>
  <c r="I455" i="6"/>
  <c r="L254" i="6"/>
  <c r="L181" i="6"/>
  <c r="L154" i="6"/>
  <c r="L187" i="6"/>
  <c r="L157" i="6"/>
  <c r="L85" i="6"/>
  <c r="L278" i="6"/>
  <c r="L300" i="6"/>
  <c r="L173" i="6"/>
  <c r="L114" i="6"/>
  <c r="L413" i="6"/>
  <c r="L169" i="6"/>
  <c r="L123" i="6"/>
  <c r="L97" i="6"/>
  <c r="L176" i="6"/>
  <c r="L128" i="6"/>
  <c r="L12" i="6"/>
  <c r="J454" i="6"/>
  <c r="J348" i="5"/>
  <c r="M348" i="5"/>
  <c r="K422" i="5"/>
  <c r="L422" i="5" s="1"/>
  <c r="L8" i="6"/>
  <c r="L9" i="6"/>
  <c r="J349" i="5"/>
  <c r="M349" i="5"/>
  <c r="L243" i="6"/>
  <c r="K414" i="5"/>
  <c r="L414" i="5" s="1"/>
  <c r="L54" i="6"/>
  <c r="J391" i="5"/>
  <c r="K346" i="5"/>
  <c r="L346" i="5" s="1"/>
  <c r="M386" i="5"/>
  <c r="J386" i="5"/>
  <c r="K322" i="5"/>
  <c r="L322" i="5" s="1"/>
  <c r="K295" i="5"/>
  <c r="L295" i="5" s="1"/>
  <c r="J330" i="5"/>
  <c r="M330" i="5"/>
  <c r="K262" i="5"/>
  <c r="L262" i="5" s="1"/>
  <c r="J255" i="5"/>
  <c r="M255" i="5"/>
  <c r="J405" i="5"/>
  <c r="M405" i="5"/>
  <c r="M395" i="5"/>
  <c r="J395" i="5"/>
  <c r="M431" i="5"/>
  <c r="J431" i="5"/>
  <c r="J375" i="5"/>
  <c r="J500" i="5"/>
  <c r="E500" i="5"/>
  <c r="K500" i="5"/>
  <c r="E454" i="6"/>
  <c r="J363" i="5"/>
  <c r="E457" i="6"/>
  <c r="L60" i="6"/>
  <c r="E484" i="5"/>
  <c r="J251" i="5"/>
  <c r="M251" i="5"/>
  <c r="J237" i="5"/>
  <c r="J169" i="5"/>
  <c r="M191" i="5"/>
  <c r="J191" i="5"/>
  <c r="K165" i="5"/>
  <c r="L165" i="5" s="1"/>
  <c r="K147" i="5"/>
  <c r="L147" i="5" s="1"/>
  <c r="K129" i="5"/>
  <c r="L129" i="5" s="1"/>
  <c r="E508" i="5"/>
  <c r="G7" i="7" s="1"/>
  <c r="K99" i="5"/>
  <c r="L99" i="5" s="1"/>
  <c r="K81" i="5"/>
  <c r="L81" i="5" s="1"/>
  <c r="L63" i="5"/>
  <c r="K63" i="5"/>
  <c r="K51" i="5"/>
  <c r="L51" i="5" s="1"/>
  <c r="J275" i="5"/>
  <c r="M275" i="5"/>
  <c r="K200" i="5"/>
  <c r="L200" i="5" s="1"/>
  <c r="H474" i="5"/>
  <c r="J477" i="5"/>
  <c r="E477" i="5"/>
  <c r="E471" i="5"/>
  <c r="J471" i="5"/>
  <c r="K469" i="5"/>
  <c r="P464" i="5"/>
  <c r="H465" i="5"/>
  <c r="M220" i="5"/>
  <c r="J220" i="5"/>
  <c r="M202" i="5"/>
  <c r="J202" i="5"/>
  <c r="L173" i="5"/>
  <c r="K173" i="5"/>
  <c r="J107" i="5"/>
  <c r="J71" i="5"/>
  <c r="L32" i="5"/>
  <c r="K32" i="5"/>
  <c r="M39" i="5"/>
  <c r="J39" i="5"/>
  <c r="J454" i="5"/>
  <c r="E454" i="5"/>
  <c r="C695" i="9"/>
  <c r="J682" i="9"/>
  <c r="C672" i="9"/>
  <c r="J661" i="9"/>
  <c r="J643" i="9"/>
  <c r="C625" i="9"/>
  <c r="I712" i="9"/>
  <c r="I669" i="9"/>
  <c r="I618" i="9"/>
  <c r="I572" i="9"/>
  <c r="I561" i="9"/>
  <c r="I551" i="9"/>
  <c r="I540" i="9"/>
  <c r="I530" i="9"/>
  <c r="I516" i="9"/>
  <c r="D665" i="9"/>
  <c r="D624" i="9"/>
  <c r="D543" i="9"/>
  <c r="D453" i="9"/>
  <c r="D440" i="9"/>
  <c r="D425" i="9"/>
  <c r="D408" i="9"/>
  <c r="C711" i="9"/>
  <c r="C694" i="9"/>
  <c r="J681" i="9"/>
  <c r="C671" i="9"/>
  <c r="J660" i="9"/>
  <c r="C628" i="9"/>
  <c r="C599" i="9"/>
  <c r="C585" i="9"/>
  <c r="J570" i="9"/>
  <c r="C543" i="9"/>
  <c r="J158" i="5"/>
  <c r="C710" i="9"/>
  <c r="C652" i="9"/>
  <c r="J626" i="9"/>
  <c r="J601" i="9"/>
  <c r="J538" i="9"/>
  <c r="J521" i="9"/>
  <c r="D456" i="4"/>
  <c r="I468" i="4"/>
  <c r="J170" i="5"/>
  <c r="G460" i="4"/>
  <c r="D638" i="9"/>
  <c r="D562" i="9"/>
  <c r="D482" i="9"/>
  <c r="D451" i="9"/>
  <c r="D430" i="9"/>
  <c r="D418" i="9"/>
  <c r="J21" i="5"/>
  <c r="J654" i="9"/>
  <c r="C590" i="9"/>
  <c r="C573" i="9"/>
  <c r="H688" i="9"/>
  <c r="H607" i="9"/>
  <c r="I527" i="9"/>
  <c r="H415" i="9"/>
  <c r="J404" i="9"/>
  <c r="C2038" i="9"/>
  <c r="C2034" i="9"/>
  <c r="C2030" i="9"/>
  <c r="C2026" i="9"/>
  <c r="C2022" i="9"/>
  <c r="B2038" i="9"/>
  <c r="B2034" i="9"/>
  <c r="B2030" i="9"/>
  <c r="B2026" i="9"/>
  <c r="B2022" i="9"/>
  <c r="B2042" i="9"/>
  <c r="B2043" i="9" s="1"/>
  <c r="C2037" i="9"/>
  <c r="C2033" i="9"/>
  <c r="C2029" i="9"/>
  <c r="C2025" i="9"/>
  <c r="B2037" i="9"/>
  <c r="D126" i="12" s="1"/>
  <c r="F126" i="12" s="1"/>
  <c r="G126" i="12" s="1"/>
  <c r="B2033" i="9"/>
  <c r="B2029" i="9"/>
  <c r="B2025" i="9"/>
  <c r="C2040" i="9"/>
  <c r="C2036" i="9"/>
  <c r="C2032" i="9"/>
  <c r="C2028" i="9"/>
  <c r="C2024" i="9"/>
  <c r="B2040" i="9"/>
  <c r="B2036" i="9"/>
  <c r="B2032" i="9"/>
  <c r="B2028" i="9"/>
  <c r="B2024" i="9"/>
  <c r="C2039" i="9"/>
  <c r="C2035" i="9"/>
  <c r="C2031" i="9"/>
  <c r="C2027" i="9"/>
  <c r="C2023" i="9"/>
  <c r="B2027" i="9"/>
  <c r="B2035" i="9"/>
  <c r="B2023" i="9"/>
  <c r="B2031" i="9"/>
  <c r="B2039" i="9"/>
  <c r="H690" i="9"/>
  <c r="H612" i="9"/>
  <c r="H563" i="9"/>
  <c r="H553" i="9"/>
  <c r="H524" i="9"/>
  <c r="C509" i="9"/>
  <c r="C493" i="9"/>
  <c r="C487" i="9"/>
  <c r="D460" i="9"/>
  <c r="D424" i="9"/>
  <c r="H692" i="9"/>
  <c r="D524" i="9"/>
  <c r="I502" i="9"/>
  <c r="J491" i="9"/>
  <c r="C481" i="9"/>
  <c r="H388" i="9"/>
  <c r="I582" i="9"/>
  <c r="I534" i="9"/>
  <c r="J500" i="9"/>
  <c r="J484" i="9"/>
  <c r="I476" i="9"/>
  <c r="H440" i="9"/>
  <c r="I424" i="9"/>
  <c r="H408" i="9"/>
  <c r="D397" i="9"/>
  <c r="D385" i="9"/>
  <c r="I547" i="9"/>
  <c r="H543" i="9"/>
  <c r="H454" i="9"/>
  <c r="H428" i="9"/>
  <c r="J407" i="9"/>
  <c r="B9" i="10"/>
  <c r="C5" i="10"/>
  <c r="C6" i="10"/>
  <c r="H649" i="9"/>
  <c r="H508" i="9"/>
  <c r="D500" i="9"/>
  <c r="C423" i="9"/>
  <c r="H699" i="9"/>
  <c r="H636" i="9"/>
  <c r="J557" i="9"/>
  <c r="J548" i="9"/>
  <c r="D528" i="9"/>
  <c r="C470" i="9"/>
  <c r="C464" i="9"/>
  <c r="C458" i="9"/>
  <c r="J443" i="9"/>
  <c r="I477" i="9"/>
  <c r="I399" i="9"/>
  <c r="H594" i="9"/>
  <c r="H557" i="9"/>
  <c r="C505" i="9"/>
  <c r="J483" i="9"/>
  <c r="J462" i="9"/>
  <c r="J452" i="9"/>
  <c r="H512" i="9"/>
  <c r="I411" i="9"/>
  <c r="H643" i="9"/>
  <c r="J603" i="9"/>
  <c r="H488" i="9"/>
  <c r="H421" i="9"/>
  <c r="I407" i="9"/>
  <c r="H648" i="9"/>
  <c r="C608" i="9"/>
  <c r="H546" i="9"/>
  <c r="D511" i="9"/>
  <c r="D483" i="9"/>
  <c r="D468" i="9"/>
  <c r="D452" i="9"/>
  <c r="D437" i="9"/>
  <c r="C427" i="9"/>
  <c r="I403" i="9"/>
  <c r="I417" i="9"/>
  <c r="D712" i="9"/>
  <c r="I653" i="9"/>
  <c r="C611" i="9"/>
  <c r="D556" i="9"/>
  <c r="J502" i="9"/>
  <c r="I489" i="9"/>
  <c r="C477" i="9"/>
  <c r="C462" i="9"/>
  <c r="J456" i="9"/>
  <c r="J451" i="9"/>
  <c r="C417" i="9"/>
  <c r="C411" i="9"/>
  <c r="H405" i="9"/>
  <c r="H686" i="9"/>
  <c r="D584" i="9"/>
  <c r="I390" i="9"/>
  <c r="H562" i="9"/>
  <c r="H412" i="9"/>
  <c r="H443" i="9"/>
  <c r="H427" i="9"/>
  <c r="L368" i="6"/>
  <c r="L318" i="6"/>
  <c r="L305" i="6"/>
  <c r="J483" i="5"/>
  <c r="E483" i="5"/>
  <c r="M368" i="5"/>
  <c r="J368" i="5"/>
  <c r="C378" i="9"/>
  <c r="L323" i="6"/>
  <c r="L434" i="6"/>
  <c r="L386" i="6"/>
  <c r="L350" i="6"/>
  <c r="L401" i="6"/>
  <c r="L382" i="6"/>
  <c r="L319" i="6"/>
  <c r="Q455" i="6"/>
  <c r="L296" i="6"/>
  <c r="L274" i="6"/>
  <c r="L244" i="6"/>
  <c r="L190" i="6"/>
  <c r="L303" i="6"/>
  <c r="L441" i="6"/>
  <c r="L408" i="6"/>
  <c r="L406" i="6"/>
  <c r="L400" i="6"/>
  <c r="L345" i="6"/>
  <c r="L38" i="6"/>
  <c r="L11" i="6"/>
  <c r="L183" i="6"/>
  <c r="F456" i="6"/>
  <c r="D73" i="12" s="1"/>
  <c r="F73" i="12" s="1"/>
  <c r="G73" i="12" s="1"/>
  <c r="L77" i="6"/>
  <c r="L42" i="6"/>
  <c r="L208" i="6"/>
  <c r="L171" i="6"/>
  <c r="L82" i="6"/>
  <c r="L29" i="6"/>
  <c r="L141" i="6"/>
  <c r="L115" i="6"/>
  <c r="L22" i="6"/>
  <c r="L242" i="6"/>
  <c r="L111" i="6"/>
  <c r="L223" i="6"/>
  <c r="N454" i="6"/>
  <c r="L203" i="6"/>
  <c r="L266" i="6"/>
  <c r="L170" i="6"/>
  <c r="L71" i="6"/>
  <c r="I454" i="6"/>
  <c r="J342" i="5"/>
  <c r="M342" i="5"/>
  <c r="K367" i="5"/>
  <c r="L367" i="5" s="1"/>
  <c r="L210" i="6"/>
  <c r="K358" i="5"/>
  <c r="L358" i="5" s="1"/>
  <c r="J261" i="5"/>
  <c r="M261" i="5"/>
  <c r="J411" i="5"/>
  <c r="M411" i="5"/>
  <c r="J489" i="5"/>
  <c r="E489" i="5"/>
  <c r="P478" i="5"/>
  <c r="L279" i="6"/>
  <c r="J499" i="5"/>
  <c r="E499" i="5"/>
  <c r="L376" i="5"/>
  <c r="K376" i="5"/>
  <c r="K448" i="5"/>
  <c r="L448" i="5" s="1"/>
  <c r="K183" i="5"/>
  <c r="L183" i="5" s="1"/>
  <c r="J408" i="5"/>
  <c r="H473" i="5"/>
  <c r="J266" i="5"/>
  <c r="M266" i="5"/>
  <c r="K219" i="5"/>
  <c r="L219" i="5" s="1"/>
  <c r="M186" i="5"/>
  <c r="J186" i="5"/>
  <c r="J253" i="5"/>
  <c r="M253" i="5"/>
  <c r="M11" i="5"/>
  <c r="J11" i="5"/>
  <c r="J201" i="5"/>
  <c r="J263" i="5"/>
  <c r="M263" i="5"/>
  <c r="M210" i="5"/>
  <c r="J210" i="5"/>
  <c r="J167" i="5"/>
  <c r="K104" i="5"/>
  <c r="L104" i="5" s="1"/>
  <c r="K68" i="5"/>
  <c r="L68" i="5" s="1"/>
  <c r="I695" i="9"/>
  <c r="I647" i="9"/>
  <c r="I600" i="9"/>
  <c r="D704" i="9"/>
  <c r="D682" i="9"/>
  <c r="D643" i="9"/>
  <c r="D595" i="9"/>
  <c r="D463" i="9"/>
  <c r="J645" i="9"/>
  <c r="C610" i="9"/>
  <c r="C579" i="9"/>
  <c r="J563" i="9"/>
  <c r="D710" i="9"/>
  <c r="D703" i="9"/>
  <c r="D678" i="9"/>
  <c r="D670" i="9"/>
  <c r="J699" i="9"/>
  <c r="C670" i="9"/>
  <c r="C656" i="9"/>
  <c r="J644" i="9"/>
  <c r="C635" i="9"/>
  <c r="J619" i="9"/>
  <c r="C594" i="9"/>
  <c r="J583" i="9"/>
  <c r="J569" i="9"/>
  <c r="J555" i="9"/>
  <c r="J531" i="9"/>
  <c r="J389" i="5"/>
  <c r="D663" i="9"/>
  <c r="D655" i="9"/>
  <c r="D619" i="9"/>
  <c r="D590" i="9"/>
  <c r="D545" i="9"/>
  <c r="D538" i="9"/>
  <c r="D531" i="9"/>
  <c r="D521" i="9"/>
  <c r="D513" i="9"/>
  <c r="D469" i="9"/>
  <c r="K241" i="5"/>
  <c r="L241" i="5" s="1"/>
  <c r="C699" i="9"/>
  <c r="J687" i="9"/>
  <c r="J676" i="9"/>
  <c r="J637" i="9"/>
  <c r="J622" i="9"/>
  <c r="J608" i="9"/>
  <c r="C583" i="9"/>
  <c r="H597" i="9"/>
  <c r="H547" i="9"/>
  <c r="H536" i="9"/>
  <c r="C28" i="11"/>
  <c r="B28" i="11"/>
  <c r="D148" i="12" s="1"/>
  <c r="F148" i="12" s="1"/>
  <c r="G148" i="12" s="1"/>
  <c r="H476" i="9"/>
  <c r="H445" i="9"/>
  <c r="I585" i="9"/>
  <c r="H542" i="9"/>
  <c r="D466" i="9"/>
  <c r="C446" i="9"/>
  <c r="C410" i="9"/>
  <c r="C401" i="9"/>
  <c r="H393" i="9"/>
  <c r="J551" i="9"/>
  <c r="C534" i="9"/>
  <c r="I510" i="9"/>
  <c r="J475" i="9"/>
  <c r="C445" i="9"/>
  <c r="J414" i="9"/>
  <c r="J408" i="9"/>
  <c r="H397" i="9"/>
  <c r="H642" i="9"/>
  <c r="J495" i="9"/>
  <c r="J490" i="9"/>
  <c r="H471" i="9"/>
  <c r="J464" i="9"/>
  <c r="J433" i="9"/>
  <c r="D551" i="9"/>
  <c r="D530" i="9"/>
  <c r="J505" i="9"/>
  <c r="H479" i="9"/>
  <c r="H439" i="9"/>
  <c r="C397" i="9"/>
  <c r="C16" i="10"/>
  <c r="B10" i="10"/>
  <c r="B11" i="10"/>
  <c r="J415" i="9"/>
  <c r="I579" i="9"/>
  <c r="C530" i="9"/>
  <c r="C480" i="9"/>
  <c r="C459" i="9"/>
  <c r="C440" i="9"/>
  <c r="D433" i="9"/>
  <c r="H407" i="9"/>
  <c r="J537" i="9"/>
  <c r="I496" i="9"/>
  <c r="C479" i="9"/>
  <c r="C474" i="9"/>
  <c r="I449" i="9"/>
  <c r="I595" i="9"/>
  <c r="J33" i="5"/>
  <c r="H641" i="9"/>
  <c r="H602" i="9"/>
  <c r="J511" i="9"/>
  <c r="I500" i="9"/>
  <c r="J442" i="9"/>
  <c r="J421" i="9"/>
  <c r="J402" i="9"/>
  <c r="C396" i="9"/>
  <c r="C391" i="9"/>
  <c r="D593" i="9"/>
  <c r="H587" i="9"/>
  <c r="H539" i="9"/>
  <c r="H462" i="9"/>
  <c r="H447" i="9"/>
  <c r="I396" i="9"/>
  <c r="H627" i="9"/>
  <c r="H510" i="9"/>
  <c r="D662" i="9"/>
  <c r="C589" i="9"/>
  <c r="H556" i="9"/>
  <c r="D518" i="9"/>
  <c r="C418" i="9"/>
  <c r="D411" i="9"/>
  <c r="D395" i="9"/>
  <c r="I549" i="9"/>
  <c r="I571" i="9"/>
  <c r="D546" i="9"/>
  <c r="J510" i="9"/>
  <c r="C494" i="9"/>
  <c r="C468" i="9"/>
  <c r="C437" i="9"/>
  <c r="C421" i="9"/>
  <c r="C399" i="9"/>
  <c r="J394" i="9"/>
  <c r="C390" i="9"/>
  <c r="L448" i="6"/>
  <c r="L317" i="6"/>
  <c r="L445" i="6"/>
  <c r="B142" i="8"/>
  <c r="L344" i="6"/>
  <c r="L327" i="6"/>
  <c r="L403" i="6"/>
  <c r="L366" i="6"/>
  <c r="E458" i="6"/>
  <c r="Q454" i="6"/>
  <c r="L389" i="6"/>
  <c r="L391" i="6"/>
  <c r="L354" i="6"/>
  <c r="L271" i="6"/>
  <c r="L191" i="6"/>
  <c r="L358" i="6"/>
  <c r="L379" i="6"/>
  <c r="L342" i="6"/>
  <c r="L439" i="6"/>
  <c r="L402" i="6"/>
  <c r="L330" i="6"/>
  <c r="L351" i="6"/>
  <c r="L215" i="6"/>
  <c r="L163" i="6"/>
  <c r="L142" i="6"/>
  <c r="L21" i="6"/>
  <c r="L245" i="6"/>
  <c r="L112" i="6"/>
  <c r="L10" i="6"/>
  <c r="L238" i="6"/>
  <c r="L220" i="6"/>
  <c r="L73" i="6"/>
  <c r="L52" i="6"/>
  <c r="L45" i="6"/>
  <c r="L101" i="6"/>
  <c r="L201" i="6"/>
  <c r="L116" i="6"/>
  <c r="L40" i="6"/>
  <c r="L148" i="6"/>
  <c r="L76" i="6"/>
  <c r="J336" i="5"/>
  <c r="M336" i="5"/>
  <c r="K444" i="5"/>
  <c r="L444" i="5" s="1"/>
  <c r="K278" i="5"/>
  <c r="L278" i="5" s="1"/>
  <c r="J438" i="5"/>
  <c r="K390" i="5"/>
  <c r="L390" i="5" s="1"/>
  <c r="J347" i="5"/>
  <c r="M347" i="5"/>
  <c r="J335" i="5"/>
  <c r="M335" i="5"/>
  <c r="L121" i="6"/>
  <c r="L43" i="6"/>
  <c r="K420" i="5"/>
  <c r="L420" i="5" s="1"/>
  <c r="K384" i="5"/>
  <c r="L384" i="5" s="1"/>
  <c r="J387" i="5"/>
  <c r="M387" i="5"/>
  <c r="K280" i="5"/>
  <c r="L280" i="5" s="1"/>
  <c r="J279" i="5"/>
  <c r="M279" i="5"/>
  <c r="K274" i="5"/>
  <c r="L274" i="5" s="1"/>
  <c r="J267" i="5"/>
  <c r="M267" i="5"/>
  <c r="J417" i="5"/>
  <c r="M417" i="5"/>
  <c r="K392" i="5"/>
  <c r="L392" i="5" s="1"/>
  <c r="J401" i="5"/>
  <c r="M401" i="5"/>
  <c r="M437" i="5"/>
  <c r="J437" i="5"/>
  <c r="F493" i="5"/>
  <c r="P484" i="5"/>
  <c r="N511" i="5" s="1"/>
  <c r="O511" i="5" s="1"/>
  <c r="J482" i="5"/>
  <c r="E482" i="5"/>
  <c r="F482" i="5"/>
  <c r="L267" i="6"/>
  <c r="J501" i="5"/>
  <c r="E501" i="5"/>
  <c r="F500" i="5"/>
  <c r="F457" i="6"/>
  <c r="D76" i="12" s="1"/>
  <c r="F76" i="12" s="1"/>
  <c r="G76" i="12" s="1"/>
  <c r="J412" i="5"/>
  <c r="K427" i="5"/>
  <c r="L427" i="5" s="1"/>
  <c r="M190" i="5"/>
  <c r="J190" i="5"/>
  <c r="K189" i="5"/>
  <c r="L189" i="5" s="1"/>
  <c r="M174" i="5"/>
  <c r="J174" i="5"/>
  <c r="M162" i="5"/>
  <c r="J162" i="5"/>
  <c r="M150" i="5"/>
  <c r="J150" i="5"/>
  <c r="M138" i="5"/>
  <c r="J138" i="5"/>
  <c r="M126" i="5"/>
  <c r="J126" i="5"/>
  <c r="M114" i="5"/>
  <c r="J114" i="5"/>
  <c r="M102" i="5"/>
  <c r="J102" i="5"/>
  <c r="M90" i="5"/>
  <c r="J90" i="5"/>
  <c r="M78" i="5"/>
  <c r="J78" i="5"/>
  <c r="M66" i="5"/>
  <c r="J66" i="5"/>
  <c r="M54" i="5"/>
  <c r="J54" i="5"/>
  <c r="M42" i="5"/>
  <c r="J42" i="5"/>
  <c r="M203" i="5"/>
  <c r="J203" i="5"/>
  <c r="J163" i="5"/>
  <c r="J145" i="5"/>
  <c r="J127" i="5"/>
  <c r="J97" i="5"/>
  <c r="J79" i="5"/>
  <c r="J61" i="5"/>
  <c r="D507" i="5"/>
  <c r="D20" i="12" s="1"/>
  <c r="F20" i="12" s="1"/>
  <c r="G20" i="12" s="1"/>
  <c r="M59" i="5"/>
  <c r="J49" i="5"/>
  <c r="J277" i="5"/>
  <c r="M277" i="5"/>
  <c r="M192" i="5"/>
  <c r="J192" i="5"/>
  <c r="J473" i="5"/>
  <c r="E473" i="5"/>
  <c r="K473" i="5"/>
  <c r="P474" i="5"/>
  <c r="H467" i="5"/>
  <c r="H470" i="5"/>
  <c r="H461" i="5"/>
  <c r="E464" i="5"/>
  <c r="J464" i="5"/>
  <c r="P461" i="5"/>
  <c r="B513" i="5"/>
  <c r="O392" i="5"/>
  <c r="P392" i="5" s="1"/>
  <c r="K207" i="5"/>
  <c r="L207" i="5" s="1"/>
  <c r="M194" i="5"/>
  <c r="J194" i="5"/>
  <c r="J197" i="5"/>
  <c r="J161" i="5"/>
  <c r="J101" i="5"/>
  <c r="J65" i="5"/>
  <c r="M28" i="5"/>
  <c r="J28" i="5"/>
  <c r="E458" i="5"/>
  <c r="J458" i="5"/>
  <c r="C698" i="9"/>
  <c r="J686" i="9"/>
  <c r="C676" i="9"/>
  <c r="J665" i="9"/>
  <c r="C654" i="9"/>
  <c r="J636" i="9"/>
  <c r="J621" i="9"/>
  <c r="I676" i="9"/>
  <c r="I625" i="9"/>
  <c r="I580" i="9"/>
  <c r="D657" i="9"/>
  <c r="D650" i="9"/>
  <c r="D632" i="9"/>
  <c r="D613" i="9"/>
  <c r="D564" i="9"/>
  <c r="D550" i="9"/>
  <c r="D473" i="9"/>
  <c r="J700" i="9"/>
  <c r="J685" i="9"/>
  <c r="C675" i="9"/>
  <c r="J664" i="9"/>
  <c r="C653" i="9"/>
  <c r="J639" i="9"/>
  <c r="C621" i="9"/>
  <c r="J594" i="9"/>
  <c r="J556" i="9"/>
  <c r="C536" i="9"/>
  <c r="J140" i="5"/>
  <c r="D693" i="9"/>
  <c r="D685" i="9"/>
  <c r="C2150" i="9"/>
  <c r="B2150" i="9"/>
  <c r="C2149" i="9"/>
  <c r="B2153" i="9"/>
  <c r="B2154" i="9" s="1"/>
  <c r="D130" i="12" s="1"/>
  <c r="F130" i="12" s="1"/>
  <c r="G130" i="12" s="1"/>
  <c r="B2149" i="9"/>
  <c r="C2152" i="9"/>
  <c r="C2148" i="9"/>
  <c r="B2152" i="9"/>
  <c r="B2148" i="9"/>
  <c r="C2151" i="9"/>
  <c r="C2147" i="9"/>
  <c r="C2163" i="9"/>
  <c r="B2147" i="9"/>
  <c r="D129" i="12" s="1"/>
  <c r="F129" i="12" s="1"/>
  <c r="G129" i="12" s="1"/>
  <c r="C2159" i="9"/>
  <c r="B2151" i="9"/>
  <c r="C674" i="9"/>
  <c r="C660" i="9"/>
  <c r="J612" i="9"/>
  <c r="C578" i="9"/>
  <c r="C563" i="9"/>
  <c r="J549" i="9"/>
  <c r="J9" i="5"/>
  <c r="D459" i="4"/>
  <c r="I707" i="9"/>
  <c r="I693" i="9"/>
  <c r="I681" i="9"/>
  <c r="I670" i="9"/>
  <c r="I660" i="9"/>
  <c r="I649" i="9"/>
  <c r="I639" i="9"/>
  <c r="I627" i="9"/>
  <c r="I606" i="9"/>
  <c r="I594" i="9"/>
  <c r="J152" i="5"/>
  <c r="D506" i="5"/>
  <c r="D13" i="12" s="1"/>
  <c r="F13" i="12" s="1"/>
  <c r="G13" i="12" s="1"/>
  <c r="M5" i="5"/>
  <c r="J5" i="5"/>
  <c r="D601" i="9"/>
  <c r="D569" i="9"/>
  <c r="J647" i="9"/>
  <c r="C630" i="9"/>
  <c r="C615" i="9"/>
  <c r="C601" i="9"/>
  <c r="J568" i="9"/>
  <c r="H709" i="9"/>
  <c r="H657" i="9"/>
  <c r="I610" i="9"/>
  <c r="H583" i="9"/>
  <c r="D544" i="9"/>
  <c r="H635" i="9"/>
  <c r="H615" i="9"/>
  <c r="D565" i="9"/>
  <c r="C516" i="9"/>
  <c r="D472" i="9"/>
  <c r="C451" i="9"/>
  <c r="C430" i="9"/>
  <c r="J388" i="9"/>
  <c r="H639" i="9"/>
  <c r="H581" i="9"/>
  <c r="D542" i="9"/>
  <c r="I517" i="9"/>
  <c r="C497" i="9"/>
  <c r="I467" i="9"/>
  <c r="I456" i="9"/>
  <c r="C450" i="9"/>
  <c r="I436" i="9"/>
  <c r="C424" i="9"/>
  <c r="C419" i="9"/>
  <c r="C408" i="9"/>
  <c r="I455" i="9"/>
  <c r="J448" i="9"/>
  <c r="H414" i="9"/>
  <c r="I518" i="9"/>
  <c r="I457" i="9"/>
  <c r="H416" i="9"/>
  <c r="D680" i="9"/>
  <c r="J539" i="9"/>
  <c r="C523" i="9"/>
  <c r="J513" i="9"/>
  <c r="C20" i="10"/>
  <c r="C17" i="10"/>
  <c r="H634" i="9"/>
  <c r="C561" i="9"/>
  <c r="I514" i="9"/>
  <c r="H505" i="9"/>
  <c r="D474" i="9"/>
  <c r="H652" i="9"/>
  <c r="C500" i="9"/>
  <c r="I485" i="9"/>
  <c r="I429" i="9"/>
  <c r="I423" i="9"/>
  <c r="I562" i="9"/>
  <c r="D520" i="9"/>
  <c r="I490" i="9"/>
  <c r="I470" i="9"/>
  <c r="J431" i="9"/>
  <c r="H533" i="9"/>
  <c r="H441" i="9"/>
  <c r="D687" i="9"/>
  <c r="I646" i="9"/>
  <c r="J599" i="9"/>
  <c r="I559" i="9"/>
  <c r="H518" i="9"/>
  <c r="J466" i="9"/>
  <c r="J445" i="9"/>
  <c r="D618" i="9"/>
  <c r="H568" i="9"/>
  <c r="C499" i="9"/>
  <c r="C473" i="9"/>
  <c r="D457" i="9"/>
  <c r="D387" i="9"/>
  <c r="C586" i="9"/>
  <c r="H461" i="9"/>
  <c r="H684" i="9"/>
  <c r="H567" i="9"/>
  <c r="I504" i="9"/>
  <c r="C442" i="9"/>
  <c r="C431" i="9"/>
  <c r="C426" i="9"/>
  <c r="H425" i="9"/>
  <c r="H577" i="9"/>
  <c r="H552" i="9"/>
  <c r="H541" i="9"/>
  <c r="H432" i="9"/>
  <c r="B2047" i="9"/>
  <c r="B2053" i="9"/>
  <c r="B2055" i="9"/>
  <c r="L430" i="6"/>
  <c r="L311" i="6"/>
  <c r="C73" i="8"/>
  <c r="C151" i="8"/>
  <c r="C153" i="8"/>
  <c r="C142" i="8"/>
  <c r="C141" i="8"/>
  <c r="C140" i="8"/>
  <c r="C152" i="8"/>
  <c r="C150" i="8"/>
  <c r="C145" i="8"/>
  <c r="L428" i="6"/>
  <c r="L380" i="6"/>
  <c r="L338" i="6"/>
  <c r="L415" i="6"/>
  <c r="L378" i="6"/>
  <c r="L399" i="6"/>
  <c r="L268" i="6"/>
  <c r="I458" i="6"/>
  <c r="L431" i="6"/>
  <c r="L301" i="6"/>
  <c r="L437" i="6"/>
  <c r="L346" i="6"/>
  <c r="L396" i="6"/>
  <c r="L316" i="6"/>
  <c r="L322" i="6"/>
  <c r="L117" i="6"/>
  <c r="L91" i="6"/>
  <c r="L64" i="6"/>
  <c r="L68" i="6"/>
  <c r="L204" i="6"/>
  <c r="L145" i="6"/>
  <c r="L217" i="6"/>
  <c r="L134" i="6"/>
  <c r="N456" i="6"/>
  <c r="J357" i="5"/>
  <c r="M357" i="5"/>
  <c r="L230" i="6"/>
  <c r="L104" i="6"/>
  <c r="L7" i="6"/>
  <c r="N459" i="6"/>
  <c r="L83" i="6"/>
  <c r="L257" i="6"/>
  <c r="I457" i="6"/>
  <c r="L62" i="6"/>
  <c r="L37" i="6"/>
  <c r="K334" i="5"/>
  <c r="L334" i="5" s="1"/>
  <c r="K442" i="5"/>
  <c r="L442" i="5" s="1"/>
  <c r="L248" i="5"/>
  <c r="K248" i="5"/>
  <c r="L436" i="5"/>
  <c r="K436" i="5"/>
  <c r="K432" i="5"/>
  <c r="L432" i="5" s="1"/>
  <c r="J370" i="5"/>
  <c r="D512" i="5"/>
  <c r="D55" i="12" s="1"/>
  <c r="F55" i="12" s="1"/>
  <c r="G55" i="12" s="1"/>
  <c r="M334" i="5"/>
  <c r="J359" i="5"/>
  <c r="M359" i="5"/>
  <c r="K304" i="5"/>
  <c r="L304" i="5" s="1"/>
  <c r="K292" i="5"/>
  <c r="L292" i="5" s="1"/>
  <c r="E511" i="5"/>
  <c r="G10" i="7" s="1"/>
  <c r="J285" i="5"/>
  <c r="M285" i="5"/>
  <c r="K244" i="5"/>
  <c r="L244" i="5" s="1"/>
  <c r="J273" i="5"/>
  <c r="M273" i="5"/>
  <c r="J423" i="5"/>
  <c r="M423" i="5"/>
  <c r="F495" i="5"/>
  <c r="H494" i="5"/>
  <c r="J486" i="5"/>
  <c r="E486" i="5"/>
  <c r="F488" i="5"/>
  <c r="P482" i="5"/>
  <c r="L255" i="6"/>
  <c r="H501" i="5"/>
  <c r="F498" i="5"/>
  <c r="J364" i="5"/>
  <c r="L276" i="6"/>
  <c r="J424" i="5"/>
  <c r="K185" i="5"/>
  <c r="L185" i="5" s="1"/>
  <c r="B508" i="5"/>
  <c r="O113" i="5"/>
  <c r="P113" i="5" s="1"/>
  <c r="K224" i="5"/>
  <c r="L224" i="5" s="1"/>
  <c r="J181" i="5"/>
  <c r="M209" i="5"/>
  <c r="J209" i="5"/>
  <c r="F477" i="5"/>
  <c r="F475" i="5"/>
  <c r="H471" i="5"/>
  <c r="P462" i="5"/>
  <c r="F465" i="5"/>
  <c r="J257" i="5"/>
  <c r="M257" i="5"/>
  <c r="J243" i="5"/>
  <c r="J193" i="5"/>
  <c r="J446" i="5"/>
  <c r="J254" i="5"/>
  <c r="M254" i="5"/>
  <c r="J155" i="5"/>
  <c r="J98" i="5"/>
  <c r="J62" i="5"/>
  <c r="K26" i="5"/>
  <c r="L26" i="5" s="1"/>
  <c r="J182" i="5"/>
  <c r="F459" i="5"/>
  <c r="N158" i="8"/>
  <c r="C214" i="8" s="1"/>
  <c r="B220" i="8"/>
  <c r="D117" i="12" s="1"/>
  <c r="F117" i="12" s="1"/>
  <c r="G117" i="12" s="1"/>
  <c r="B215" i="8"/>
  <c r="B214" i="8"/>
  <c r="B216" i="8"/>
  <c r="C647" i="9"/>
  <c r="C629" i="9"/>
  <c r="I701" i="9"/>
  <c r="I658" i="9"/>
  <c r="I608" i="9"/>
  <c r="D675" i="9"/>
  <c r="D603" i="9"/>
  <c r="D575" i="9"/>
  <c r="D449" i="9"/>
  <c r="D436" i="9"/>
  <c r="D422" i="9"/>
  <c r="D404" i="9"/>
  <c r="C632" i="9"/>
  <c r="C603" i="9"/>
  <c r="C588" i="9"/>
  <c r="J574" i="9"/>
  <c r="C547" i="9"/>
  <c r="H710" i="9"/>
  <c r="H703" i="9"/>
  <c r="I694" i="9"/>
  <c r="H689" i="9"/>
  <c r="I682" i="9"/>
  <c r="H678" i="9"/>
  <c r="I671" i="9"/>
  <c r="H667" i="9"/>
  <c r="I661" i="9"/>
  <c r="H656" i="9"/>
  <c r="J195" i="5"/>
  <c r="D652" i="9"/>
  <c r="D642" i="9"/>
  <c r="D631" i="9"/>
  <c r="D616" i="9"/>
  <c r="D455" i="4"/>
  <c r="D460" i="4" s="1"/>
  <c r="J702" i="9"/>
  <c r="J684" i="9"/>
  <c r="C678" i="9"/>
  <c r="C664" i="9"/>
  <c r="J648" i="9"/>
  <c r="C639" i="9"/>
  <c r="J630" i="9"/>
  <c r="J605" i="9"/>
  <c r="C587" i="9"/>
  <c r="C542" i="9"/>
  <c r="J525" i="9"/>
  <c r="E460" i="4"/>
  <c r="D644" i="9"/>
  <c r="D626" i="9"/>
  <c r="D552" i="9"/>
  <c r="D496" i="9"/>
  <c r="D489" i="9"/>
  <c r="D441" i="9"/>
  <c r="D427" i="9"/>
  <c r="D414" i="9"/>
  <c r="J221" i="5"/>
  <c r="C709" i="9"/>
  <c r="C706" i="9"/>
  <c r="C702" i="9"/>
  <c r="J691" i="9"/>
  <c r="J680" i="9"/>
  <c r="J669" i="9"/>
  <c r="J658" i="9"/>
  <c r="C577" i="9"/>
  <c r="C562" i="9"/>
  <c r="H712" i="9"/>
  <c r="I706" i="9"/>
  <c r="H701" i="9"/>
  <c r="I696" i="9"/>
  <c r="H691" i="9"/>
  <c r="I684" i="9"/>
  <c r="I677" i="9"/>
  <c r="H672" i="9"/>
  <c r="I663" i="9"/>
  <c r="H658" i="9"/>
  <c r="I651" i="9"/>
  <c r="I644" i="9"/>
  <c r="I638" i="9"/>
  <c r="H633" i="9"/>
  <c r="I626" i="9"/>
  <c r="H622" i="9"/>
  <c r="I615" i="9"/>
  <c r="H611" i="9"/>
  <c r="I605" i="9"/>
  <c r="H600" i="9"/>
  <c r="H593" i="9"/>
  <c r="H586" i="9"/>
  <c r="H580" i="9"/>
  <c r="H601" i="9"/>
  <c r="H555" i="9"/>
  <c r="D533" i="9"/>
  <c r="H497" i="9"/>
  <c r="H486" i="9"/>
  <c r="H527" i="9"/>
  <c r="D481" i="9"/>
  <c r="C416" i="9"/>
  <c r="K24" i="5"/>
  <c r="L24" i="5" s="1"/>
  <c r="D563" i="9"/>
  <c r="C555" i="9"/>
  <c r="I493" i="9"/>
  <c r="J485" i="9"/>
  <c r="I461" i="9"/>
  <c r="I430" i="9"/>
  <c r="H626" i="9"/>
  <c r="H576" i="9"/>
  <c r="D514" i="9"/>
  <c r="D507" i="9"/>
  <c r="I481" i="9"/>
  <c r="J439" i="9"/>
  <c r="H423" i="9"/>
  <c r="I494" i="9"/>
  <c r="H630" i="9"/>
  <c r="H574" i="9"/>
  <c r="I564" i="9"/>
  <c r="C507" i="9"/>
  <c r="H464" i="9"/>
  <c r="C388" i="9"/>
  <c r="C9" i="10"/>
  <c r="C10" i="10"/>
  <c r="C11" i="10"/>
  <c r="I483" i="9"/>
  <c r="H697" i="9"/>
  <c r="D574" i="9"/>
  <c r="J520" i="9"/>
  <c r="C449" i="9"/>
  <c r="C490" i="9"/>
  <c r="I414" i="9"/>
  <c r="I408" i="9"/>
  <c r="D393" i="9"/>
  <c r="I511" i="9"/>
  <c r="H467" i="9"/>
  <c r="H394" i="9"/>
  <c r="D654" i="9"/>
  <c r="I575" i="9"/>
  <c r="I531" i="9"/>
  <c r="I458" i="9"/>
  <c r="C407" i="9"/>
  <c r="B1135" i="9"/>
  <c r="B1131" i="9"/>
  <c r="B1127" i="9"/>
  <c r="B1123" i="9"/>
  <c r="C1134" i="9"/>
  <c r="C1130" i="9"/>
  <c r="C1126" i="9"/>
  <c r="B1134" i="9"/>
  <c r="B1130" i="9"/>
  <c r="B1126" i="9"/>
  <c r="B1138" i="9"/>
  <c r="B1139" i="9" s="1"/>
  <c r="C1133" i="9"/>
  <c r="C1129" i="9"/>
  <c r="C1125" i="9"/>
  <c r="B1133" i="9"/>
  <c r="B1129" i="9"/>
  <c r="B1125" i="9"/>
  <c r="C1136" i="9"/>
  <c r="C1132" i="9"/>
  <c r="C1128" i="9"/>
  <c r="C1124" i="9"/>
  <c r="B1136" i="9"/>
  <c r="B1132" i="9"/>
  <c r="B1128" i="9"/>
  <c r="B1124" i="9"/>
  <c r="D123" i="12" s="1"/>
  <c r="F123" i="12" s="1"/>
  <c r="G123" i="12" s="1"/>
  <c r="C1127" i="9"/>
  <c r="C1135" i="9"/>
  <c r="C1123" i="9"/>
  <c r="C1131" i="9"/>
  <c r="J607" i="9"/>
  <c r="D589" i="9"/>
  <c r="D548" i="9"/>
  <c r="H431" i="9"/>
  <c r="H417" i="9"/>
  <c r="C403" i="9"/>
  <c r="D611" i="9"/>
  <c r="C596" i="9"/>
  <c r="I521" i="9"/>
  <c r="D442" i="9"/>
  <c r="D426" i="9"/>
  <c r="D402" i="9"/>
  <c r="H498" i="9"/>
  <c r="I395" i="9"/>
  <c r="D622" i="9"/>
  <c r="H584" i="9"/>
  <c r="D535" i="9"/>
  <c r="I512" i="9"/>
  <c r="C447" i="9"/>
  <c r="J416" i="9"/>
  <c r="J410" i="9"/>
  <c r="I592" i="9"/>
  <c r="H493" i="9"/>
  <c r="H489" i="9"/>
  <c r="H531" i="9"/>
  <c r="L429" i="6"/>
  <c r="L241" i="6"/>
  <c r="L131" i="6"/>
  <c r="L260" i="6"/>
  <c r="L339" i="6"/>
  <c r="K352" i="5"/>
  <c r="L352" i="5" s="1"/>
  <c r="J475" i="5"/>
  <c r="E475" i="5"/>
  <c r="B2049" i="9"/>
  <c r="B2057" i="9"/>
  <c r="C2047" i="9"/>
  <c r="B372" i="9"/>
  <c r="L424" i="6"/>
  <c r="L444" i="6"/>
  <c r="C74" i="8"/>
  <c r="L332" i="6"/>
  <c r="L372" i="6"/>
  <c r="E459" i="6"/>
  <c r="L395" i="6"/>
  <c r="L387" i="6"/>
  <c r="M455" i="6"/>
  <c r="L383" i="6"/>
  <c r="L265" i="6"/>
  <c r="L240" i="6"/>
  <c r="J459" i="6"/>
  <c r="L390" i="6"/>
  <c r="J455" i="6"/>
  <c r="L17" i="6"/>
  <c r="L206" i="6"/>
  <c r="L175" i="6"/>
  <c r="F458" i="6"/>
  <c r="D79" i="12" s="1"/>
  <c r="F79" i="12" s="1"/>
  <c r="G79" i="12" s="1"/>
  <c r="J351" i="5"/>
  <c r="M351" i="5"/>
  <c r="L41" i="6"/>
  <c r="M459" i="6"/>
  <c r="L136" i="6"/>
  <c r="L65" i="6"/>
  <c r="L199" i="6"/>
  <c r="I456" i="6"/>
  <c r="M454" i="6"/>
  <c r="L214" i="6"/>
  <c r="L155" i="6"/>
  <c r="J457" i="6"/>
  <c r="J440" i="5"/>
  <c r="J404" i="5"/>
  <c r="K245" i="5"/>
  <c r="L245" i="5" s="1"/>
  <c r="K434" i="5"/>
  <c r="L434" i="5" s="1"/>
  <c r="L430" i="5"/>
  <c r="K430" i="5"/>
  <c r="L156" i="6"/>
  <c r="L34" i="6"/>
  <c r="K355" i="5"/>
  <c r="L355" i="5" s="1"/>
  <c r="J282" i="5"/>
  <c r="M282" i="5"/>
  <c r="J291" i="5"/>
  <c r="M291" i="5"/>
  <c r="J252" i="5"/>
  <c r="M252" i="5"/>
  <c r="L426" i="5"/>
  <c r="K426" i="5"/>
  <c r="J429" i="5"/>
  <c r="M429" i="5"/>
  <c r="M407" i="5"/>
  <c r="J407" i="5"/>
  <c r="M443" i="5"/>
  <c r="J443" i="5"/>
  <c r="P495" i="5"/>
  <c r="N512" i="5" s="1"/>
  <c r="O512" i="5" s="1"/>
  <c r="K488" i="5"/>
  <c r="E481" i="5"/>
  <c r="J481" i="5"/>
  <c r="J479" i="5"/>
  <c r="E479" i="5"/>
  <c r="F501" i="5"/>
  <c r="J497" i="5"/>
  <c r="E497" i="5"/>
  <c r="H499" i="5"/>
  <c r="F454" i="6"/>
  <c r="D67" i="12" s="1"/>
  <c r="F67" i="12" s="1"/>
  <c r="G67" i="12" s="1"/>
  <c r="L26" i="6"/>
  <c r="L264" i="6"/>
  <c r="K217" i="5"/>
  <c r="L217" i="5" s="1"/>
  <c r="M172" i="5"/>
  <c r="J172" i="5"/>
  <c r="M160" i="5"/>
  <c r="J160" i="5"/>
  <c r="M148" i="5"/>
  <c r="J148" i="5"/>
  <c r="M136" i="5"/>
  <c r="J136" i="5"/>
  <c r="M124" i="5"/>
  <c r="J124" i="5"/>
  <c r="M112" i="5"/>
  <c r="J112" i="5"/>
  <c r="M100" i="5"/>
  <c r="J100" i="5"/>
  <c r="M88" i="5"/>
  <c r="J88" i="5"/>
  <c r="M76" i="5"/>
  <c r="J76" i="5"/>
  <c r="M64" i="5"/>
  <c r="J64" i="5"/>
  <c r="M52" i="5"/>
  <c r="J52" i="5"/>
  <c r="M40" i="5"/>
  <c r="J40" i="5"/>
  <c r="K159" i="5"/>
  <c r="L159" i="5" s="1"/>
  <c r="K141" i="5"/>
  <c r="L141" i="5" s="1"/>
  <c r="J123" i="5"/>
  <c r="J111" i="5"/>
  <c r="J93" i="5"/>
  <c r="J75" i="5"/>
  <c r="E507" i="5"/>
  <c r="G6" i="7" s="1"/>
  <c r="J45" i="5"/>
  <c r="E472" i="5"/>
  <c r="J472" i="5"/>
  <c r="H476" i="5"/>
  <c r="P469" i="5"/>
  <c r="K466" i="5"/>
  <c r="P471" i="5"/>
  <c r="J462" i="5"/>
  <c r="E462" i="5"/>
  <c r="J235" i="5"/>
  <c r="M235" i="5"/>
  <c r="J227" i="5"/>
  <c r="J149" i="5"/>
  <c r="J95" i="5"/>
  <c r="J56" i="5"/>
  <c r="J456" i="5"/>
  <c r="E456" i="5"/>
  <c r="C712" i="9"/>
  <c r="C708" i="9"/>
  <c r="J704" i="9"/>
  <c r="J690" i="9"/>
  <c r="C680" i="9"/>
  <c r="J668" i="9"/>
  <c r="C658" i="9"/>
  <c r="C640" i="9"/>
  <c r="I683" i="9"/>
  <c r="I633" i="9"/>
  <c r="I589" i="9"/>
  <c r="I568" i="9"/>
  <c r="I557" i="9"/>
  <c r="I548" i="9"/>
  <c r="I537" i="9"/>
  <c r="I524" i="9"/>
  <c r="I509" i="9"/>
  <c r="J249" i="5"/>
  <c r="D711" i="9"/>
  <c r="D694" i="9"/>
  <c r="D621" i="9"/>
  <c r="D585" i="9"/>
  <c r="D527" i="9"/>
  <c r="D519" i="9"/>
  <c r="D512" i="9"/>
  <c r="D504" i="9"/>
  <c r="D498" i="9"/>
  <c r="D487" i="9"/>
  <c r="C704" i="9"/>
  <c r="J689" i="9"/>
  <c r="C679" i="9"/>
  <c r="J667" i="9"/>
  <c r="C657" i="9"/>
  <c r="J649" i="9"/>
  <c r="J616" i="9"/>
  <c r="J567" i="9"/>
  <c r="C529" i="9"/>
  <c r="J122" i="5"/>
  <c r="J706" i="9"/>
  <c r="J688" i="9"/>
  <c r="J623" i="9"/>
  <c r="C598" i="9"/>
  <c r="J573" i="9"/>
  <c r="J558" i="9"/>
  <c r="C535" i="9"/>
  <c r="C518" i="9"/>
  <c r="J134" i="5"/>
  <c r="B506" i="5"/>
  <c r="O5" i="5"/>
  <c r="P5" i="5" s="1"/>
  <c r="D706" i="9"/>
  <c r="D699" i="9"/>
  <c r="D692" i="9"/>
  <c r="D684" i="9"/>
  <c r="D609" i="9"/>
  <c r="D577" i="9"/>
  <c r="D478" i="9"/>
  <c r="C651" i="9"/>
  <c r="J640" i="9"/>
  <c r="J625" i="9"/>
  <c r="J611" i="9"/>
  <c r="J596" i="9"/>
  <c r="J19" i="5"/>
  <c r="I617" i="9"/>
  <c r="H590" i="9"/>
  <c r="H565" i="9"/>
  <c r="J524" i="9"/>
  <c r="H460" i="9"/>
  <c r="D394" i="9"/>
  <c r="D386" i="9"/>
  <c r="H663" i="9"/>
  <c r="H619" i="9"/>
  <c r="C502" i="9"/>
  <c r="D497" i="9"/>
  <c r="D486" i="9"/>
  <c r="C436" i="9"/>
  <c r="D409" i="9"/>
  <c r="C394" i="9"/>
  <c r="I388" i="9"/>
  <c r="D676" i="9"/>
  <c r="H623" i="9"/>
  <c r="H578" i="9"/>
  <c r="J523" i="9"/>
  <c r="J501" i="9"/>
  <c r="J480" i="9"/>
  <c r="C472" i="9"/>
  <c r="I386" i="9"/>
  <c r="H694" i="9"/>
  <c r="C580" i="9"/>
  <c r="H540" i="9"/>
  <c r="H522" i="9"/>
  <c r="I497" i="9"/>
  <c r="H475" i="9"/>
  <c r="J470" i="9"/>
  <c r="I460" i="9"/>
  <c r="D701" i="9"/>
  <c r="J560" i="9"/>
  <c r="I542" i="9"/>
  <c r="I515" i="9"/>
  <c r="H495" i="9"/>
  <c r="J396" i="9"/>
  <c r="B14" i="10"/>
  <c r="B15" i="10"/>
  <c r="D15" i="10" s="1"/>
  <c r="F15" i="10" s="1"/>
  <c r="G15" i="10" s="1"/>
  <c r="B16" i="10"/>
  <c r="D16" i="10" s="1"/>
  <c r="F16" i="10" s="1"/>
  <c r="G16" i="10" s="1"/>
  <c r="J409" i="9"/>
  <c r="D647" i="9"/>
  <c r="I507" i="9"/>
  <c r="C491" i="9"/>
  <c r="C485" i="9"/>
  <c r="C465" i="9"/>
  <c r="C429" i="9"/>
  <c r="D683" i="9"/>
  <c r="H521" i="9"/>
  <c r="J463" i="9"/>
  <c r="C448" i="9"/>
  <c r="I440" i="9"/>
  <c r="I434" i="9"/>
  <c r="D400" i="9"/>
  <c r="D384" i="9"/>
  <c r="J571" i="9"/>
  <c r="H548" i="9"/>
  <c r="I539" i="9"/>
  <c r="C513" i="9"/>
  <c r="I479" i="9"/>
  <c r="I448" i="9"/>
  <c r="I439" i="9"/>
  <c r="J417" i="9"/>
  <c r="C400" i="9"/>
  <c r="J395" i="9"/>
  <c r="J390" i="9"/>
  <c r="C384" i="9"/>
  <c r="H571" i="9"/>
  <c r="I406" i="9"/>
  <c r="J595" i="9"/>
  <c r="H529" i="9"/>
  <c r="C521" i="9"/>
  <c r="I506" i="9"/>
  <c r="H494" i="9"/>
  <c r="H442" i="9"/>
  <c r="I384" i="9"/>
  <c r="C504" i="9"/>
  <c r="C489" i="9"/>
  <c r="C432" i="9"/>
  <c r="D417" i="9"/>
  <c r="J554" i="9"/>
  <c r="I519" i="9"/>
  <c r="C488" i="9"/>
  <c r="J482" i="9"/>
  <c r="I453" i="9"/>
  <c r="J420" i="9"/>
  <c r="C402" i="9"/>
  <c r="J398" i="9"/>
  <c r="J389" i="9"/>
  <c r="C383" i="9"/>
  <c r="H478" i="9"/>
  <c r="H395" i="9"/>
  <c r="H499" i="9"/>
  <c r="H453" i="9"/>
  <c r="H390" i="9"/>
  <c r="C2049" i="9"/>
  <c r="C2051" i="9"/>
  <c r="G378" i="9"/>
  <c r="B65" i="8"/>
  <c r="C372" i="9"/>
  <c r="L440" i="6"/>
  <c r="C76" i="8"/>
  <c r="F461" i="6"/>
  <c r="D88" i="12" s="1"/>
  <c r="F88" i="12" s="1"/>
  <c r="G88" i="12" s="1"/>
  <c r="L422" i="6"/>
  <c r="L374" i="6"/>
  <c r="L326" i="6"/>
  <c r="L407" i="6"/>
  <c r="L315" i="6"/>
  <c r="J461" i="6"/>
  <c r="L325" i="6"/>
  <c r="L262" i="6"/>
  <c r="L385" i="6"/>
  <c r="L348" i="6"/>
  <c r="L291" i="6"/>
  <c r="L433" i="6"/>
  <c r="L435" i="6"/>
  <c r="L307" i="6"/>
  <c r="L110" i="6"/>
  <c r="L30" i="6"/>
  <c r="L159" i="6"/>
  <c r="L133" i="6"/>
  <c r="L44" i="6"/>
  <c r="L129" i="6"/>
  <c r="L384" i="6"/>
  <c r="L164" i="6"/>
  <c r="L99" i="6"/>
  <c r="L48" i="6"/>
  <c r="L16" i="6"/>
  <c r="L207" i="6"/>
  <c r="L174" i="6"/>
  <c r="L70" i="6"/>
  <c r="J345" i="5"/>
  <c r="M345" i="5"/>
  <c r="L213" i="6"/>
  <c r="L144" i="6"/>
  <c r="L269" i="6"/>
  <c r="L394" i="6"/>
  <c r="J456" i="6"/>
  <c r="L212" i="6"/>
  <c r="L165" i="6"/>
  <c r="L139" i="6"/>
  <c r="L93" i="6"/>
  <c r="L235" i="6"/>
  <c r="L194" i="6"/>
  <c r="L248" i="6"/>
  <c r="L125" i="6"/>
  <c r="L88" i="6"/>
  <c r="L197" i="6"/>
  <c r="L242" i="5"/>
  <c r="K242" i="5"/>
  <c r="L198" i="6"/>
  <c r="J428" i="5"/>
  <c r="J356" i="5"/>
  <c r="M356" i="5"/>
  <c r="J344" i="5"/>
  <c r="M344" i="5"/>
  <c r="J332" i="5"/>
  <c r="M332" i="5"/>
  <c r="K340" i="5"/>
  <c r="L340" i="5" s="1"/>
  <c r="M365" i="5"/>
  <c r="J365" i="5"/>
  <c r="K316" i="5"/>
  <c r="L316" i="5" s="1"/>
  <c r="J288" i="5"/>
  <c r="M288" i="5"/>
  <c r="J297" i="5"/>
  <c r="M297" i="5"/>
  <c r="K256" i="5"/>
  <c r="L256" i="5" s="1"/>
  <c r="J258" i="5"/>
  <c r="M258" i="5"/>
  <c r="J433" i="5"/>
  <c r="M433" i="5"/>
  <c r="J435" i="5"/>
  <c r="M435" i="5"/>
  <c r="J491" i="5"/>
  <c r="E491" i="5"/>
  <c r="J485" i="5"/>
  <c r="E485" i="5"/>
  <c r="F479" i="5"/>
  <c r="K483" i="5"/>
  <c r="K501" i="5"/>
  <c r="P500" i="5"/>
  <c r="K361" i="5"/>
  <c r="L361" i="5" s="1"/>
  <c r="L252" i="6"/>
  <c r="J379" i="5"/>
  <c r="J215" i="5"/>
  <c r="F474" i="5"/>
  <c r="J476" i="5"/>
  <c r="E476" i="5"/>
  <c r="P477" i="5"/>
  <c r="J468" i="5"/>
  <c r="E468" i="5"/>
  <c r="F469" i="5"/>
  <c r="H464" i="5"/>
  <c r="M208" i="5"/>
  <c r="J208" i="5"/>
  <c r="J234" i="5"/>
  <c r="M35" i="5"/>
  <c r="J35" i="5"/>
  <c r="M226" i="5"/>
  <c r="J226" i="5"/>
  <c r="M196" i="5"/>
  <c r="J196" i="5"/>
  <c r="K143" i="5"/>
  <c r="L143" i="5" s="1"/>
  <c r="J92" i="5"/>
  <c r="K53" i="5"/>
  <c r="L53" i="5" s="1"/>
  <c r="M22" i="5"/>
  <c r="J22" i="5"/>
  <c r="J164" i="5"/>
  <c r="J624" i="9"/>
  <c r="I708" i="9"/>
  <c r="I666" i="9"/>
  <c r="I614" i="9"/>
  <c r="D668" i="9"/>
  <c r="D532" i="9"/>
  <c r="D471" i="9"/>
  <c r="D459" i="9"/>
  <c r="C643" i="9"/>
  <c r="J627" i="9"/>
  <c r="J598" i="9"/>
  <c r="J584" i="9"/>
  <c r="C560" i="9"/>
  <c r="J542" i="9"/>
  <c r="D660" i="9"/>
  <c r="J692" i="9"/>
  <c r="B2142" i="9"/>
  <c r="B2143" i="9" s="1"/>
  <c r="D128" i="12" s="1"/>
  <c r="F128" i="12" s="1"/>
  <c r="G128" i="12" s="1"/>
  <c r="C2141" i="9"/>
  <c r="B2141" i="9"/>
  <c r="C2140" i="9"/>
  <c r="B2140" i="9"/>
  <c r="C2139" i="9"/>
  <c r="B2139" i="9"/>
  <c r="J651" i="9"/>
  <c r="C616" i="9"/>
  <c r="C582" i="9"/>
  <c r="C567" i="9"/>
  <c r="C553" i="9"/>
  <c r="C528" i="9"/>
  <c r="J59" i="5"/>
  <c r="E461" i="5"/>
  <c r="D673" i="9"/>
  <c r="D634" i="9"/>
  <c r="D558" i="9"/>
  <c r="D502" i="9"/>
  <c r="C1679" i="9"/>
  <c r="C1675" i="9"/>
  <c r="B1680" i="9"/>
  <c r="B1676" i="9"/>
  <c r="B1672" i="9"/>
  <c r="C1678" i="9"/>
  <c r="B1678" i="9"/>
  <c r="C1673" i="9"/>
  <c r="B1683" i="9"/>
  <c r="B1684" i="9" s="1"/>
  <c r="B1673" i="9"/>
  <c r="C1677" i="9"/>
  <c r="B1677" i="9"/>
  <c r="C1672" i="9"/>
  <c r="C1681" i="9"/>
  <c r="B1681" i="9"/>
  <c r="C1676" i="9"/>
  <c r="B1671" i="9"/>
  <c r="D125" i="12" s="1"/>
  <c r="F125" i="12" s="1"/>
  <c r="G125" i="12" s="1"/>
  <c r="C1680" i="9"/>
  <c r="B1675" i="9"/>
  <c r="C1670" i="9"/>
  <c r="B1679" i="9"/>
  <c r="C1674" i="9"/>
  <c r="B1670" i="9"/>
  <c r="B1674" i="9"/>
  <c r="C1671" i="9"/>
  <c r="D465" i="9"/>
  <c r="J695" i="9"/>
  <c r="C684" i="9"/>
  <c r="C673" i="9"/>
  <c r="J662" i="9"/>
  <c r="C634" i="9"/>
  <c r="C619" i="9"/>
  <c r="C605" i="9"/>
  <c r="J589" i="9"/>
  <c r="J572" i="9"/>
  <c r="D672" i="9"/>
  <c r="H605" i="9"/>
  <c r="I546" i="9"/>
  <c r="I535" i="9"/>
  <c r="H424" i="9"/>
  <c r="H409" i="9"/>
  <c r="D401" i="9"/>
  <c r="H384" i="9"/>
  <c r="H610" i="9"/>
  <c r="I584" i="9"/>
  <c r="J508" i="9"/>
  <c r="C456" i="9"/>
  <c r="D445" i="9"/>
  <c r="F370" i="9"/>
  <c r="B373" i="9"/>
  <c r="E370" i="9"/>
  <c r="D370" i="9"/>
  <c r="C370" i="9"/>
  <c r="B370" i="9"/>
  <c r="C382" i="9"/>
  <c r="B354" i="9"/>
  <c r="J370" i="9"/>
  <c r="I370" i="9"/>
  <c r="H370" i="9"/>
  <c r="G370" i="9"/>
  <c r="H507" i="9"/>
  <c r="C466" i="9"/>
  <c r="C455" i="9"/>
  <c r="C435" i="9"/>
  <c r="J423" i="9"/>
  <c r="I394" i="9"/>
  <c r="I397" i="9"/>
  <c r="D640" i="9"/>
  <c r="I555" i="9"/>
  <c r="I532" i="9"/>
  <c r="I492" i="9"/>
  <c r="I486" i="9"/>
  <c r="J454" i="9"/>
  <c r="H429" i="9"/>
  <c r="J413" i="9"/>
  <c r="I538" i="9"/>
  <c r="I452" i="9"/>
  <c r="H645" i="9"/>
  <c r="D576" i="9"/>
  <c r="J529" i="9"/>
  <c r="H474" i="9"/>
  <c r="H448" i="9"/>
  <c r="I404" i="9"/>
  <c r="B7" i="10"/>
  <c r="D7" i="10" s="1"/>
  <c r="F7" i="10" s="1"/>
  <c r="G7" i="10" s="1"/>
  <c r="B8" i="10"/>
  <c r="D8" i="10" s="1"/>
  <c r="F8" i="10" s="1"/>
  <c r="G8" i="10" s="1"/>
  <c r="B20" i="10"/>
  <c r="I578" i="9"/>
  <c r="D479" i="9"/>
  <c r="D458" i="9"/>
  <c r="D439" i="9"/>
  <c r="J403" i="9"/>
  <c r="C220" i="8"/>
  <c r="C228" i="8"/>
  <c r="C217" i="8"/>
  <c r="C227" i="8"/>
  <c r="C226" i="8"/>
  <c r="C215" i="8"/>
  <c r="C225" i="8"/>
  <c r="C216" i="8"/>
  <c r="D505" i="9"/>
  <c r="C495" i="9"/>
  <c r="C484" i="9"/>
  <c r="J473" i="9"/>
  <c r="J469" i="9"/>
  <c r="C454" i="9"/>
  <c r="C428" i="9"/>
  <c r="J422" i="9"/>
  <c r="J504" i="9"/>
  <c r="I495" i="9"/>
  <c r="J468" i="9"/>
  <c r="I488" i="9"/>
  <c r="I437" i="9"/>
  <c r="D708" i="9"/>
  <c r="H616" i="9"/>
  <c r="D602" i="9"/>
  <c r="D570" i="9"/>
  <c r="J486" i="9"/>
  <c r="J460" i="9"/>
  <c r="J435" i="9"/>
  <c r="H704" i="9"/>
  <c r="H646" i="9"/>
  <c r="C604" i="9"/>
  <c r="J527" i="9"/>
  <c r="C478" i="9"/>
  <c r="C463" i="9"/>
  <c r="D447" i="9"/>
  <c r="D406" i="9"/>
  <c r="D392" i="9"/>
  <c r="D625" i="9"/>
  <c r="J455" i="9"/>
  <c r="H706" i="9"/>
  <c r="H651" i="9"/>
  <c r="D586" i="9"/>
  <c r="I570" i="9"/>
  <c r="J544" i="9"/>
  <c r="J509" i="9"/>
  <c r="I499" i="9"/>
  <c r="J467" i="9"/>
  <c r="J461" i="9"/>
  <c r="J436" i="9"/>
  <c r="J430" i="9"/>
  <c r="J425" i="9"/>
  <c r="H655" i="9"/>
  <c r="D567" i="9"/>
  <c r="H420" i="9"/>
  <c r="H549" i="9"/>
  <c r="H566" i="9"/>
  <c r="H406" i="9"/>
  <c r="L377" i="6"/>
  <c r="L334" i="6"/>
  <c r="L161" i="6"/>
  <c r="L158" i="6"/>
  <c r="J265" i="5"/>
  <c r="M265" i="5"/>
  <c r="P470" i="5"/>
  <c r="B2051" i="9"/>
  <c r="C2053" i="9"/>
  <c r="C2055" i="9"/>
  <c r="H378" i="9"/>
  <c r="I460" i="6"/>
  <c r="L436" i="6"/>
  <c r="L306" i="6"/>
  <c r="L416" i="6"/>
  <c r="L320" i="6"/>
  <c r="L304" i="6"/>
  <c r="L393" i="6"/>
  <c r="L294" i="6"/>
  <c r="M457" i="6"/>
  <c r="M456" i="6"/>
  <c r="L381" i="6"/>
  <c r="L259" i="6"/>
  <c r="L369" i="6"/>
  <c r="L373" i="6"/>
  <c r="L336" i="6"/>
  <c r="F460" i="6"/>
  <c r="D85" i="12" s="1"/>
  <c r="F85" i="12" s="1"/>
  <c r="G85" i="12" s="1"/>
  <c r="L419" i="6"/>
  <c r="L328" i="6"/>
  <c r="L200" i="6"/>
  <c r="L87" i="6"/>
  <c r="L281" i="6"/>
  <c r="L233" i="6"/>
  <c r="L202" i="6"/>
  <c r="L103" i="6"/>
  <c r="L59" i="6"/>
  <c r="L288" i="6"/>
  <c r="L66" i="6"/>
  <c r="L102" i="6"/>
  <c r="J339" i="5"/>
  <c r="M339" i="5"/>
  <c r="L411" i="6"/>
  <c r="L196" i="6"/>
  <c r="L56" i="6"/>
  <c r="L143" i="6"/>
  <c r="L69" i="6"/>
  <c r="L229" i="6"/>
  <c r="L118" i="6"/>
  <c r="L192" i="6"/>
  <c r="N455" i="6"/>
  <c r="L168" i="6"/>
  <c r="J394" i="5"/>
  <c r="J239" i="5"/>
  <c r="J343" i="5"/>
  <c r="M343" i="5"/>
  <c r="J331" i="5"/>
  <c r="M331" i="5"/>
  <c r="K373" i="5"/>
  <c r="L373" i="5" s="1"/>
  <c r="K301" i="5"/>
  <c r="L301" i="5" s="1"/>
  <c r="K289" i="5"/>
  <c r="L289" i="5" s="1"/>
  <c r="J294" i="5"/>
  <c r="M294" i="5"/>
  <c r="J303" i="5"/>
  <c r="M303" i="5"/>
  <c r="J264" i="5"/>
  <c r="M264" i="5"/>
  <c r="J441" i="5"/>
  <c r="M441" i="5"/>
  <c r="M413" i="5"/>
  <c r="J413" i="5"/>
  <c r="M449" i="5"/>
  <c r="J449" i="5"/>
  <c r="J494" i="5"/>
  <c r="E494" i="5"/>
  <c r="F489" i="5"/>
  <c r="P481" i="5"/>
  <c r="P479" i="5"/>
  <c r="K481" i="5"/>
  <c r="L72" i="6"/>
  <c r="K497" i="5"/>
  <c r="K499" i="5"/>
  <c r="F499" i="5"/>
  <c r="J415" i="5"/>
  <c r="K486" i="5"/>
  <c r="L20" i="6"/>
  <c r="K218" i="5"/>
  <c r="L218" i="5" s="1"/>
  <c r="M228" i="5"/>
  <c r="J228" i="5"/>
  <c r="J177" i="5"/>
  <c r="J157" i="5"/>
  <c r="J139" i="5"/>
  <c r="J121" i="5"/>
  <c r="J109" i="5"/>
  <c r="J91" i="5"/>
  <c r="J73" i="5"/>
  <c r="J43" i="5"/>
  <c r="M214" i="5"/>
  <c r="J214" i="5"/>
  <c r="H472" i="5"/>
  <c r="K472" i="5"/>
  <c r="K468" i="5"/>
  <c r="F470" i="5"/>
  <c r="K465" i="5"/>
  <c r="K464" i="5"/>
  <c r="P465" i="5"/>
  <c r="J213" i="5"/>
  <c r="J229" i="5"/>
  <c r="M230" i="5"/>
  <c r="J230" i="5"/>
  <c r="K225" i="5"/>
  <c r="L225" i="5" s="1"/>
  <c r="J137" i="5"/>
  <c r="J89" i="5"/>
  <c r="J50" i="5"/>
  <c r="K20" i="5"/>
  <c r="L20" i="5" s="1"/>
  <c r="K458" i="5"/>
  <c r="J694" i="9"/>
  <c r="C683" i="9"/>
  <c r="J671" i="9"/>
  <c r="C662" i="9"/>
  <c r="C633" i="9"/>
  <c r="C618" i="9"/>
  <c r="I691" i="9"/>
  <c r="I640" i="9"/>
  <c r="I596" i="9"/>
  <c r="J15" i="5"/>
  <c r="D686" i="9"/>
  <c r="D610" i="9"/>
  <c r="D592" i="9"/>
  <c r="D547" i="9"/>
  <c r="D539" i="9"/>
  <c r="D446" i="9"/>
  <c r="D432" i="9"/>
  <c r="D416" i="9"/>
  <c r="J710" i="9"/>
  <c r="C697" i="9"/>
  <c r="J693" i="9"/>
  <c r="C682" i="9"/>
  <c r="J670" i="9"/>
  <c r="C661" i="9"/>
  <c r="C636" i="9"/>
  <c r="C607" i="9"/>
  <c r="C592" i="9"/>
  <c r="J578" i="9"/>
  <c r="J553" i="9"/>
  <c r="M184" i="5"/>
  <c r="J184" i="5"/>
  <c r="D667" i="9"/>
  <c r="J709" i="9"/>
  <c r="J696" i="9"/>
  <c r="C642" i="9"/>
  <c r="J634" i="9"/>
  <c r="J609" i="9"/>
  <c r="C591" i="9"/>
  <c r="C546" i="9"/>
  <c r="I703" i="9"/>
  <c r="I689" i="9"/>
  <c r="I678" i="9"/>
  <c r="I667" i="9"/>
  <c r="I656" i="9"/>
  <c r="I645" i="9"/>
  <c r="I635" i="9"/>
  <c r="I620" i="9"/>
  <c r="I602" i="9"/>
  <c r="I591" i="9"/>
  <c r="J461" i="5"/>
  <c r="D651" i="9"/>
  <c r="D615" i="9"/>
  <c r="D510" i="9"/>
  <c r="D438" i="9"/>
  <c r="D423" i="9"/>
  <c r="D410" i="9"/>
  <c r="C644" i="9"/>
  <c r="C581" i="9"/>
  <c r="C566" i="9"/>
  <c r="H595" i="9"/>
  <c r="D509" i="9"/>
  <c r="H472" i="9"/>
  <c r="D633" i="9"/>
  <c r="I569" i="9"/>
  <c r="D492" i="9"/>
  <c r="D450" i="9"/>
  <c r="C420" i="9"/>
  <c r="D415" i="9"/>
  <c r="D637" i="9"/>
  <c r="D580" i="9"/>
  <c r="J530" i="9"/>
  <c r="H514" i="9"/>
  <c r="C460" i="9"/>
  <c r="J449" i="9"/>
  <c r="J429" i="9"/>
  <c r="I401" i="9"/>
  <c r="I545" i="9"/>
  <c r="C525" i="9"/>
  <c r="H480" i="9"/>
  <c r="I445" i="9"/>
  <c r="C404" i="9"/>
  <c r="J550" i="9"/>
  <c r="H433" i="9"/>
  <c r="C385" i="9"/>
  <c r="C14" i="10"/>
  <c r="C540" i="9"/>
  <c r="H528" i="9"/>
  <c r="C501" i="9"/>
  <c r="C496" i="9"/>
  <c r="B217" i="8"/>
  <c r="H579" i="9"/>
  <c r="C552" i="9"/>
  <c r="C531" i="9"/>
  <c r="J478" i="9"/>
  <c r="C413" i="9"/>
  <c r="D407" i="9"/>
  <c r="I558" i="9"/>
  <c r="I447" i="9"/>
  <c r="H389" i="9"/>
  <c r="H591" i="9"/>
  <c r="I552" i="9"/>
  <c r="J519" i="9"/>
  <c r="J488" i="9"/>
  <c r="J457" i="9"/>
  <c r="I428" i="9"/>
  <c r="J406" i="9"/>
  <c r="I607" i="9"/>
  <c r="J592" i="9"/>
  <c r="D557" i="9"/>
  <c r="D537" i="9"/>
  <c r="H483" i="9"/>
  <c r="H426" i="9"/>
  <c r="I393" i="9"/>
  <c r="I536" i="9"/>
  <c r="D614" i="9"/>
  <c r="C537" i="9"/>
  <c r="C512" i="9"/>
  <c r="D383" i="9"/>
  <c r="H516" i="9"/>
  <c r="I383" i="9"/>
  <c r="D666" i="9"/>
  <c r="C558" i="9"/>
  <c r="C503" i="9"/>
  <c r="I473" i="9"/>
  <c r="J441" i="9"/>
  <c r="H463" i="9"/>
  <c r="D11" i="10" l="1"/>
  <c r="F11" i="10" s="1"/>
  <c r="G11" i="10" s="1"/>
  <c r="P496" i="5"/>
  <c r="J511" i="5"/>
  <c r="P459" i="5"/>
  <c r="I461" i="5"/>
  <c r="G461" i="5"/>
  <c r="K92" i="5"/>
  <c r="L92" i="5" s="1"/>
  <c r="K433" i="5"/>
  <c r="L433" i="5" s="1"/>
  <c r="K149" i="5"/>
  <c r="L149" i="5" s="1"/>
  <c r="K45" i="5"/>
  <c r="L45" i="5" s="1"/>
  <c r="K52" i="5"/>
  <c r="L52" i="5" s="1"/>
  <c r="K124" i="5"/>
  <c r="L124" i="5" s="1"/>
  <c r="K291" i="5"/>
  <c r="L291" i="5" s="1"/>
  <c r="K229" i="5"/>
  <c r="L229" i="5" s="1"/>
  <c r="K73" i="5"/>
  <c r="L73" i="5" s="1"/>
  <c r="K449" i="5"/>
  <c r="L449" i="5" s="1"/>
  <c r="B730" i="9"/>
  <c r="K243" i="5"/>
  <c r="L243" i="5" s="1"/>
  <c r="D111" i="12"/>
  <c r="F111" i="12" s="1"/>
  <c r="G111" i="12" s="1"/>
  <c r="C146" i="8"/>
  <c r="K28" i="5"/>
  <c r="L28" i="5" s="1"/>
  <c r="L501" i="5"/>
  <c r="M501" i="5"/>
  <c r="K33" i="5"/>
  <c r="L33" i="5" s="1"/>
  <c r="K201" i="5"/>
  <c r="L201" i="5" s="1"/>
  <c r="K408" i="5"/>
  <c r="L408" i="5" s="1"/>
  <c r="G489" i="5"/>
  <c r="I489" i="5"/>
  <c r="K342" i="5"/>
  <c r="L342" i="5" s="1"/>
  <c r="P458" i="5"/>
  <c r="I484" i="5"/>
  <c r="G484" i="5"/>
  <c r="L395" i="5"/>
  <c r="K395" i="5"/>
  <c r="K349" i="5"/>
  <c r="L349" i="5" s="1"/>
  <c r="K378" i="5"/>
  <c r="L378" i="5" s="1"/>
  <c r="L74" i="5"/>
  <c r="K74" i="5"/>
  <c r="K338" i="5"/>
  <c r="L338" i="5" s="1"/>
  <c r="L103" i="5"/>
  <c r="K103" i="5"/>
  <c r="L46" i="5"/>
  <c r="K46" i="5"/>
  <c r="K118" i="5"/>
  <c r="L118" i="5" s="1"/>
  <c r="K232" i="5"/>
  <c r="L232" i="5" s="1"/>
  <c r="K41" i="5"/>
  <c r="L41" i="5" s="1"/>
  <c r="G470" i="5"/>
  <c r="I470" i="5"/>
  <c r="K233" i="5"/>
  <c r="L233" i="5" s="1"/>
  <c r="K445" i="5"/>
  <c r="L445" i="5" s="1"/>
  <c r="K410" i="5"/>
  <c r="L410" i="5" s="1"/>
  <c r="C458" i="6"/>
  <c r="D77" i="12" s="1"/>
  <c r="F77" i="12" s="1"/>
  <c r="G77" i="12" s="1"/>
  <c r="K458" i="6"/>
  <c r="L458" i="6" s="1"/>
  <c r="G458" i="6"/>
  <c r="O458" i="6"/>
  <c r="D13" i="10"/>
  <c r="F13" i="10" s="1"/>
  <c r="G13" i="10" s="1"/>
  <c r="K83" i="5"/>
  <c r="L83" i="5" s="1"/>
  <c r="G466" i="5"/>
  <c r="I466" i="5"/>
  <c r="K153" i="5"/>
  <c r="L153" i="5" s="1"/>
  <c r="I478" i="5"/>
  <c r="G478" i="5"/>
  <c r="K221" i="5"/>
  <c r="L221" i="5" s="1"/>
  <c r="P456" i="5"/>
  <c r="L285" i="5"/>
  <c r="K285" i="5"/>
  <c r="L464" i="5"/>
  <c r="M464" i="5"/>
  <c r="K277" i="5"/>
  <c r="L277" i="5" s="1"/>
  <c r="K42" i="5"/>
  <c r="L42" i="5" s="1"/>
  <c r="L114" i="5"/>
  <c r="K114" i="5"/>
  <c r="K387" i="5"/>
  <c r="L387" i="5" s="1"/>
  <c r="K11" i="5"/>
  <c r="L11" i="5" s="1"/>
  <c r="M489" i="5"/>
  <c r="L489" i="5"/>
  <c r="G454" i="5"/>
  <c r="I454" i="5"/>
  <c r="K220" i="5"/>
  <c r="L220" i="5" s="1"/>
  <c r="L110" i="5"/>
  <c r="K110" i="5"/>
  <c r="P467" i="5"/>
  <c r="K418" i="5"/>
  <c r="L418" i="5" s="1"/>
  <c r="L399" i="5"/>
  <c r="K399" i="5"/>
  <c r="K447" i="5"/>
  <c r="L447" i="5" s="1"/>
  <c r="K80" i="5"/>
  <c r="L80" i="5" s="1"/>
  <c r="M470" i="5"/>
  <c r="L470" i="5"/>
  <c r="D110" i="12"/>
  <c r="F110" i="12" s="1"/>
  <c r="G110" i="12" s="1"/>
  <c r="B146" i="8"/>
  <c r="K374" i="5"/>
  <c r="L374" i="5" s="1"/>
  <c r="D12" i="10"/>
  <c r="F12" i="10" s="1"/>
  <c r="G12" i="10" s="1"/>
  <c r="K125" i="5"/>
  <c r="L125" i="5" s="1"/>
  <c r="M466" i="5"/>
  <c r="L466" i="5"/>
  <c r="K96" i="5"/>
  <c r="L96" i="5" s="1"/>
  <c r="L168" i="5"/>
  <c r="K168" i="5"/>
  <c r="K276" i="5"/>
  <c r="L276" i="5" s="1"/>
  <c r="I468" i="5"/>
  <c r="G468" i="5"/>
  <c r="K258" i="5"/>
  <c r="L258" i="5" s="1"/>
  <c r="L249" i="5"/>
  <c r="K249" i="5"/>
  <c r="L75" i="5"/>
  <c r="K75" i="5"/>
  <c r="K64" i="5"/>
  <c r="L64" i="5" s="1"/>
  <c r="K136" i="5"/>
  <c r="L136" i="5" s="1"/>
  <c r="K282" i="5"/>
  <c r="L282" i="5" s="1"/>
  <c r="K440" i="5"/>
  <c r="L440" i="5" s="1"/>
  <c r="L351" i="5"/>
  <c r="K351" i="5"/>
  <c r="I475" i="5"/>
  <c r="G475" i="5"/>
  <c r="K332" i="5"/>
  <c r="L332" i="5" s="1"/>
  <c r="I462" i="5"/>
  <c r="G462" i="5"/>
  <c r="K111" i="5"/>
  <c r="L111" i="5" s="1"/>
  <c r="K76" i="5"/>
  <c r="L76" i="5" s="1"/>
  <c r="L148" i="5"/>
  <c r="K148" i="5"/>
  <c r="I497" i="5"/>
  <c r="G497" i="5"/>
  <c r="K182" i="5"/>
  <c r="L182" i="5" s="1"/>
  <c r="L257" i="5"/>
  <c r="K257" i="5"/>
  <c r="I486" i="5"/>
  <c r="G486" i="5"/>
  <c r="K5" i="5"/>
  <c r="L5" i="5" s="1"/>
  <c r="K65" i="5"/>
  <c r="L65" i="5" s="1"/>
  <c r="G464" i="5"/>
  <c r="I464" i="5"/>
  <c r="K49" i="5"/>
  <c r="L49" i="5" s="1"/>
  <c r="K438" i="5"/>
  <c r="L438" i="5" s="1"/>
  <c r="M454" i="5"/>
  <c r="L454" i="5"/>
  <c r="K275" i="5"/>
  <c r="L275" i="5" s="1"/>
  <c r="K386" i="5"/>
  <c r="L386" i="5" s="1"/>
  <c r="K6" i="5"/>
  <c r="L6" i="5" s="1"/>
  <c r="K179" i="5"/>
  <c r="L179" i="5" s="1"/>
  <c r="L469" i="5"/>
  <c r="M469" i="5"/>
  <c r="K350" i="5"/>
  <c r="L350" i="5" s="1"/>
  <c r="B729" i="9"/>
  <c r="B725" i="9"/>
  <c r="B721" i="9"/>
  <c r="B717" i="9"/>
  <c r="D122" i="12" s="1"/>
  <c r="F122" i="12" s="1"/>
  <c r="G122" i="12" s="1"/>
  <c r="C722" i="9"/>
  <c r="B718" i="9"/>
  <c r="C726" i="9"/>
  <c r="B722" i="9"/>
  <c r="B731" i="9"/>
  <c r="B732" i="9" s="1"/>
  <c r="B726" i="9"/>
  <c r="C725" i="9"/>
  <c r="C729" i="9"/>
  <c r="C720" i="9"/>
  <c r="B716" i="9"/>
  <c r="C724" i="9"/>
  <c r="B720" i="9"/>
  <c r="C728" i="9"/>
  <c r="B724" i="9"/>
  <c r="B728" i="9"/>
  <c r="C719" i="9"/>
  <c r="C727" i="9"/>
  <c r="B723" i="9"/>
  <c r="B719" i="9"/>
  <c r="B727" i="9"/>
  <c r="C718" i="9"/>
  <c r="C717" i="9"/>
  <c r="C723" i="9"/>
  <c r="C716" i="9"/>
  <c r="C721" i="9"/>
  <c r="K58" i="5"/>
  <c r="L58" i="5" s="1"/>
  <c r="K130" i="5"/>
  <c r="L130" i="5" s="1"/>
  <c r="K119" i="5"/>
  <c r="L119" i="5" s="1"/>
  <c r="K206" i="5"/>
  <c r="L206" i="5" s="1"/>
  <c r="P498" i="5"/>
  <c r="K321" i="5"/>
  <c r="L321" i="5" s="1"/>
  <c r="C63" i="8"/>
  <c r="K188" i="5"/>
  <c r="L188" i="5" s="1"/>
  <c r="P472" i="5"/>
  <c r="N509" i="5" s="1"/>
  <c r="K175" i="5"/>
  <c r="L175" i="5" s="1"/>
  <c r="K341" i="5"/>
  <c r="L341" i="5" s="1"/>
  <c r="L461" i="5"/>
  <c r="M461" i="5"/>
  <c r="K43" i="5"/>
  <c r="L43" i="5" s="1"/>
  <c r="L494" i="5"/>
  <c r="M494" i="5"/>
  <c r="K294" i="5"/>
  <c r="L294" i="5" s="1"/>
  <c r="K394" i="5"/>
  <c r="L394" i="5" s="1"/>
  <c r="K339" i="5"/>
  <c r="L339" i="5" s="1"/>
  <c r="K139" i="5"/>
  <c r="L139" i="5" s="1"/>
  <c r="K226" i="5"/>
  <c r="L226" i="5" s="1"/>
  <c r="I476" i="5"/>
  <c r="G476" i="5"/>
  <c r="I485" i="5"/>
  <c r="G485" i="5"/>
  <c r="K345" i="5"/>
  <c r="L345" i="5" s="1"/>
  <c r="L462" i="5"/>
  <c r="M462" i="5"/>
  <c r="K123" i="5"/>
  <c r="L123" i="5" s="1"/>
  <c r="L497" i="5"/>
  <c r="M497" i="5"/>
  <c r="L195" i="5"/>
  <c r="K195" i="5"/>
  <c r="C508" i="5"/>
  <c r="M508" i="5"/>
  <c r="D28" i="12" s="1"/>
  <c r="F28" i="12" s="1"/>
  <c r="G28" i="12" s="1"/>
  <c r="J508" i="5"/>
  <c r="P508" i="5"/>
  <c r="D29" i="12" s="1"/>
  <c r="F29" i="12" s="1"/>
  <c r="G29" i="12" s="1"/>
  <c r="M486" i="5"/>
  <c r="L486" i="5"/>
  <c r="K101" i="5"/>
  <c r="L101" i="5" s="1"/>
  <c r="K54" i="5"/>
  <c r="L54" i="5" s="1"/>
  <c r="K126" i="5"/>
  <c r="L126" i="5" s="1"/>
  <c r="K190" i="5"/>
  <c r="L190" i="5" s="1"/>
  <c r="I482" i="5"/>
  <c r="G482" i="5"/>
  <c r="K417" i="5"/>
  <c r="L417" i="5" s="1"/>
  <c r="K411" i="5"/>
  <c r="L411" i="5" s="1"/>
  <c r="D9" i="10"/>
  <c r="F9" i="10" s="1"/>
  <c r="G9" i="10" s="1"/>
  <c r="K158" i="5"/>
  <c r="L158" i="5" s="1"/>
  <c r="K39" i="5"/>
  <c r="L39" i="5" s="1"/>
  <c r="K363" i="5"/>
  <c r="L363" i="5" s="1"/>
  <c r="K405" i="5"/>
  <c r="L405" i="5" s="1"/>
  <c r="I469" i="5"/>
  <c r="G469" i="5"/>
  <c r="C457" i="6"/>
  <c r="D74" i="12" s="1"/>
  <c r="F74" i="12" s="1"/>
  <c r="G74" i="12" s="1"/>
  <c r="K457" i="6"/>
  <c r="L457" i="6" s="1"/>
  <c r="G457" i="6"/>
  <c r="H457" i="6" s="1"/>
  <c r="S457" i="6"/>
  <c r="T457" i="6" s="1"/>
  <c r="O457" i="6"/>
  <c r="K270" i="5"/>
  <c r="L270" i="5" s="1"/>
  <c r="D120" i="12"/>
  <c r="F120" i="12" s="1"/>
  <c r="G120" i="12" s="1"/>
  <c r="B356" i="9"/>
  <c r="K198" i="5"/>
  <c r="L198" i="5" s="1"/>
  <c r="P454" i="5"/>
  <c r="N506" i="5" s="1"/>
  <c r="K115" i="5"/>
  <c r="L115" i="5" s="1"/>
  <c r="I487" i="5"/>
  <c r="G487" i="5"/>
  <c r="K360" i="5"/>
  <c r="L360" i="5" s="1"/>
  <c r="P480" i="5"/>
  <c r="P476" i="5"/>
  <c r="K108" i="5"/>
  <c r="L108" i="5" s="1"/>
  <c r="K180" i="5"/>
  <c r="L180" i="5" s="1"/>
  <c r="I488" i="5"/>
  <c r="G488" i="5"/>
  <c r="C68" i="8"/>
  <c r="K309" i="5"/>
  <c r="L309" i="5" s="1"/>
  <c r="K196" i="5"/>
  <c r="L196" i="5" s="1"/>
  <c r="L468" i="5"/>
  <c r="M468" i="5"/>
  <c r="D14" i="10"/>
  <c r="F14" i="10" s="1"/>
  <c r="G14" i="10" s="1"/>
  <c r="K235" i="5"/>
  <c r="L235" i="5" s="1"/>
  <c r="K93" i="5"/>
  <c r="L93" i="5" s="1"/>
  <c r="K407" i="5"/>
  <c r="L407" i="5" s="1"/>
  <c r="L475" i="5"/>
  <c r="M475" i="5"/>
  <c r="K15" i="5"/>
  <c r="L15" i="5"/>
  <c r="K121" i="5"/>
  <c r="L121" i="5" s="1"/>
  <c r="C455" i="6"/>
  <c r="D68" i="12" s="1"/>
  <c r="F68" i="12" s="1"/>
  <c r="G68" i="12" s="1"/>
  <c r="O455" i="6"/>
  <c r="P455" i="6" s="1"/>
  <c r="S455" i="6"/>
  <c r="T455" i="6" s="1"/>
  <c r="K455" i="6"/>
  <c r="L455" i="6" s="1"/>
  <c r="G455" i="6"/>
  <c r="H455" i="6" s="1"/>
  <c r="M476" i="5"/>
  <c r="L476" i="5"/>
  <c r="L485" i="5"/>
  <c r="M485" i="5"/>
  <c r="K511" i="5" s="1"/>
  <c r="L511" i="5" s="1"/>
  <c r="D47" i="12" s="1"/>
  <c r="F47" i="12" s="1"/>
  <c r="G47" i="12" s="1"/>
  <c r="K297" i="5"/>
  <c r="L297" i="5" s="1"/>
  <c r="K344" i="5"/>
  <c r="L344" i="5" s="1"/>
  <c r="K19" i="5"/>
  <c r="L19" i="5" s="1"/>
  <c r="K122" i="5"/>
  <c r="L122" i="5" s="1"/>
  <c r="K88" i="5"/>
  <c r="L88" i="5" s="1"/>
  <c r="K160" i="5"/>
  <c r="L160" i="5" s="1"/>
  <c r="K429" i="5"/>
  <c r="L429" i="5" s="1"/>
  <c r="K161" i="5"/>
  <c r="L161" i="5" s="1"/>
  <c r="L482" i="5"/>
  <c r="M482" i="5"/>
  <c r="H458" i="6"/>
  <c r="D10" i="10"/>
  <c r="F10" i="10" s="1"/>
  <c r="G10" i="10" s="1"/>
  <c r="K253" i="5"/>
  <c r="L253" i="5" s="1"/>
  <c r="J510" i="5"/>
  <c r="M510" i="5"/>
  <c r="D42" i="12" s="1"/>
  <c r="F42" i="12" s="1"/>
  <c r="G42" i="12" s="1"/>
  <c r="C510" i="5"/>
  <c r="P510" i="5"/>
  <c r="D43" i="12" s="1"/>
  <c r="F43" i="12" s="1"/>
  <c r="G43" i="12" s="1"/>
  <c r="I467" i="5"/>
  <c r="G467" i="5"/>
  <c r="C454" i="6"/>
  <c r="D65" i="12" s="1"/>
  <c r="F65" i="12" s="1"/>
  <c r="G65" i="12" s="1"/>
  <c r="O454" i="6"/>
  <c r="P454" i="6" s="1"/>
  <c r="S454" i="6"/>
  <c r="T454" i="6" s="1"/>
  <c r="K454" i="6"/>
  <c r="L454" i="6" s="1"/>
  <c r="G454" i="6"/>
  <c r="H454" i="6" s="1"/>
  <c r="K333" i="5"/>
  <c r="L333" i="5" s="1"/>
  <c r="K371" i="5"/>
  <c r="L371" i="5" s="1"/>
  <c r="K133" i="5"/>
  <c r="L133" i="5" s="1"/>
  <c r="K70" i="5"/>
  <c r="L70" i="5" s="1"/>
  <c r="K142" i="5"/>
  <c r="L142" i="5" s="1"/>
  <c r="L487" i="5"/>
  <c r="M487" i="5"/>
  <c r="K327" i="5"/>
  <c r="L327" i="5" s="1"/>
  <c r="D6" i="10"/>
  <c r="F6" i="10" s="1"/>
  <c r="K18" i="5"/>
  <c r="L18" i="5" s="1"/>
  <c r="I480" i="5"/>
  <c r="G480" i="5"/>
  <c r="K312" i="5"/>
  <c r="L312" i="5" s="1"/>
  <c r="L216" i="5"/>
  <c r="K216" i="5"/>
  <c r="K269" i="5"/>
  <c r="L269" i="5" s="1"/>
  <c r="M488" i="5"/>
  <c r="L488" i="5"/>
  <c r="K353" i="5"/>
  <c r="L353" i="5" s="1"/>
  <c r="C62" i="8"/>
  <c r="K50" i="5"/>
  <c r="L50" i="5" s="1"/>
  <c r="K157" i="5"/>
  <c r="L157" i="5" s="1"/>
  <c r="K441" i="5"/>
  <c r="L441" i="5" s="1"/>
  <c r="K184" i="5"/>
  <c r="L184" i="5" s="1"/>
  <c r="K89" i="5"/>
  <c r="L89" i="5" s="1"/>
  <c r="K177" i="5"/>
  <c r="L177" i="5" s="1"/>
  <c r="D116" i="12"/>
  <c r="F116" i="12" s="1"/>
  <c r="G116" i="12" s="1"/>
  <c r="C221" i="8"/>
  <c r="K164" i="5"/>
  <c r="L164" i="5" s="1"/>
  <c r="K35" i="5"/>
  <c r="L35" i="5" s="1"/>
  <c r="I491" i="5"/>
  <c r="G491" i="5"/>
  <c r="I479" i="5"/>
  <c r="G479" i="5"/>
  <c r="L456" i="6"/>
  <c r="K62" i="5"/>
  <c r="L62" i="5" s="1"/>
  <c r="P468" i="5"/>
  <c r="L152" i="5"/>
  <c r="K152" i="5"/>
  <c r="K9" i="5"/>
  <c r="L9" i="5" s="1"/>
  <c r="K140" i="5"/>
  <c r="L140" i="5" s="1"/>
  <c r="K197" i="5"/>
  <c r="L197" i="5"/>
  <c r="K61" i="5"/>
  <c r="L61" i="5" s="1"/>
  <c r="K66" i="5"/>
  <c r="L66" i="5" s="1"/>
  <c r="K138" i="5"/>
  <c r="L138" i="5" s="1"/>
  <c r="L267" i="5"/>
  <c r="K267" i="5"/>
  <c r="K186" i="5"/>
  <c r="L186" i="5" s="1"/>
  <c r="K261" i="5"/>
  <c r="L261" i="5" s="1"/>
  <c r="K255" i="5"/>
  <c r="L255" i="5" s="1"/>
  <c r="L467" i="5"/>
  <c r="M467" i="5"/>
  <c r="P497" i="5"/>
  <c r="N513" i="5" s="1"/>
  <c r="O513" i="5" s="1"/>
  <c r="K176" i="5"/>
  <c r="L176" i="5" s="1"/>
  <c r="K38" i="5"/>
  <c r="L38" i="5" s="1"/>
  <c r="I474" i="5"/>
  <c r="G474" i="5"/>
  <c r="K151" i="5"/>
  <c r="L151" i="5" s="1"/>
  <c r="I495" i="5"/>
  <c r="G495" i="5"/>
  <c r="D5" i="10"/>
  <c r="F5" i="10" s="1"/>
  <c r="K23" i="5"/>
  <c r="L23" i="5" s="1"/>
  <c r="K247" i="5"/>
  <c r="L247" i="5" s="1"/>
  <c r="M480" i="5"/>
  <c r="L480" i="5"/>
  <c r="K366" i="5"/>
  <c r="L366" i="5" s="1"/>
  <c r="I459" i="5"/>
  <c r="G459" i="5"/>
  <c r="K48" i="5"/>
  <c r="L48" i="5" s="1"/>
  <c r="K120" i="5"/>
  <c r="L120" i="5" s="1"/>
  <c r="L490" i="5"/>
  <c r="M490" i="5"/>
  <c r="K315" i="5"/>
  <c r="L315" i="5" s="1"/>
  <c r="K300" i="5"/>
  <c r="L300" i="5" s="1"/>
  <c r="L59" i="5"/>
  <c r="K59" i="5"/>
  <c r="K227" i="5"/>
  <c r="L227" i="5" s="1"/>
  <c r="L443" i="5"/>
  <c r="K443" i="5"/>
  <c r="K404" i="5"/>
  <c r="L404" i="5" s="1"/>
  <c r="K213" i="5"/>
  <c r="L213" i="5"/>
  <c r="K98" i="5"/>
  <c r="L98" i="5" s="1"/>
  <c r="K424" i="5"/>
  <c r="L424" i="5"/>
  <c r="K194" i="5"/>
  <c r="L194" i="5" s="1"/>
  <c r="K79" i="5"/>
  <c r="L79" i="5" s="1"/>
  <c r="K368" i="5"/>
  <c r="L368" i="5" s="1"/>
  <c r="K170" i="5"/>
  <c r="L170" i="5" s="1"/>
  <c r="M471" i="5"/>
  <c r="L471" i="5"/>
  <c r="K191" i="5"/>
  <c r="L191" i="5"/>
  <c r="I500" i="5"/>
  <c r="G500" i="5"/>
  <c r="K391" i="5"/>
  <c r="L391" i="5"/>
  <c r="K348" i="5"/>
  <c r="L348" i="5" s="1"/>
  <c r="C459" i="6"/>
  <c r="D80" i="12" s="1"/>
  <c r="F80" i="12" s="1"/>
  <c r="G80" i="12" s="1"/>
  <c r="G459" i="6"/>
  <c r="H459" i="6" s="1"/>
  <c r="O459" i="6"/>
  <c r="P459" i="6" s="1"/>
  <c r="K459" i="6"/>
  <c r="L459" i="6" s="1"/>
  <c r="K240" i="5"/>
  <c r="L240" i="5" s="1"/>
  <c r="K272" i="5"/>
  <c r="L272" i="5" s="1"/>
  <c r="K324" i="5"/>
  <c r="L324" i="5" s="1"/>
  <c r="M474" i="5"/>
  <c r="L474" i="5"/>
  <c r="K82" i="5"/>
  <c r="L82" i="5" s="1"/>
  <c r="K154" i="5"/>
  <c r="L154" i="5" s="1"/>
  <c r="K402" i="5"/>
  <c r="L402" i="5" s="1"/>
  <c r="L495" i="5"/>
  <c r="M495" i="5"/>
  <c r="K318" i="5"/>
  <c r="L318" i="5" s="1"/>
  <c r="M459" i="5"/>
  <c r="L459" i="5"/>
  <c r="I465" i="5"/>
  <c r="G465" i="5"/>
  <c r="K69" i="5"/>
  <c r="L69" i="5" s="1"/>
  <c r="G490" i="5"/>
  <c r="I490" i="5"/>
  <c r="K91" i="5"/>
  <c r="L91" i="5" s="1"/>
  <c r="K415" i="5"/>
  <c r="L415" i="5" s="1"/>
  <c r="C460" i="6"/>
  <c r="D83" i="12" s="1"/>
  <c r="F83" i="12" s="1"/>
  <c r="G83" i="12" s="1"/>
  <c r="K460" i="6"/>
  <c r="L460" i="6" s="1"/>
  <c r="O460" i="6"/>
  <c r="P460" i="6" s="1"/>
  <c r="G460" i="6"/>
  <c r="K155" i="5"/>
  <c r="L155" i="5" s="1"/>
  <c r="K423" i="5"/>
  <c r="L423" i="5" s="1"/>
  <c r="K97" i="5"/>
  <c r="L97" i="5" s="1"/>
  <c r="K78" i="5"/>
  <c r="L78" i="5" s="1"/>
  <c r="K150" i="5"/>
  <c r="L150" i="5" s="1"/>
  <c r="K412" i="5"/>
  <c r="L412" i="5" s="1"/>
  <c r="K167" i="5"/>
  <c r="L167" i="5" s="1"/>
  <c r="L71" i="5"/>
  <c r="K71" i="5"/>
  <c r="I471" i="5"/>
  <c r="G471" i="5"/>
  <c r="L500" i="5"/>
  <c r="M500" i="5"/>
  <c r="K17" i="5"/>
  <c r="L17" i="5"/>
  <c r="K383" i="5"/>
  <c r="L383" i="5" s="1"/>
  <c r="K381" i="5"/>
  <c r="L381" i="5" s="1"/>
  <c r="K385" i="5"/>
  <c r="L385" i="5" s="1"/>
  <c r="K425" i="5"/>
  <c r="L425" i="5" s="1"/>
  <c r="P457" i="5"/>
  <c r="K199" i="5"/>
  <c r="L199" i="5" s="1"/>
  <c r="C507" i="5"/>
  <c r="M507" i="5"/>
  <c r="D21" i="12" s="1"/>
  <c r="F21" i="12" s="1"/>
  <c r="G21" i="12" s="1"/>
  <c r="J507" i="5"/>
  <c r="P507" i="5"/>
  <c r="D22" i="12" s="1"/>
  <c r="F22" i="12" s="1"/>
  <c r="G22" i="12" s="1"/>
  <c r="K30" i="5"/>
  <c r="L30" i="5" s="1"/>
  <c r="K36" i="5"/>
  <c r="L36" i="5" s="1"/>
  <c r="M465" i="5"/>
  <c r="L465" i="5"/>
  <c r="K60" i="5"/>
  <c r="L60" i="5" s="1"/>
  <c r="L132" i="5"/>
  <c r="K132" i="5"/>
  <c r="P501" i="5"/>
  <c r="K306" i="5"/>
  <c r="L306" i="5" s="1"/>
  <c r="K16" i="5"/>
  <c r="L16" i="5" s="1"/>
  <c r="K109" i="5"/>
  <c r="L109" i="5" s="1"/>
  <c r="K413" i="5"/>
  <c r="L413" i="5" s="1"/>
  <c r="K234" i="5"/>
  <c r="L234" i="5" s="1"/>
  <c r="K379" i="5"/>
  <c r="L379" i="5" s="1"/>
  <c r="K428" i="5"/>
  <c r="L428" i="5" s="1"/>
  <c r="K134" i="5"/>
  <c r="L134" i="5" s="1"/>
  <c r="L456" i="5"/>
  <c r="M456" i="5"/>
  <c r="L481" i="5"/>
  <c r="M481" i="5"/>
  <c r="K214" i="5"/>
  <c r="L214" i="5"/>
  <c r="K303" i="5"/>
  <c r="L303" i="5" s="1"/>
  <c r="K343" i="5"/>
  <c r="L343" i="5" s="1"/>
  <c r="K208" i="5"/>
  <c r="L208" i="5" s="1"/>
  <c r="K435" i="5"/>
  <c r="L435" i="5" s="1"/>
  <c r="K56" i="5"/>
  <c r="L56" i="5" s="1"/>
  <c r="L472" i="5"/>
  <c r="M472" i="5"/>
  <c r="K40" i="5"/>
  <c r="L40" i="5" s="1"/>
  <c r="K112" i="5"/>
  <c r="L112" i="5" s="1"/>
  <c r="G481" i="5"/>
  <c r="I481" i="5"/>
  <c r="K252" i="5"/>
  <c r="L252" i="5" s="1"/>
  <c r="K364" i="5"/>
  <c r="L364" i="5" s="1"/>
  <c r="K359" i="5"/>
  <c r="L359" i="5"/>
  <c r="K357" i="5"/>
  <c r="L357" i="5" s="1"/>
  <c r="I473" i="5"/>
  <c r="G473" i="5"/>
  <c r="K127" i="5"/>
  <c r="L127" i="5" s="1"/>
  <c r="K437" i="5"/>
  <c r="L437" i="5" s="1"/>
  <c r="K336" i="5"/>
  <c r="L336" i="5" s="1"/>
  <c r="K210" i="5"/>
  <c r="L210" i="5" s="1"/>
  <c r="I499" i="5"/>
  <c r="G499" i="5"/>
  <c r="G483" i="5"/>
  <c r="I483" i="5"/>
  <c r="K107" i="5"/>
  <c r="L107" i="5" s="1"/>
  <c r="G477" i="5"/>
  <c r="I477" i="5"/>
  <c r="K169" i="5"/>
  <c r="L169" i="5" s="1"/>
  <c r="P483" i="5"/>
  <c r="G457" i="5"/>
  <c r="I457" i="5"/>
  <c r="I492" i="5"/>
  <c r="G492" i="5"/>
  <c r="I455" i="5"/>
  <c r="G455" i="5"/>
  <c r="K113" i="5"/>
  <c r="L113" i="5" s="1"/>
  <c r="K94" i="5"/>
  <c r="L94" i="5" s="1"/>
  <c r="K166" i="5"/>
  <c r="L166" i="5" s="1"/>
  <c r="I498" i="5"/>
  <c r="G498" i="5"/>
  <c r="P458" i="6"/>
  <c r="P463" i="5"/>
  <c r="N507" i="5" s="1"/>
  <c r="K419" i="5"/>
  <c r="L419" i="5" s="1"/>
  <c r="K337" i="5"/>
  <c r="L337" i="5" s="1"/>
  <c r="K388" i="5"/>
  <c r="L388" i="5" s="1"/>
  <c r="K137" i="5"/>
  <c r="L137" i="5" s="1"/>
  <c r="K228" i="5"/>
  <c r="L228" i="5" s="1"/>
  <c r="K264" i="5"/>
  <c r="L264" i="5" s="1"/>
  <c r="K331" i="5"/>
  <c r="L331" i="5" s="1"/>
  <c r="P457" i="6"/>
  <c r="K22" i="5"/>
  <c r="L22" i="5" s="1"/>
  <c r="K215" i="5"/>
  <c r="L215" i="5" s="1"/>
  <c r="L491" i="5"/>
  <c r="M491" i="5"/>
  <c r="K288" i="5"/>
  <c r="L288" i="5" s="1"/>
  <c r="K356" i="5"/>
  <c r="L356" i="5" s="1"/>
  <c r="M506" i="5"/>
  <c r="D14" i="12" s="1"/>
  <c r="F14" i="12" s="1"/>
  <c r="G14" i="12" s="1"/>
  <c r="J506" i="5"/>
  <c r="C506" i="5"/>
  <c r="P506" i="5"/>
  <c r="D15" i="12" s="1"/>
  <c r="F15" i="12" s="1"/>
  <c r="G15" i="12" s="1"/>
  <c r="I456" i="5"/>
  <c r="G456" i="5"/>
  <c r="K100" i="5"/>
  <c r="L100" i="5" s="1"/>
  <c r="K172" i="5"/>
  <c r="L172" i="5" s="1"/>
  <c r="L479" i="5"/>
  <c r="M479" i="5"/>
  <c r="K230" i="5"/>
  <c r="L230" i="5" s="1"/>
  <c r="I494" i="5"/>
  <c r="G494" i="5"/>
  <c r="K239" i="5"/>
  <c r="L239" i="5" s="1"/>
  <c r="K265" i="5"/>
  <c r="L265" i="5" s="1"/>
  <c r="K365" i="5"/>
  <c r="L365" i="5" s="1"/>
  <c r="K95" i="5"/>
  <c r="L95" i="5" s="1"/>
  <c r="I472" i="5"/>
  <c r="G472" i="5"/>
  <c r="D115" i="12"/>
  <c r="F115" i="12" s="1"/>
  <c r="G115" i="12" s="1"/>
  <c r="B221" i="8"/>
  <c r="K254" i="5"/>
  <c r="L254" i="5" s="1"/>
  <c r="K209" i="5"/>
  <c r="L209" i="5" s="1"/>
  <c r="K273" i="5"/>
  <c r="L273" i="5" s="1"/>
  <c r="J512" i="5"/>
  <c r="P455" i="5"/>
  <c r="L473" i="5"/>
  <c r="M473" i="5"/>
  <c r="K145" i="5"/>
  <c r="L145" i="5" s="1"/>
  <c r="K90" i="5"/>
  <c r="L90" i="5" s="1"/>
  <c r="K162" i="5"/>
  <c r="L162" i="5" s="1"/>
  <c r="P499" i="5"/>
  <c r="K279" i="5"/>
  <c r="L279" i="5" s="1"/>
  <c r="K335" i="5"/>
  <c r="L335" i="5" s="1"/>
  <c r="M499" i="5"/>
  <c r="L499" i="5"/>
  <c r="M483" i="5"/>
  <c r="L483" i="5"/>
  <c r="M477" i="5"/>
  <c r="L477" i="5"/>
  <c r="K237" i="5"/>
  <c r="L237" i="5" s="1"/>
  <c r="K375" i="5"/>
  <c r="L375" i="5" s="1"/>
  <c r="K330" i="5"/>
  <c r="L330" i="5" s="1"/>
  <c r="M457" i="5"/>
  <c r="L457" i="5"/>
  <c r="M492" i="5"/>
  <c r="L492" i="5"/>
  <c r="L455" i="5"/>
  <c r="M455" i="5"/>
  <c r="D108" i="12"/>
  <c r="F108" i="12" s="1"/>
  <c r="G108" i="12" s="1"/>
  <c r="B70" i="8"/>
  <c r="B71" i="8"/>
  <c r="D109" i="12" s="1"/>
  <c r="F109" i="12" s="1"/>
  <c r="G109" i="12" s="1"/>
  <c r="K8" i="5"/>
  <c r="L8" i="5" s="1"/>
  <c r="K55" i="5"/>
  <c r="L55" i="5" s="1"/>
  <c r="M498" i="5"/>
  <c r="L498" i="5"/>
  <c r="K380" i="5"/>
  <c r="L380" i="5" s="1"/>
  <c r="K128" i="5"/>
  <c r="L128" i="5" s="1"/>
  <c r="G460" i="5"/>
  <c r="I460" i="5"/>
  <c r="G507" i="5" s="1"/>
  <c r="M509" i="5"/>
  <c r="D35" i="12" s="1"/>
  <c r="F35" i="12" s="1"/>
  <c r="G35" i="12" s="1"/>
  <c r="J509" i="5"/>
  <c r="C509" i="5"/>
  <c r="P509" i="5"/>
  <c r="D36" i="12" s="1"/>
  <c r="F36" i="12" s="1"/>
  <c r="G36" i="12" s="1"/>
  <c r="K377" i="5"/>
  <c r="L377" i="5" s="1"/>
  <c r="K27" i="5"/>
  <c r="L27" i="5"/>
  <c r="G463" i="5"/>
  <c r="I463" i="5"/>
  <c r="K105" i="5"/>
  <c r="L105" i="5" s="1"/>
  <c r="K72" i="5"/>
  <c r="L72" i="5" s="1"/>
  <c r="K144" i="5"/>
  <c r="L144" i="5" s="1"/>
  <c r="K397" i="5"/>
  <c r="L397" i="5" s="1"/>
  <c r="K362" i="5"/>
  <c r="L362" i="5" s="1"/>
  <c r="K372" i="5"/>
  <c r="L372" i="5" s="1"/>
  <c r="C64" i="8"/>
  <c r="K446" i="5"/>
  <c r="L446" i="5" s="1"/>
  <c r="L458" i="5"/>
  <c r="M458" i="5"/>
  <c r="L192" i="5"/>
  <c r="K192" i="5"/>
  <c r="K163" i="5"/>
  <c r="L163" i="5" s="1"/>
  <c r="K266" i="5"/>
  <c r="L266" i="5" s="1"/>
  <c r="K21" i="5"/>
  <c r="L21" i="5"/>
  <c r="K431" i="5"/>
  <c r="L431" i="5" s="1"/>
  <c r="D132" i="12"/>
  <c r="F132" i="12" s="1"/>
  <c r="G132" i="12" s="1"/>
  <c r="C22" i="10"/>
  <c r="K34" i="5"/>
  <c r="L34" i="5" s="1"/>
  <c r="K271" i="5"/>
  <c r="L271" i="5" s="1"/>
  <c r="I493" i="5"/>
  <c r="G493" i="5"/>
  <c r="K354" i="5"/>
  <c r="L354" i="5" s="1"/>
  <c r="K29" i="5"/>
  <c r="L29" i="5"/>
  <c r="K77" i="5"/>
  <c r="L77" i="5" s="1"/>
  <c r="K67" i="5"/>
  <c r="L67" i="5" s="1"/>
  <c r="K106" i="5"/>
  <c r="L106" i="5" s="1"/>
  <c r="K178" i="5"/>
  <c r="L178" i="5" s="1"/>
  <c r="K393" i="5"/>
  <c r="L393" i="5" s="1"/>
  <c r="G496" i="5"/>
  <c r="I496" i="5"/>
  <c r="K10" i="5"/>
  <c r="L10" i="5" s="1"/>
  <c r="M460" i="5"/>
  <c r="L460" i="5"/>
  <c r="K204" i="5"/>
  <c r="L204" i="5" s="1"/>
  <c r="M463" i="5"/>
  <c r="L463" i="5"/>
  <c r="K117" i="5"/>
  <c r="L117" i="5" s="1"/>
  <c r="K193" i="5"/>
  <c r="L193" i="5" s="1"/>
  <c r="K181" i="5"/>
  <c r="L181" i="5" s="1"/>
  <c r="K370" i="5"/>
  <c r="L370" i="5" s="1"/>
  <c r="I458" i="5"/>
  <c r="G458" i="5"/>
  <c r="M513" i="5"/>
  <c r="D63" i="12" s="1"/>
  <c r="F63" i="12" s="1"/>
  <c r="G63" i="12" s="1"/>
  <c r="J513" i="5"/>
  <c r="C513" i="5"/>
  <c r="P513" i="5"/>
  <c r="D64" i="12" s="1"/>
  <c r="F64" i="12" s="1"/>
  <c r="G64" i="12" s="1"/>
  <c r="K203" i="5"/>
  <c r="L203" i="5" s="1"/>
  <c r="K102" i="5"/>
  <c r="L102" i="5" s="1"/>
  <c r="K174" i="5"/>
  <c r="L174" i="5" s="1"/>
  <c r="I501" i="5"/>
  <c r="G501" i="5"/>
  <c r="K401" i="5"/>
  <c r="L401" i="5" s="1"/>
  <c r="K347" i="5"/>
  <c r="L347" i="5" s="1"/>
  <c r="K389" i="5"/>
  <c r="L389" i="5" s="1"/>
  <c r="K263" i="5"/>
  <c r="L263" i="5" s="1"/>
  <c r="N510" i="5"/>
  <c r="K202" i="5"/>
  <c r="L202" i="5" s="1"/>
  <c r="K251" i="5"/>
  <c r="L251" i="5" s="1"/>
  <c r="D17" i="10"/>
  <c r="F17" i="10" s="1"/>
  <c r="G17" i="10" s="1"/>
  <c r="K12" i="5"/>
  <c r="L12" i="5" s="1"/>
  <c r="K416" i="5"/>
  <c r="L416" i="5" s="1"/>
  <c r="M493" i="5"/>
  <c r="L493" i="5"/>
  <c r="K7" i="5"/>
  <c r="L7" i="5" s="1"/>
  <c r="K116" i="5"/>
  <c r="L116" i="5" s="1"/>
  <c r="K85" i="5"/>
  <c r="L85" i="5" s="1"/>
  <c r="K260" i="5"/>
  <c r="L260" i="5" s="1"/>
  <c r="G461" i="6"/>
  <c r="H461" i="6" s="1"/>
  <c r="C461" i="6"/>
  <c r="D86" i="12" s="1"/>
  <c r="F86" i="12" s="1"/>
  <c r="G86" i="12" s="1"/>
  <c r="O461" i="6"/>
  <c r="P461" i="6" s="1"/>
  <c r="K461" i="6"/>
  <c r="L461" i="6" s="1"/>
  <c r="L496" i="5"/>
  <c r="M496" i="5"/>
  <c r="P466" i="5"/>
  <c r="C456" i="6"/>
  <c r="D71" i="12" s="1"/>
  <c r="F71" i="12" s="1"/>
  <c r="G71" i="12" s="1"/>
  <c r="O456" i="6"/>
  <c r="P456" i="6" s="1"/>
  <c r="K456" i="6"/>
  <c r="S456" i="6"/>
  <c r="T456" i="6" s="1"/>
  <c r="G456" i="6"/>
  <c r="H456" i="6" s="1"/>
  <c r="L44" i="5"/>
  <c r="K44" i="5"/>
  <c r="K135" i="5"/>
  <c r="L135" i="5" s="1"/>
  <c r="K84" i="5"/>
  <c r="L84" i="5" s="1"/>
  <c r="K156" i="5"/>
  <c r="L156" i="5" s="1"/>
  <c r="L478" i="5"/>
  <c r="M478" i="5"/>
  <c r="K396" i="5"/>
  <c r="L396" i="5" s="1"/>
  <c r="H460" i="6"/>
  <c r="K47" i="5"/>
  <c r="L47" i="5" s="1"/>
  <c r="K439" i="5"/>
  <c r="L439" i="5" s="1"/>
  <c r="O510" i="5" l="1"/>
  <c r="O506" i="5"/>
  <c r="O507" i="5"/>
  <c r="H509" i="5"/>
  <c r="H513" i="5"/>
  <c r="G513" i="5"/>
  <c r="W461" i="6"/>
  <c r="U459" i="6"/>
  <c r="X459" i="6" s="1"/>
  <c r="D81" i="12" s="1"/>
  <c r="F81" i="12" s="1"/>
  <c r="G81" i="12" s="1"/>
  <c r="Y457" i="6"/>
  <c r="F513" i="5"/>
  <c r="D59" i="12" s="1"/>
  <c r="F59" i="12" s="1"/>
  <c r="G59" i="12" s="1"/>
  <c r="F507" i="5"/>
  <c r="D17" i="12" s="1"/>
  <c r="F17" i="12" s="1"/>
  <c r="G17" i="12" s="1"/>
  <c r="V457" i="6"/>
  <c r="U457" i="6"/>
  <c r="F506" i="5"/>
  <c r="D10" i="12" s="1"/>
  <c r="F10" i="12" s="1"/>
  <c r="G10" i="12" s="1"/>
  <c r="U461" i="6"/>
  <c r="X461" i="6" s="1"/>
  <c r="D87" i="12" s="1"/>
  <c r="F87" i="12" s="1"/>
  <c r="G87" i="12" s="1"/>
  <c r="F512" i="5"/>
  <c r="D52" i="12" s="1"/>
  <c r="F52" i="12" s="1"/>
  <c r="G52" i="12" s="1"/>
  <c r="W457" i="6"/>
  <c r="F510" i="5"/>
  <c r="D38" i="12" s="1"/>
  <c r="F38" i="12" s="1"/>
  <c r="G38" i="12" s="1"/>
  <c r="U456" i="6"/>
  <c r="Y456" i="6" s="1"/>
  <c r="F511" i="5"/>
  <c r="D45" i="12" s="1"/>
  <c r="F45" i="12" s="1"/>
  <c r="G45" i="12" s="1"/>
  <c r="F509" i="5"/>
  <c r="D31" i="12" s="1"/>
  <c r="F31" i="12" s="1"/>
  <c r="G31" i="12" s="1"/>
  <c r="F508" i="5"/>
  <c r="D24" i="12" s="1"/>
  <c r="F24" i="12" s="1"/>
  <c r="G24" i="12" s="1"/>
  <c r="V454" i="6"/>
  <c r="U454" i="6"/>
  <c r="W454" i="6" s="1"/>
  <c r="K509" i="5"/>
  <c r="L509" i="5" s="1"/>
  <c r="D33" i="12" s="1"/>
  <c r="F33" i="12" s="1"/>
  <c r="G33" i="12" s="1"/>
  <c r="G512" i="5"/>
  <c r="V458" i="6"/>
  <c r="U458" i="6"/>
  <c r="W458" i="6" s="1"/>
  <c r="D23" i="12"/>
  <c r="F23" i="12" s="1"/>
  <c r="G23" i="12" s="1"/>
  <c r="D456" i="6"/>
  <c r="D30" i="12"/>
  <c r="F30" i="12" s="1"/>
  <c r="G30" i="12" s="1"/>
  <c r="D457" i="6"/>
  <c r="B223" i="8"/>
  <c r="B222" i="8"/>
  <c r="D16" i="12"/>
  <c r="F16" i="12" s="1"/>
  <c r="G16" i="12" s="1"/>
  <c r="D455" i="6"/>
  <c r="H512" i="5"/>
  <c r="U455" i="6"/>
  <c r="W455" i="6" s="1"/>
  <c r="H508" i="5"/>
  <c r="H511" i="5"/>
  <c r="D113" i="12"/>
  <c r="F113" i="12" s="1"/>
  <c r="G113" i="12" s="1"/>
  <c r="B148" i="8"/>
  <c r="D114" i="12" s="1"/>
  <c r="F114" i="12" s="1"/>
  <c r="G114" i="12" s="1"/>
  <c r="B147" i="8"/>
  <c r="G511" i="5"/>
  <c r="U460" i="6"/>
  <c r="X460" i="6" s="1"/>
  <c r="D84" i="12" s="1"/>
  <c r="F84" i="12" s="1"/>
  <c r="G84" i="12" s="1"/>
  <c r="D106" i="12"/>
  <c r="F106" i="12" s="1"/>
  <c r="G106" i="12" s="1"/>
  <c r="C69" i="8"/>
  <c r="G509" i="5"/>
  <c r="X457" i="6"/>
  <c r="D75" i="12" s="1"/>
  <c r="F75" i="12" s="1"/>
  <c r="G75" i="12" s="1"/>
  <c r="D135" i="12"/>
  <c r="F135" i="12" s="1"/>
  <c r="G135" i="12" s="1"/>
  <c r="G6" i="10"/>
  <c r="H507" i="5"/>
  <c r="K512" i="5"/>
  <c r="L512" i="5" s="1"/>
  <c r="D54" i="12" s="1"/>
  <c r="F54" i="12" s="1"/>
  <c r="G54" i="12" s="1"/>
  <c r="C148" i="8"/>
  <c r="C147" i="8"/>
  <c r="N508" i="5"/>
  <c r="O508" i="5" s="1"/>
  <c r="H510" i="5"/>
  <c r="K513" i="5"/>
  <c r="L513" i="5" s="1"/>
  <c r="D61" i="12" s="1"/>
  <c r="F61" i="12" s="1"/>
  <c r="G61" i="12" s="1"/>
  <c r="K508" i="5"/>
  <c r="L508" i="5" s="1"/>
  <c r="D26" i="12" s="1"/>
  <c r="F26" i="12" s="1"/>
  <c r="G26" i="12" s="1"/>
  <c r="G506" i="5"/>
  <c r="I506" i="5" s="1"/>
  <c r="D11" i="12" s="1"/>
  <c r="F11" i="12" s="1"/>
  <c r="G11" i="12" s="1"/>
  <c r="G510" i="5"/>
  <c r="I510" i="5" s="1"/>
  <c r="D39" i="12" s="1"/>
  <c r="F39" i="12" s="1"/>
  <c r="G39" i="12" s="1"/>
  <c r="D9" i="12"/>
  <c r="F9" i="12" s="1"/>
  <c r="G9" i="12" s="1"/>
  <c r="D454" i="6"/>
  <c r="D58" i="12"/>
  <c r="F58" i="12" s="1"/>
  <c r="G58" i="12" s="1"/>
  <c r="D461" i="6"/>
  <c r="D37" i="12"/>
  <c r="F37" i="12" s="1"/>
  <c r="G37" i="12" s="1"/>
  <c r="D458" i="6"/>
  <c r="K510" i="5"/>
  <c r="L510" i="5" s="1"/>
  <c r="D40" i="12" s="1"/>
  <c r="F40" i="12" s="1"/>
  <c r="G40" i="12" s="1"/>
  <c r="K506" i="5"/>
  <c r="L506" i="5" s="1"/>
  <c r="D12" i="12" s="1"/>
  <c r="F12" i="12" s="1"/>
  <c r="G12" i="12" s="1"/>
  <c r="H506" i="5"/>
  <c r="K507" i="5"/>
  <c r="L507" i="5" s="1"/>
  <c r="D19" i="12" s="1"/>
  <c r="F19" i="12" s="1"/>
  <c r="G19" i="12" s="1"/>
  <c r="G5" i="10"/>
  <c r="B23" i="10"/>
  <c r="C223" i="8"/>
  <c r="C222" i="8"/>
  <c r="O509" i="5"/>
  <c r="G508" i="5"/>
  <c r="I508" i="5" s="1"/>
  <c r="D25" i="12" s="1"/>
  <c r="F25" i="12" s="1"/>
  <c r="G25" i="12" s="1"/>
  <c r="I512" i="5" l="1"/>
  <c r="D53" i="12" s="1"/>
  <c r="F53" i="12" s="1"/>
  <c r="G53" i="12" s="1"/>
  <c r="I507" i="5"/>
  <c r="D18" i="12" s="1"/>
  <c r="F18" i="12" s="1"/>
  <c r="G18" i="12" s="1"/>
  <c r="X454" i="6"/>
  <c r="D66" i="12" s="1"/>
  <c r="F66" i="12" s="1"/>
  <c r="G66" i="12" s="1"/>
  <c r="Y454" i="6"/>
  <c r="X458" i="6"/>
  <c r="D78" i="12" s="1"/>
  <c r="F78" i="12" s="1"/>
  <c r="G78" i="12" s="1"/>
  <c r="W456" i="6"/>
  <c r="C71" i="8"/>
  <c r="C70" i="8"/>
  <c r="V455" i="6"/>
  <c r="X455" i="6"/>
  <c r="D69" i="12" s="1"/>
  <c r="F69" i="12" s="1"/>
  <c r="G69" i="12" s="1"/>
  <c r="I513" i="5"/>
  <c r="D60" i="12" s="1"/>
  <c r="F60" i="12" s="1"/>
  <c r="G60" i="12" s="1"/>
  <c r="V456" i="6"/>
  <c r="V460" i="6"/>
  <c r="W459" i="6"/>
  <c r="Y455" i="6"/>
  <c r="X456" i="6"/>
  <c r="D72" i="12" s="1"/>
  <c r="F72" i="12" s="1"/>
  <c r="G72" i="12" s="1"/>
  <c r="I511" i="5"/>
  <c r="D46" i="12" s="1"/>
  <c r="F46" i="12" s="1"/>
  <c r="G46" i="12" s="1"/>
  <c r="V459" i="6"/>
  <c r="W460" i="6"/>
  <c r="C23" i="10"/>
  <c r="D134" i="12" s="1"/>
  <c r="F134" i="12" s="1"/>
  <c r="G134" i="12" s="1"/>
  <c r="D133" i="12"/>
  <c r="F133" i="12" s="1"/>
  <c r="G133" i="12" s="1"/>
  <c r="B24" i="10"/>
  <c r="C24" i="10" s="1"/>
  <c r="V461" i="6"/>
  <c r="I509" i="5"/>
  <c r="D32" i="12" s="1"/>
  <c r="F32" i="12" s="1"/>
  <c r="G32" i="12" s="1"/>
  <c r="B2162" i="9"/>
  <c r="B2158" i="9"/>
  <c r="B2164" i="9"/>
  <c r="B2165" i="9" s="1"/>
  <c r="D131" i="12" s="1"/>
  <c r="F131" i="12" s="1"/>
  <c r="G131" i="12" s="1"/>
  <c r="D153" i="12" s="1"/>
  <c r="C2161" i="9"/>
  <c r="B2161" i="9"/>
  <c r="C2160" i="9"/>
  <c r="B2163" i="9"/>
  <c r="B2159" i="9"/>
  <c r="C2162" i="9"/>
</calcChain>
</file>

<file path=xl/sharedStrings.xml><?xml version="1.0" encoding="utf-8"?>
<sst xmlns="http://schemas.openxmlformats.org/spreadsheetml/2006/main" count="5518" uniqueCount="838">
  <si>
    <t>SỔ TÍNH TOÁN ĐẦY ĐỦ – TOÀN BỘ SỐ LIỆU CỦA BÀI BÁO "KHOẢNG CÁCH TMĐT GIỮA 63 TỈNH, 2017–2024"</t>
  </si>
  <si>
    <t>Đây là bản "làm thật": mọi con số trong bài đều truy được về sheet 1_Du_lieu qua công thức, trừ các thống kê Excel không có hàm (đánh dấu màu cam).</t>
  </si>
  <si>
    <t>MÀU Ô:  VÀNG = số liệu gốc nhập vào (VECOM, Niên giám);  XANH LÁ = công thức Excel (bấm vào ô để xem);  XÁM = kết quả cuối được dẫn trong bài;  CAM = giá trị dán từ script 01_phan_tich.py (Excel không có hàm: sai số chuẩn cụm theo tỉnh, p-value vững HC1, VIF, kiểm định Wald, hiệu ứng cố định tỉnh, Oaxaca–Blinder bootstrap).</t>
  </si>
  <si>
    <t>Sheet cuối "11_Doi_chieu" so sánh từng con số Excel tính được với Python: cột "Chênh lệch" phải ≈ 0.</t>
  </si>
  <si>
    <t>Số trong Excel dùng dấu chấm thập phân (định dạng máy); bài báo in dấu phẩy. Các số trong bài đã làm tròn 3–4 chữ số.</t>
  </si>
  <si>
    <t>Hàng dữ liệu được sắp theo NĂM rồi TỈNH (63 tỉnh mỗi năm, cùng thứ tự) nên "năm trước" của một dòng luôn nằm đúng 63 dòng phía trên – các biến trễ (_L1) dựa vào quy tắc đó.</t>
  </si>
  <si>
    <t>Sheet</t>
  </si>
  <si>
    <t>Nội dung</t>
  </si>
  <si>
    <t>Tương ứng trong bài báo</t>
  </si>
  <si>
    <t>Loại tính toán</t>
  </si>
  <si>
    <t>1_Du_lieu</t>
  </si>
  <si>
    <t>504 dòng tỉnh–năm: EBI + 4 trụ cột (VECOM), biến Niên giám, biến dẫn xuất ln(…), biến trễ 1 năm</t>
  </si>
  <si>
    <t>Bảng 1 (mô tả biến), Mục 3.1–3.2</t>
  </si>
  <si>
    <t>Nhập + công thức dẫn xuất</t>
  </si>
  <si>
    <t>2_Bang1_Mo_ta</t>
  </si>
  <si>
    <t>Thống kê mô tả 16 biến</t>
  </si>
  <si>
    <t>Bảng 1</t>
  </si>
  <si>
    <t>Công thức</t>
  </si>
  <si>
    <t>3_Bang2_EBI_tuong_doi</t>
  </si>
  <si>
    <t>EBI tương đối từng tỉnh–năm; trung bình vùng theo giai đoạn; ma trận vùng × năm; biểu đồ</t>
  </si>
  <si>
    <t>Bảng 2, Hình 2, Mục 3.1, 4.1</t>
  </si>
  <si>
    <t>Công thức + biểu đồ</t>
  </si>
  <si>
    <t>4_Bang3_Gini_Theil</t>
  </si>
  <si>
    <t>Gini, CV, SD ln, Theil-T, MLD và phân rã giữa/trong 6 vùng từng năm; kiểm tra bỏ HN &amp; TP.HCM; biểu đồ</t>
  </si>
  <si>
    <t>Bảng 3, Hình 3, Hình 4, phương trình (1)</t>
  </si>
  <si>
    <t>5_Bang4_Gini_tru_cot</t>
  </si>
  <si>
    <t>Phân rã Gini theo trụ cột S·G·R từng năm</t>
  </si>
  <si>
    <t>Bảng 4, Mục 4.2</t>
  </si>
  <si>
    <t>6_Bang5a_Sigma</t>
  </si>
  <si>
    <t>Hệ số biến thiên EBI và 3 trụ cột theo năm; biểu đồ</t>
  </si>
  <si>
    <t>Hình 5, Mục 4.3</t>
  </si>
  <si>
    <t>7_Bang5_Beta</t>
  </si>
  <si>
    <t>Hội tụ beta tuyệt đối và có điều kiện 3 cửa sổ; λ, bán hội tụ; biểu đồ điểm + đường xu hướng</t>
  </si>
  <si>
    <t>Bảng 5, 5b, Hình 6, 7, phương trình (2)</t>
  </si>
  <si>
    <t>Công thức (LINEST) + dán SE vững, bảng động</t>
  </si>
  <si>
    <t>8_Bang6_7_9_OLS</t>
  </si>
  <si>
    <t>Hồi quy OLS gộp M1–M4, hệ số chuẩn hóa, ma trận tương quan, biến giả vùng M5–M6, cắt ngang 2024</t>
  </si>
  <si>
    <t>Bảng 6, 7, 9, phương trình (3)</t>
  </si>
  <si>
    <t>Công thức (LINEST) + dán SE cụm, p, VIF, Wald, FE tỉnh</t>
  </si>
  <si>
    <t>9_Bang8_Oaxaca</t>
  </si>
  <si>
    <t>Phân tách Oaxaca–Blinder lõi – ngoại vi: trung bình nhóm, phần nguồn lực theo biến, tổng; biểu đồ</t>
  </si>
  <si>
    <t>Bảng 8, 8b, Hình 8, phương trình (4)</t>
  </si>
  <si>
    <t>Công thức (trung bình, tích) + dán β*, bootstrap</t>
  </si>
  <si>
    <t>10_So_lieu_khac</t>
  </si>
  <si>
    <t>Top/bottom 5 tỉnh 2024, tỷ số max/trung vị, P90/P10, lõi – ngoại vi theo năm, tỉnh thiếu số liệu</t>
  </si>
  <si>
    <t>Mục 3.1, 4.1, 4.3</t>
  </si>
  <si>
    <t>11_Doi_chieu</t>
  </si>
  <si>
    <t>Đối chiếu Excel ↔ Python cho mọi con số then chốt</t>
  </si>
  <si>
    <t>—</t>
  </si>
  <si>
    <t>Kiểm tra</t>
  </si>
  <si>
    <t>DỮ LIỆU GỐC 63 TỈNH × 8 NĂM (sắp theo năm, rồi tỉnh)</t>
  </si>
  <si>
    <t>Cột vàng: nhập từ VECOM (EBI, trụ cột) và Niên giám Thống kê. Cột xanh: dẫn xuất bằng công thức. Ô EBI trống = VECOM không xếp hạng tỉnh đó năm đó.</t>
  </si>
  <si>
    <t>Tỉnh</t>
  </si>
  <si>
    <t>Năm</t>
  </si>
  <si>
    <t>Vùng (6 vùng NGTK)</t>
  </si>
  <si>
    <t>Lõi=1 (ĐNB, ĐBSH)</t>
  </si>
  <si>
    <t>EBI</t>
  </si>
  <si>
    <t>NNL&amp;HT</t>
  </si>
  <si>
    <t>B2C</t>
  </si>
  <si>
    <t>B2B</t>
  </si>
  <si>
    <t>G2B (≤2020)</t>
  </si>
  <si>
    <t>Dân số (nghìn người)</t>
  </si>
  <si>
    <t>GRDP/người (tr.đ)</t>
  </si>
  <si>
    <t>DN/1.000 dân</t>
  </si>
  <si>
    <t>% thành thị</t>
  </si>
  <si>
    <t>% LĐ qua đào tạo</t>
  </si>
  <si>
    <t>% hộ có máy tính</t>
  </si>
  <si>
    <t>Hàng hóa đường bộ (nghìn tấn)</t>
  </si>
  <si>
    <t>Hàng hóa/người (tấn)</t>
  </si>
  <si>
    <t>Siêu thị</t>
  </si>
  <si>
    <t>TTTM</t>
  </si>
  <si>
    <t>ST+TTTM/100.000 dân</t>
  </si>
  <si>
    <t>FDI lũy kế/người (USD)</t>
  </si>
  <si>
    <t>ln(EBI)</t>
  </si>
  <si>
    <t>ln(GRDP/người)</t>
  </si>
  <si>
    <t>ln(hàng hóa/người)</t>
  </si>
  <si>
    <t>ln(1+FDI/người)</t>
  </si>
  <si>
    <t>ln(GRDP/người) (t−1)</t>
  </si>
  <si>
    <t>Mật độ DN (DN/1.000 dân) (t−1)</t>
  </si>
  <si>
    <t>Tỷ lệ dân số thành thị (%) (t−1)</t>
  </si>
  <si>
    <t>Tỷ lệ LĐ qua đào tạo (%) (t−1)</t>
  </si>
  <si>
    <t>Tỷ lệ hộ có máy tính (%) (t−1)</t>
  </si>
  <si>
    <t>ln(Hàng hóa vận chuyển đường bộ/người) (t−1)</t>
  </si>
  <si>
    <t>Siêu thị + TTTM/100.000 dân (t−1)</t>
  </si>
  <si>
    <t>ln(1 + FDI lũy kế/người) (t−1)</t>
  </si>
  <si>
    <t>An Giang</t>
  </si>
  <si>
    <t>ĐBSCL</t>
  </si>
  <si>
    <t>Bà Rịa - Vũng Tàu</t>
  </si>
  <si>
    <t>ĐNB</t>
  </si>
  <si>
    <t>Bình Dương</t>
  </si>
  <si>
    <t>Bình Phước</t>
  </si>
  <si>
    <t>Bình Thuận</t>
  </si>
  <si>
    <t>BTB&amp;DHMT</t>
  </si>
  <si>
    <t>Bình Định</t>
  </si>
  <si>
    <t>Bạc Liêu</t>
  </si>
  <si>
    <t>Bắc Giang</t>
  </si>
  <si>
    <t>TDMNPB</t>
  </si>
  <si>
    <t>Bắc Kạn</t>
  </si>
  <si>
    <t>Bắc Ninh</t>
  </si>
  <si>
    <t>ĐBSH</t>
  </si>
  <si>
    <t>Bến Tre</t>
  </si>
  <si>
    <t>Cao Bằng</t>
  </si>
  <si>
    <t>Cà Mau</t>
  </si>
  <si>
    <t>Cần Thơ</t>
  </si>
  <si>
    <t>Gia Lai</t>
  </si>
  <si>
    <t>TN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</si>
  <si>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</si>
  <si>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</si>
  <si>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</si>
  <si>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</si>
  <si>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</si>
  <si>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</si>
  <si>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</si>
  <si>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</si>
  <si>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</si>
  <si>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</si>
  <si>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</si>
  <si>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</si>
  <si>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</si>
  <si>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</si>
  <si>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</si>
  <si>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</si>
  <si>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</si>
  <si>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</si>
  <si>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</si>
  <si>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</si>
  <si>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</si>
  <si>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</si>
  <si>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</si>
  <si>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</si>
  <si>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</si>
  <si>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</si>
  <si>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</si>
  <si>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</si>
  <si>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</si>
  <si>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</si>
  <si>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TP. Hồ Chí Minh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</si>
  <si>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</si>
  <si>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</si>
  <si>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</si>
  <si>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</si>
  <si>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</si>
  <si>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</si>
  <si>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</si>
  <si>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</si>
  <si>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</si>
  <si>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</si>
  <si>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</si>
  <si>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</si>
  <si>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</si>
  <si>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</si>
  <si>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</si>
  <si>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</si>
  <si>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</si>
  <si>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BẢNG 1. Thống kê mô tả (gộp 2017–2024; N = số ô không trống)</t>
  </si>
  <si>
    <t>Biến</t>
  </si>
  <si>
    <t>Cột trong 1_Du_lieu</t>
  </si>
  <si>
    <t>N</t>
  </si>
  <si>
    <t>Trung bình</t>
  </si>
  <si>
    <t>Độ lệch chuẩn</t>
  </si>
  <si>
    <t>Nhỏ nhất</t>
  </si>
  <si>
    <t>Lớn nhất</t>
  </si>
  <si>
    <t>Chỉ số TMĐT tổng hợp (EBI)</t>
  </si>
  <si>
    <t>E</t>
  </si>
  <si>
    <t>Trụ cột NNL&amp;HT</t>
  </si>
  <si>
    <t>F</t>
  </si>
  <si>
    <t>Trụ cột B2C</t>
  </si>
  <si>
    <t>G</t>
  </si>
  <si>
    <t>Trụ cột B2B</t>
  </si>
  <si>
    <t>H</t>
  </si>
  <si>
    <t>Trụ cột G2B (2017–2020)</t>
  </si>
  <si>
    <t>I</t>
  </si>
  <si>
    <t>GRDP bình quân đầu người (tr.đ)</t>
  </si>
  <si>
    <t>K</t>
  </si>
  <si>
    <t>Mật độ doanh nghiệp (DN/1.000 dân)</t>
  </si>
  <si>
    <t>L</t>
  </si>
  <si>
    <t>Tỷ lệ dân số thành thị (%)</t>
  </si>
  <si>
    <t>M</t>
  </si>
  <si>
    <t>Tỷ lệ LĐ 15+ qua đào tạo (%)</t>
  </si>
  <si>
    <t>Tỷ lệ hộ có máy tính (%)</t>
  </si>
  <si>
    <t>O</t>
  </si>
  <si>
    <t>Hàng hóa đường bộ/người (tấn)</t>
  </si>
  <si>
    <t>Q</t>
  </si>
  <si>
    <t>Siêu thị + TTTM/100.000 dân</t>
  </si>
  <si>
    <t>T</t>
  </si>
  <si>
    <t>U</t>
  </si>
  <si>
    <t>EBI TƯƠNG ĐỐI = EBI / trung bình các tỉnh có số liệu trong năm × 100</t>
  </si>
  <si>
    <t>Trung bình năm t tính bằng AVERAGE trên khối 63 dòng của năm t trong 1_Du_lieu (ô trống bị bỏ qua, nên mẫu số là số tỉnh có EBI).</t>
  </si>
  <si>
    <t>Vùng</t>
  </si>
  <si>
    <t>Giai đoạn</t>
  </si>
  <si>
    <t>Trung bình năm (N tỉnh có EBI)</t>
  </si>
  <si>
    <t>EBI tương đối</t>
  </si>
  <si>
    <t>NNL&amp;HT tương đối</t>
  </si>
  <si>
    <t>B2C tương đối</t>
  </si>
  <si>
    <t>B2B tương đối</t>
  </si>
  <si>
    <t>Lõi</t>
  </si>
  <si>
    <t>BẢNG 2. EBI tương đối theo 6 vùng (trung bình giản đơn các tỉnh–năm trong vùng)</t>
  </si>
  <si>
    <t>Số tỉnh</t>
  </si>
  <si>
    <t>EBI 2017–2020</t>
  </si>
  <si>
    <t>EBI 2021–2024</t>
  </si>
  <si>
    <t>EBI 2024</t>
  </si>
  <si>
    <t>NNL&amp;HT 2024</t>
  </si>
  <si>
    <t>B2C 2024</t>
  </si>
  <si>
    <t>B2B 2024</t>
  </si>
  <si>
    <t>Đông Nam Bộ</t>
  </si>
  <si>
    <t>Đồng bằng sông Hồng</t>
  </si>
  <si>
    <t>Bắc Trung Bộ và Duyên hải miền Trung</t>
  </si>
  <si>
    <t>Đồng bằng sông Cửu Long</t>
  </si>
  <si>
    <t>Tây Nguyên</t>
  </si>
  <si>
    <t>Trung du và miền núi phía Bắc</t>
  </si>
  <si>
    <t>Tỷ số vùng cao nhất / vùng thấp nhất</t>
  </si>
  <si>
    <t>EBI tương đối trung bình vùng theo từng năm (dữ liệu Hình 2)</t>
  </si>
  <si>
    <t>2017</t>
  </si>
  <si>
    <t>2018</t>
  </si>
  <si>
    <t>2019</t>
  </si>
  <si>
    <t>2020</t>
  </si>
  <si>
    <t>2021</t>
  </si>
  <si>
    <t>2022</t>
  </si>
  <si>
    <t>2023</t>
  </si>
  <si>
    <t>2024</t>
  </si>
  <si>
    <t>BẢNG 3. Gini, CV, Theil-T, MLD và phân rã theo 6 vùng – tính riêng từng năm trên các tỉnh có EBI</t>
  </si>
  <si>
    <t>Mỗi dòng = một tỉnh–năm (445 dòng, sắp theo năm). Cột "j" = thứ hạng trong năm (RANK.AVG, tăng dần). Gini = 2Σ(j·y)/(N·Σy) − (N+1)/N. Theil-T = Σ(y/ȳ)ln(y/ȳ)/N; MLD = Σln(ȳ/y)/N. Cột "f" = 1 nếu là Hà Nội hoặc TP.HCM (dùng cho kiểm tra vững).</t>
  </si>
  <si>
    <t>y = EBI</t>
  </si>
  <si>
    <t>f (HN/HCM)</t>
  </si>
  <si>
    <t>ȳ năm</t>
  </si>
  <si>
    <t>N năm</t>
  </si>
  <si>
    <t>j = hạng</t>
  </si>
  <si>
    <t>j·y</t>
  </si>
  <si>
    <t>y/ȳ</t>
  </si>
  <si>
    <t>ln(y/ȳ)</t>
  </si>
  <si>
    <t>(y/ȳ)ln(y/ȳ)</t>
  </si>
  <si>
    <t>ln(ȳ/y)  [MLD]</t>
  </si>
  <si>
    <t>ln(y)</t>
  </si>
  <si>
    <t>ȳ_ex (bỏ HN,HCM)</t>
  </si>
  <si>
    <t>(1−f)(y/ȳ_ex)ln(y/ȳ_ex)</t>
  </si>
  <si>
    <t>PHÂN RÃ THEO VÙNG (từng năm): s_k = (N_k/N)(ȳ_k/ȳ); T_k = Theil trong vùng; phần trong = s_k·T_k; phần giữa = s_k·ln(ȳ_k/ȳ). MLD: p_k = N_k/N; L_k; giữa = p_k·ln(ȳ/ȳ_k). Cột cuối: bỏ HN &amp; TP.HCM.</t>
  </si>
  <si>
    <t>N_k</t>
  </si>
  <si>
    <t>ȳ_k</t>
  </si>
  <si>
    <t>s_k</t>
  </si>
  <si>
    <t>T_k</t>
  </si>
  <si>
    <t>s_k·T_k (trong)</t>
  </si>
  <si>
    <t>ln(ȳ_k/ȳ)</t>
  </si>
  <si>
    <t>s_k·ln(ȳ_k/ȳ) (giữa)</t>
  </si>
  <si>
    <t>p_k</t>
  </si>
  <si>
    <t>L_k (MLD vùng)</t>
  </si>
  <si>
    <t>p_k·L_k</t>
  </si>
  <si>
    <t>p_k·ln(ȳ/ȳ_k) (giữa MLD)</t>
  </si>
  <si>
    <t>N_k,ex</t>
  </si>
  <si>
    <t>ȳ_k,ex</t>
  </si>
  <si>
    <t>s_k,ex·ln(ȳ_k,ex/ȳ_ex)</t>
  </si>
  <si>
    <t>BẢNG 3 (tổng hợp theo năm)</t>
  </si>
  <si>
    <t>Gini</t>
  </si>
  <si>
    <t>CV</t>
  </si>
  <si>
    <t>SD ln(EBI)</t>
  </si>
  <si>
    <t>Theil-T</t>
  </si>
  <si>
    <t>Giữa các vùng</t>
  </si>
  <si>
    <t>Trong vùng</t>
  </si>
  <si>
    <t>Tỷ trọng giữa vùng (%)</t>
  </si>
  <si>
    <t>MLD</t>
  </si>
  <si>
    <t>MLD giữa vùng</t>
  </si>
  <si>
    <t>Tỷ trọng giữa vùng MLD (%)</t>
  </si>
  <si>
    <t>Theil-T bỏ HN&amp;HCM</t>
  </si>
  <si>
    <t>Giữa vùng bỏ HN&amp;HCM</t>
  </si>
  <si>
    <t>Tỷ trọng giữa vùng bỏ HN&amp;HCM (%)</t>
  </si>
  <si>
    <t>Gini bỏ HN&amp;HCM</t>
  </si>
  <si>
    <t>BẢNG 4. Phân rã Gini theo trụ cột: G(EBI) = Σ S_k·G_k·R_k</t>
  </si>
  <si>
    <t>Y = Σ w_k·X_k (EBI tái tạo từ trọng số phục hồi). S_k = TB(w_k X_k)/TB(Y); G_k = Gini của w_k X_k; R_k = COVARIANCE.S(w_k X_k, hạng Y/N) / COVARIANCE.S(w_k X_k, hạng w_k X_k/N). Đóng góp % = S·G·R / Σ(S·G·R). Trọng số theo năm ở bảng nhỏ bên phải.</t>
  </si>
  <si>
    <t>Trọng số</t>
  </si>
  <si>
    <t>G2B</t>
  </si>
  <si>
    <t>w·NNL&amp;HT</t>
  </si>
  <si>
    <t>w·B2C</t>
  </si>
  <si>
    <t>w·B2B</t>
  </si>
  <si>
    <t>w·G2B</t>
  </si>
  <si>
    <t>Y tái tạo</t>
  </si>
  <si>
    <t>hạng Y/N</t>
  </si>
  <si>
    <t>hạng w·NNL/N</t>
  </si>
  <si>
    <t>hạng w·B2C/N</t>
  </si>
  <si>
    <t>hạng w·B2B/N</t>
  </si>
  <si>
    <t>hạng w·G2B/N</t>
  </si>
  <si>
    <t>BẢNG 4 (tổng hợp theo năm)</t>
  </si>
  <si>
    <t>Gini Y (tái tạo)</t>
  </si>
  <si>
    <t>Gini EBI công bố</t>
  </si>
  <si>
    <t>S NNL&amp;HT</t>
  </si>
  <si>
    <t>G NNL&amp;HT</t>
  </si>
  <si>
    <t>R NNL&amp;HT</t>
  </si>
  <si>
    <t>S·G·R NNL&amp;HT</t>
  </si>
  <si>
    <t>S B2C</t>
  </si>
  <si>
    <t>G B2C</t>
  </si>
  <si>
    <t>R B2C</t>
  </si>
  <si>
    <t>S·G·R B2C</t>
  </si>
  <si>
    <t>S B2B</t>
  </si>
  <si>
    <t>G B2B</t>
  </si>
  <si>
    <t>R B2B</t>
  </si>
  <si>
    <t>S·G·R B2B</t>
  </si>
  <si>
    <t>S G2B</t>
  </si>
  <si>
    <t>G G2B</t>
  </si>
  <si>
    <t>R G2B</t>
  </si>
  <si>
    <t>S·G·R G2B</t>
  </si>
  <si>
    <t>Σ S·G·R</t>
  </si>
  <si>
    <t>Đóng góp NNL&amp;HT (%)</t>
  </si>
  <si>
    <t>Đóng góp B2C (%)</t>
  </si>
  <si>
    <t>Đóng góp B2B (%)</t>
  </si>
  <si>
    <t>Đóng góp G2B (%)</t>
  </si>
  <si>
    <t>HỘI TỤ SIGMA: hệ số biến thiên CV = STDEV.S / AVERAGE theo năm (Hình 5)</t>
  </si>
  <si>
    <t>Tính trên khối 63 dòng của mỗi năm trong 1_Du_lieu; ô trống được bỏ qua.</t>
  </si>
  <si>
    <t>N (EBI)</t>
  </si>
  <si>
    <t>CV EBI</t>
  </si>
  <si>
    <t>CV NNL&amp;HT</t>
  </si>
  <si>
    <t>CV B2C</t>
  </si>
  <si>
    <t>CV B2B</t>
  </si>
  <si>
    <t>Trung bình EBI</t>
  </si>
  <si>
    <t>SD EBI</t>
  </si>
  <si>
    <t>BẢNG 5. Hội tụ beta: g_i = (1/T)·ln(EBI_T/EBI_0) = α + β·ln(EBI_0) [+ γ′Z_0]</t>
  </si>
  <si>
    <t>β, α, R² và SE cổ điển bằng SLOPE/INTERCEPT/RSQ/LINEST. SE vững HC1 và p-value (dùng trong bài) dán từ Python (ô cam). λ = −ln(1+βT)/T; bán hội tụ = ln2/λ. Biến điều kiện Z lấy năm gốc (GRDP: 2018 cho gốc 2017). EBI tương đối lấy từ sheet 3.</t>
  </si>
  <si>
    <t>Tuyệt đối, 2017–2020 (thang cũ)  (T = 3)</t>
  </si>
  <si>
    <t>y0 = EBI 2017</t>
  </si>
  <si>
    <t>y1 = EBI 2020</t>
  </si>
  <si>
    <t>x = ln y0</t>
  </si>
  <si>
    <t>ln y1</t>
  </si>
  <si>
    <t>g = (ln y1 − ln y0)/T</t>
  </si>
  <si>
    <t>Có đủ Z?</t>
  </si>
  <si>
    <t>ln(GRDP/người) (2018)</t>
  </si>
  <si>
    <t>Mật độ DN (DN/1.000 dân) (2018)</t>
  </si>
  <si>
    <t>Tỷ lệ dân số thành thị (%) (2018)</t>
  </si>
  <si>
    <t>Tỷ lệ LĐ qua đào tạo (%) (2018)</t>
  </si>
  <si>
    <t>g (đủ Z)</t>
  </si>
  <si>
    <t>Mật độ DN (DN/1.000 dân)</t>
  </si>
  <si>
    <t>Tỷ lệ LĐ qua đào tạo (%)</t>
  </si>
  <si>
    <t>KẾT QUẢ</t>
  </si>
  <si>
    <t>Tuyệt đối</t>
  </si>
  <si>
    <t>Có điều kiện</t>
  </si>
  <si>
    <t>Ghi chú</t>
  </si>
  <si>
    <t>β (hệ số ln y0)</t>
  </si>
  <si>
    <t>SLOPE / LINEST (cột 5 = ln y0 vì LINEST trả hệ số theo thứ tự ngược)</t>
  </si>
  <si>
    <t>α (hằng số)</t>
  </si>
  <si>
    <t>SE cổ điển của β</t>
  </si>
  <si>
    <t>giả định phương sai sai số đồng đều</t>
  </si>
  <si>
    <t>SE vững HC1 (bài dùng)</t>
  </si>
  <si>
    <t>DÁN từ Python – Excel không có</t>
  </si>
  <si>
    <t>p-value (HC1)</t>
  </si>
  <si>
    <t>DÁN từ Python</t>
  </si>
  <si>
    <t>R²</t>
  </si>
  <si>
    <t>λ = −ln(1+β·T)/T</t>
  </si>
  <si>
    <t>chỉ khi 1+βT &gt; 0 và λ &gt; 0; nếu β &gt; 0 ghi —</t>
  </si>
  <si>
    <t>Tốc độ hội tụ (%/năm)</t>
  </si>
  <si>
    <t>Thời gian bán hội tụ (năm)</t>
  </si>
  <si>
    <t>ln2/λ</t>
  </si>
  <si>
    <t>Hệ số các biến điều kiện (Bảng 5b):</t>
  </si>
  <si>
    <t>p (HC1) = 0.0642  [DÁN]</t>
  </si>
  <si>
    <t>p (HC1) = 0.0610  [DÁN]</t>
  </si>
  <si>
    <t>p (HC1) = 0.1013  [DÁN]</t>
  </si>
  <si>
    <t>p (HC1) = 0.8660  [DÁN]</t>
  </si>
  <si>
    <t>Tuyệt đối, 2021–2024 (thang mới)  (T = 3)</t>
  </si>
  <si>
    <t>y0 = EBI 2021</t>
  </si>
  <si>
    <t>y1 = EBI 2024</t>
  </si>
  <si>
    <t>ln(GRDP/người) (2021)</t>
  </si>
  <si>
    <t>Mật độ DN (DN/1.000 dân) (2021)</t>
  </si>
  <si>
    <t>Tỷ lệ dân số thành thị (%) (2021)</t>
  </si>
  <si>
    <t>Tỷ lệ LĐ qua đào tạo (%) (2021)</t>
  </si>
  <si>
    <t>p (HC1) = 0.1137  [DÁN]</t>
  </si>
  <si>
    <t>p (HC1) = 0.0225  [DÁN]</t>
  </si>
  <si>
    <t>p (HC1) = 0.1552  [DÁN]</t>
  </si>
  <si>
    <t>p (HC1) = 0.4777  [DÁN]</t>
  </si>
  <si>
    <t>Tuyệt đối, 2017–2024 (EBI tương đối)  (T = 7)</t>
  </si>
  <si>
    <t>y0 = EBI_rel 2017</t>
  </si>
  <si>
    <t>y1 = EBI_rel 2024</t>
  </si>
  <si>
    <t>p (HC1) = 0.3295  [DÁN]</t>
  </si>
  <si>
    <t>p (HC1) = 0.5407  [DÁN]</t>
  </si>
  <si>
    <t>p (HC1) = 0.8743  [DÁN]</t>
  </si>
  <si>
    <t>p (HC1) = 0.8330  [DÁN]</t>
  </si>
  <si>
    <t>Bảng động (tăng trưởng hằng năm EBI tương đối, hiệu ứng năm, loại bước nhảy 2020→2021) – DÁN từ Python (hồi quy với biến giả năm và SE cụm):</t>
  </si>
  <si>
    <t>β</t>
  </si>
  <si>
    <t>SE cụm theo tỉnh</t>
  </si>
  <si>
    <t>p</t>
  </si>
  <si>
    <t>λ = −ln(1+β)</t>
  </si>
  <si>
    <t>Bán hội tụ</t>
  </si>
  <si>
    <t>BẢNG 6, 7, 9. Hồi quy OLS: ln(EBI) = β0 + β′X + δ_năm (+ vùng)</t>
  </si>
  <si>
    <t>Hệ số, SE cổ điển và R² từ LINEST (công thức). SE cụm theo tỉnh, p-value, VIF, Wald, hiệu ứng cố định tỉnh: DÁN từ Python (ô cam). LINEST trả hệ số theo thứ tự ngược với cột X, nên hệ số của cột thứ j (j = 1..m) = INDEX(LINEST(...),1,m−j+1); hằng số ở cột m+1; SE ở hàng 2; R² ở INDEX(...,3,1).</t>
  </si>
  <si>
    <t>MẪU M2: 2019–2024, 8 biến X + biến giả năm (gốc 2019) – 331 quan sát</t>
  </si>
  <si>
    <t>y = ln(EBI)</t>
  </si>
  <si>
    <t>ln(Hàng hóa vận chuyển đường bộ/người)</t>
  </si>
  <si>
    <t>ln(1 + FDI lũy kế/người)</t>
  </si>
  <si>
    <t>D2020</t>
  </si>
  <si>
    <t>D2021</t>
  </si>
  <si>
    <t>D2022</t>
  </si>
  <si>
    <t>D2023</t>
  </si>
  <si>
    <t>D2024</t>
  </si>
  <si>
    <t>Lõi (core)</t>
  </si>
  <si>
    <t>BẢNG 6 cột (2) – M2</t>
  </si>
  <si>
    <t>Hệ số (LINEST)</t>
  </si>
  <si>
    <t>SE cổ điển (LINEST)</t>
  </si>
  <si>
    <t>SE cụm theo tỉnh [DÁN]</t>
  </si>
  <si>
    <t>p-value cụm [DÁN]</t>
  </si>
  <si>
    <t>Dấu sao</t>
  </si>
  <si>
    <t>Hệ số Python [DÁN – đối chiếu]</t>
  </si>
  <si>
    <t>Năm 2020</t>
  </si>
  <si>
    <t>Năm 2021</t>
  </si>
  <si>
    <t>Năm 2022</t>
  </si>
  <si>
    <t>Năm 2023</t>
  </si>
  <si>
    <t>Năm 2024</t>
  </si>
  <si>
    <t>Hằng số</t>
  </si>
  <si>
    <t>R² hiệu chỉnh = 1 − (1−R²)(N−1)/(N−m−1)</t>
  </si>
  <si>
    <t>VIF của cột (2) – DÁN từ Python (VIF_j = 1/(1−R²_j), hồi quy X_j lên 7 biến X còn lại)</t>
  </si>
  <si>
    <t>Ma trận tương quan Pearson (mẫu M2, hàm CORREL)</t>
  </si>
  <si>
    <t>HỆ SỐ CHUẨN HÓA – cột (5): z = (x − TB)/SD cho y và 8 biến X trên mẫu M2, biến giả năm giữ nguyên</t>
  </si>
  <si>
    <t>z(y)</t>
  </si>
  <si>
    <t>z(ln(GRDP/người))</t>
  </si>
  <si>
    <t>z(Mật độ DN (DN/1.000 dân))</t>
  </si>
  <si>
    <t>z(Tỷ lệ dân số thành thị (%))</t>
  </si>
  <si>
    <t>z(Tỷ lệ LĐ qua đào tạo (%))</t>
  </si>
  <si>
    <t>z(ln(Hàng hóa vận chuyển đường bộ/người))</t>
  </si>
  <si>
    <t>z(Siêu thị + TTTM/100.000 dân)</t>
  </si>
  <si>
    <t>z(ln(1 + FDI lũy kế/người))</t>
  </si>
  <si>
    <t>z(Tỷ lệ hộ có máy tính (%))</t>
  </si>
  <si>
    <t>BẢNG 6 cột (5) – hệ số chuẩn hóa của M2</t>
  </si>
  <si>
    <t>MẪU M1: 2018–2024, 7 biến X (không có hộ có máy tính) + biến giả năm (gốc 2018) – 384 quan sát</t>
  </si>
  <si>
    <t>D2019</t>
  </si>
  <si>
    <t>BẢNG 6 cột (1) – M1</t>
  </si>
  <si>
    <t>Năm 2019</t>
  </si>
  <si>
    <t>MẪU M3: biến X trễ 1 năm, 2020–2024 + biến giả năm (gốc 2020) – 278 quan sát</t>
  </si>
  <si>
    <t>ln_grdp_L1</t>
  </si>
  <si>
    <t>dn_per_1000_L1</t>
  </si>
  <si>
    <t>urban_share_pct_L1</t>
  </si>
  <si>
    <t>trained_labor_pct_L1</t>
  </si>
  <si>
    <t>ln_freight_L1</t>
  </si>
  <si>
    <t>modern_retail_100k_L1</t>
  </si>
  <si>
    <t>ln_fdi_pc_L1</t>
  </si>
  <si>
    <t>hh_computer_pct_L1</t>
  </si>
  <si>
    <t>BẢNG 6 cột (3) – M3</t>
  </si>
  <si>
    <t>MẪU M4: 2021–2024, 8 biến X + biến giả năm (gốc 2021) – 224 quan sát</t>
  </si>
  <si>
    <t>BẢNG 6 cột (4) – M4</t>
  </si>
  <si>
    <t>MẪU cho BẢNG 7: mẫu M2 + 5 biến giả vùng (gốc Đông Nam Bộ)</t>
  </si>
  <si>
    <t>D_ĐBSH</t>
  </si>
  <si>
    <t>D_BTB&amp;DHMT</t>
  </si>
  <si>
    <t>D_ĐBSCL</t>
  </si>
  <si>
    <t>D_TN</t>
  </si>
  <si>
    <t>D_TDMNPB</t>
  </si>
  <si>
    <t>BẢNG 7 cột (7) – M6: X + biến giả vùng</t>
  </si>
  <si>
    <t>Đồng bằng sông Hồng (so với ĐNB)</t>
  </si>
  <si>
    <t>Bắc Trung Bộ và Duyên hải miền Trung (so với ĐNB)</t>
  </si>
  <si>
    <t>Đồng bằng sông Cửu Long (so với ĐNB)</t>
  </si>
  <si>
    <t>Tây Nguyên (so với ĐNB)</t>
  </si>
  <si>
    <t>Trung du và miền núi phía Bắc (so với ĐNB)</t>
  </si>
  <si>
    <t>BẢNG 7 cột (6) – M5: chỉ biến giả vùng + năm</t>
  </si>
  <si>
    <t>SE cổ điển</t>
  </si>
  <si>
    <t>SE cụm [DÁN]</t>
  </si>
  <si>
    <t>p cụm [DÁN]</t>
  </si>
  <si>
    <t>Hệ số Python [DÁN]</t>
  </si>
  <si>
    <t>Kiểm định Wald (M6): H0: 5 hệ số vùng = 0 – DÁN từ Python</t>
  </si>
  <si>
    <t>χ²(5)</t>
  </si>
  <si>
    <t>BẢNG 7 cột (8) – M7: hiệu ứng cố định tỉnh (62 biến giả tỉnh) – DÁN toàn bộ từ Python</t>
  </si>
  <si>
    <t>Hệ số [DÁN]</t>
  </si>
  <si>
    <t>p [DÁN]</t>
  </si>
  <si>
    <t>R² hiệu chỉnh</t>
  </si>
  <si>
    <t>BẢNG 9. Cắt ngang 2024 (58 tỉnh) với chỉ tiêu số chi tiết (sheet Digital_2024_cross của file gốc)</t>
  </si>
  <si>
    <t>y = ln(EBI 2024)</t>
  </si>
  <si>
    <t>Tỷ lệ người sử dụng Internet (%)</t>
  </si>
  <si>
    <t>Tỷ lệ người có kỹ năng CNTT (%)</t>
  </si>
  <si>
    <t>Bảng 9 cột (1): chỉ biến số (LINEST cần cột liền nhau nên dùng CHOOSE để ghép cột)</t>
  </si>
  <si>
    <t>SE HC1 [DÁN]</t>
  </si>
  <si>
    <t>p HC1 [DÁN]</t>
  </si>
  <si>
    <t>Bảng 9 cột (2): biến số + kinh tế (LINEST cần cột liền nhau nên dùng CHOOSE để ghép cột)</t>
  </si>
  <si>
    <t>Bảng 9 cột (3): máy tính + kinh tế (LINEST cần cột liền nhau nên dùng CHOOSE để ghép cột)</t>
  </si>
  <si>
    <t>BẢNG 8. Oaxaca–Blinder: Ȳ_L − Ȳ_N = (X̄_L − X̄_N)′β*  +  [phần hệ số]</t>
  </si>
  <si>
    <t>Trung bình nhóm X̄_L, X̄_N và khoảng cách tính bằng AVERAGEIFS trên mẫu M2 (sheet 8). β* (hệ số tham chiếu từ mô hình gộp có biến nhóm, Jann 2008) và SE bootstrap: DÁN từ Python. Phần nguồn lực từng biến = (X̄_L − X̄_N)·β* là công thức; phần hệ số = khoảng cách − phần nguồn lực.</t>
  </si>
  <si>
    <t>X̄ lõi (core=1)</t>
  </si>
  <si>
    <t>X̄ ngoại vi (core=0)</t>
  </si>
  <si>
    <t>Chênh X̄</t>
  </si>
  <si>
    <t>β* [DÁN]</t>
  </si>
  <si>
    <t>Phần nguồn lực = chênh × β*</t>
  </si>
  <si>
    <t>% khoảng cách</t>
  </si>
  <si>
    <t>Phần hệ số theo biến [DÁN – chỉ có nghĩa ở tổng]</t>
  </si>
  <si>
    <t>ln(EBI) trung bình</t>
  </si>
  <si>
    <t>N lõi / N ngoại vi</t>
  </si>
  <si>
    <t>KHOẢNG CÁCH = Ȳ_L − Ȳ_N</t>
  </si>
  <si>
    <t>% EBI cao hơn (e^gap − 1)</t>
  </si>
  <si>
    <t>PHẦN NGUỒN LỰC = Σ (chênh X̄ × β*)</t>
  </si>
  <si>
    <t>SE bootstrap 300 lần [DÁN]</t>
  </si>
  <si>
    <t>PHẦN HỆ SỐ = khoảng cách − phần nguồn lực</t>
  </si>
  <si>
    <t>SE bootstrap [DÁN]</t>
  </si>
  <si>
    <t>BẢNG 8 đầy đủ (3 mẫu × 2 hệ số tham chiếu) – DÁN từ Python</t>
  </si>
  <si>
    <t>Mẫu</t>
  </si>
  <si>
    <t>Hệ số tham chiếu</t>
  </si>
  <si>
    <t>N lõi</t>
  </si>
  <si>
    <t>N ngoại vi</t>
  </si>
  <si>
    <t>ln EBI lõi</t>
  </si>
  <si>
    <t>ln EBI ngoại vi</t>
  </si>
  <si>
    <t>Khoảng cách</t>
  </si>
  <si>
    <t>Phần nguồn lực</t>
  </si>
  <si>
    <t>SE bootstrap</t>
  </si>
  <si>
    <t>% nguồn lực</t>
  </si>
  <si>
    <t>Phần hệ số</t>
  </si>
  <si>
    <t>% hệ số</t>
  </si>
  <si>
    <t>2019–2024 (M2)</t>
  </si>
  <si>
    <t>Hệ số gộp (Jann 2008)</t>
  </si>
  <si>
    <t>Hệ số vùng lõi</t>
  </si>
  <si>
    <t>2018–2024 (M1)</t>
  </si>
  <si>
    <t>2021–2024 (M4)</t>
  </si>
  <si>
    <t>CÁC CON SỐ KHÁC ĐƯỢC DẪN TRONG THÂN BÀI</t>
  </si>
  <si>
    <t>Top 5 và Bottom 5 tỉnh theo EBI 2024 (LARGE/SMALL + INDEX/MATCH; các tỉnh đồng điểm 13 sẽ trả tên tỉnh đầu tiên gặp)</t>
  </si>
  <si>
    <t>Hạng</t>
  </si>
  <si>
    <t>Tỉnh cao nhất</t>
  </si>
  <si>
    <t>Tỉnh thấp nhất</t>
  </si>
  <si>
    <t>Độ lệch phải của phân phối EBI theo năm (Mục 3.1)</t>
  </si>
  <si>
    <t>Cao nhất</t>
  </si>
  <si>
    <t>Trung vị</t>
  </si>
  <si>
    <t>Tỷ số cao nhất/trung vị</t>
  </si>
  <si>
    <t>P90</t>
  </si>
  <si>
    <t>P10</t>
  </si>
  <si>
    <t>P90/P10</t>
  </si>
  <si>
    <t>EBI tương đối trung bình vùng lõi và vùng ngoại vi theo năm (Mục 4.3)</t>
  </si>
  <si>
    <t>Lõi (ĐNB + ĐBSH)</t>
  </si>
  <si>
    <t>Ngoại vi (4 vùng)</t>
  </si>
  <si>
    <t>Tỉnh không có EBI theo năm (COUNTBLANK) và danh sách (từ Python)</t>
  </si>
  <si>
    <t>Số tỉnh thiếu</t>
  </si>
  <si>
    <t>Danh sách</t>
  </si>
  <si>
    <t>Bạc Liêu, Cao Bằng, Hà Giang, Hậu Giang, Lai Châu, Sóc Trăng, Sơn La, Vĩnh Long, Điện Biên</t>
  </si>
  <si>
    <t>Bạc Liêu, Cao Bằng, Cà Mau, Hà Giang, Hậu Giang, Lai Châu, Sóc Trăng, Sơn La, Điện Biên</t>
  </si>
  <si>
    <t>Bạc Liêu, Cao Bằng, Hà Giang, Hậu Giang, Lai Châu, Sóc Trăng, Sơn La, Điện Biên</t>
  </si>
  <si>
    <t>Bạc Liêu, Cao Bằng, Hà Giang, Lai Châu, Sóc Trăng, Sơn La, Điện Biên</t>
  </si>
  <si>
    <t>Cao Bằng, Hà Giang, Lai Châu, Sơn La, Điện Biên</t>
  </si>
  <si>
    <t>ĐỐI CHIẾU: giá trị Excel (công thức) so với giá trị Python (script 01) – cột "Chênh lệch" phải ≈ 0</t>
  </si>
  <si>
    <t>Nhóm</t>
  </si>
  <si>
    <t>Đại lượng</t>
  </si>
  <si>
    <t>Ô Excel</t>
  </si>
  <si>
    <t>Giá trị Excel</t>
  </si>
  <si>
    <t>Giá trị Python</t>
  </si>
  <si>
    <t>Chênh lệch</t>
  </si>
  <si>
    <t>Khớp?</t>
  </si>
  <si>
    <t>N quan sát EBI</t>
  </si>
  <si>
    <t>2_Bang1_Mo_ta!C4</t>
  </si>
  <si>
    <t>EBI trung bình</t>
  </si>
  <si>
    <t>2_Bang1_Mo_ta!D4</t>
  </si>
  <si>
    <t>Bảng 2</t>
  </si>
  <si>
    <t>ĐNB 2021–2024</t>
  </si>
  <si>
    <t>3_Bang2_EBI_tuong_doi!D454</t>
  </si>
  <si>
    <t>TDMNPB EBI 2024</t>
  </si>
  <si>
    <t>3_Bang2_EBI_tuong_doi!E459</t>
  </si>
  <si>
    <t>Tỷ số cao/thấp B2B 2024</t>
  </si>
  <si>
    <t>3_Bang2_EBI_tuong_doi!H460</t>
  </si>
  <si>
    <t>Bảng 3</t>
  </si>
  <si>
    <t>Gini 2017</t>
  </si>
  <si>
    <t>4_Bang3_Gini_Theil!C506</t>
  </si>
  <si>
    <t>Theil-T 2017</t>
  </si>
  <si>
    <t>4_Bang3_Gini_Theil!F506</t>
  </si>
  <si>
    <t>Tỷ trọng giữa vùng 2017 (%)</t>
  </si>
  <si>
    <t>4_Bang3_Gini_Theil!I506</t>
  </si>
  <si>
    <t>Tỷ trọng giữa vùng MLD 2017 (%)</t>
  </si>
  <si>
    <t>4_Bang3_Gini_Theil!L506</t>
  </si>
  <si>
    <t>CV 2017</t>
  </si>
  <si>
    <t>4_Bang3_Gini_Theil!D506</t>
  </si>
  <si>
    <t>Theil bỏ HN&amp;HCM 2017</t>
  </si>
  <si>
    <t>4_Bang3_Gini_Theil!M506</t>
  </si>
  <si>
    <t>Gini bỏ HN&amp;HCM 2017</t>
  </si>
  <si>
    <t>4_Bang3_Gini_Theil!P506</t>
  </si>
  <si>
    <t>Gini 2018</t>
  </si>
  <si>
    <t>4_Bang3_Gini_Theil!C507</t>
  </si>
  <si>
    <t>Theil-T 2018</t>
  </si>
  <si>
    <t>4_Bang3_Gini_Theil!F507</t>
  </si>
  <si>
    <t>Tỷ trọng giữa vùng 2018 (%)</t>
  </si>
  <si>
    <t>4_Bang3_Gini_Theil!I507</t>
  </si>
  <si>
    <t>Tỷ trọng giữa vùng MLD 2018 (%)</t>
  </si>
  <si>
    <t>4_Bang3_Gini_Theil!L507</t>
  </si>
  <si>
    <t>CV 2018</t>
  </si>
  <si>
    <t>4_Bang3_Gini_Theil!D507</t>
  </si>
  <si>
    <t>Theil bỏ HN&amp;HCM 2018</t>
  </si>
  <si>
    <t>4_Bang3_Gini_Theil!M507</t>
  </si>
  <si>
    <t>Gini bỏ HN&amp;HCM 2018</t>
  </si>
  <si>
    <t>4_Bang3_Gini_Theil!P507</t>
  </si>
  <si>
    <t>Gini 2019</t>
  </si>
  <si>
    <t>4_Bang3_Gini_Theil!C508</t>
  </si>
  <si>
    <t>Theil-T 2019</t>
  </si>
  <si>
    <t>4_Bang3_Gini_Theil!F508</t>
  </si>
  <si>
    <t>Tỷ trọng giữa vùng 2019 (%)</t>
  </si>
  <si>
    <t>4_Bang3_Gini_Theil!I508</t>
  </si>
  <si>
    <t>Tỷ trọng giữa vùng MLD 2019 (%)</t>
  </si>
  <si>
    <t>4_Bang3_Gini_Theil!L508</t>
  </si>
  <si>
    <t>CV 2019</t>
  </si>
  <si>
    <t>4_Bang3_Gini_Theil!D508</t>
  </si>
  <si>
    <t>Theil bỏ HN&amp;HCM 2019</t>
  </si>
  <si>
    <t>4_Bang3_Gini_Theil!M508</t>
  </si>
  <si>
    <t>Gini bỏ HN&amp;HCM 2019</t>
  </si>
  <si>
    <t>4_Bang3_Gini_Theil!P508</t>
  </si>
  <si>
    <t>Gini 2020</t>
  </si>
  <si>
    <t>4_Bang3_Gini_Theil!C509</t>
  </si>
  <si>
    <t>Theil-T 2020</t>
  </si>
  <si>
    <t>4_Bang3_Gini_Theil!F509</t>
  </si>
  <si>
    <t>Tỷ trọng giữa vùng 2020 (%)</t>
  </si>
  <si>
    <t>4_Bang3_Gini_Theil!I509</t>
  </si>
  <si>
    <t>Tỷ trọng giữa vùng MLD 2020 (%)</t>
  </si>
  <si>
    <t>4_Bang3_Gini_Theil!L509</t>
  </si>
  <si>
    <t>CV 2020</t>
  </si>
  <si>
    <t>4_Bang3_Gini_Theil!D509</t>
  </si>
  <si>
    <t>Theil bỏ HN&amp;HCM 2020</t>
  </si>
  <si>
    <t>4_Bang3_Gini_Theil!M509</t>
  </si>
  <si>
    <t>Gini bỏ HN&amp;HCM 2020</t>
  </si>
  <si>
    <t>4_Bang3_Gini_Theil!P509</t>
  </si>
  <si>
    <t>Gini 2021</t>
  </si>
  <si>
    <t>4_Bang3_Gini_Theil!C510</t>
  </si>
  <si>
    <t>Theil-T 2021</t>
  </si>
  <si>
    <t>4_Bang3_Gini_Theil!F510</t>
  </si>
  <si>
    <t>Tỷ trọng giữa vùng 2021 (%)</t>
  </si>
  <si>
    <t>4_Bang3_Gini_Theil!I510</t>
  </si>
  <si>
    <t>Tỷ trọng giữa vùng MLD 2021 (%)</t>
  </si>
  <si>
    <t>4_Bang3_Gini_Theil!L510</t>
  </si>
  <si>
    <t>CV 2021</t>
  </si>
  <si>
    <t>4_Bang3_Gini_Theil!D510</t>
  </si>
  <si>
    <t>Theil bỏ HN&amp;HCM 2021</t>
  </si>
  <si>
    <t>4_Bang3_Gini_Theil!M510</t>
  </si>
  <si>
    <t>Gini bỏ HN&amp;HCM 2021</t>
  </si>
  <si>
    <t>4_Bang3_Gini_Theil!P510</t>
  </si>
  <si>
    <t>Gini 2022</t>
  </si>
  <si>
    <t>4_Bang3_Gini_Theil!C511</t>
  </si>
  <si>
    <t>Theil-T 2022</t>
  </si>
  <si>
    <t>4_Bang3_Gini_Theil!F511</t>
  </si>
  <si>
    <t>Tỷ trọng giữa vùng 2022 (%)</t>
  </si>
  <si>
    <t>4_Bang3_Gini_Theil!I511</t>
  </si>
  <si>
    <t>Tỷ trọng giữa vùng MLD 2022 (%)</t>
  </si>
  <si>
    <t>4_Bang3_Gini_Theil!L511</t>
  </si>
  <si>
    <t>CV 2022</t>
  </si>
  <si>
    <t>4_Bang3_Gini_Theil!D511</t>
  </si>
  <si>
    <t>Theil bỏ HN&amp;HCM 2022</t>
  </si>
  <si>
    <t>4_Bang3_Gini_Theil!M511</t>
  </si>
  <si>
    <t>Gini bỏ HN&amp;HCM 2022</t>
  </si>
  <si>
    <t>4_Bang3_Gini_Theil!P511</t>
  </si>
  <si>
    <t>Gini 2023</t>
  </si>
  <si>
    <t>4_Bang3_Gini_Theil!C512</t>
  </si>
  <si>
    <t>Theil-T 2023</t>
  </si>
  <si>
    <t>4_Bang3_Gini_Theil!F512</t>
  </si>
  <si>
    <t>Tỷ trọng giữa vùng 2023 (%)</t>
  </si>
  <si>
    <t>4_Bang3_Gini_Theil!I512</t>
  </si>
  <si>
    <t>Tỷ trọng giữa vùng MLD 2023 (%)</t>
  </si>
  <si>
    <t>4_Bang3_Gini_Theil!L512</t>
  </si>
  <si>
    <t>CV 2023</t>
  </si>
  <si>
    <t>4_Bang3_Gini_Theil!D512</t>
  </si>
  <si>
    <t>Theil bỏ HN&amp;HCM 2023</t>
  </si>
  <si>
    <t>4_Bang3_Gini_Theil!M512</t>
  </si>
  <si>
    <t>Gini bỏ HN&amp;HCM 2023</t>
  </si>
  <si>
    <t>4_Bang3_Gini_Theil!P512</t>
  </si>
  <si>
    <t>Gini 2024</t>
  </si>
  <si>
    <t>4_Bang3_Gini_Theil!C513</t>
  </si>
  <si>
    <t>Theil-T 2024</t>
  </si>
  <si>
    <t>4_Bang3_Gini_Theil!F513</t>
  </si>
  <si>
    <t>Tỷ trọng giữa vùng 2024 (%)</t>
  </si>
  <si>
    <t>4_Bang3_Gini_Theil!I513</t>
  </si>
  <si>
    <t>Tỷ trọng giữa vùng MLD 2024 (%)</t>
  </si>
  <si>
    <t>4_Bang3_Gini_Theil!L513</t>
  </si>
  <si>
    <t>CV 2024</t>
  </si>
  <si>
    <t>4_Bang3_Gini_Theil!D513</t>
  </si>
  <si>
    <t>Theil bỏ HN&amp;HCM 2024</t>
  </si>
  <si>
    <t>4_Bang3_Gini_Theil!M513</t>
  </si>
  <si>
    <t>Gini bỏ HN&amp;HCM 2024</t>
  </si>
  <si>
    <t>4_Bang3_Gini_Theil!P513</t>
  </si>
  <si>
    <t>Bảng 4</t>
  </si>
  <si>
    <t>Gini Y tái tạo 2017</t>
  </si>
  <si>
    <t>5_Bang4_Gini_tru_cot!C454</t>
  </si>
  <si>
    <t>Đóng góp B2B 2017 (%)</t>
  </si>
  <si>
    <t>5_Bang4_Gini_tru_cot!X454</t>
  </si>
  <si>
    <t>Gini NNL&amp;HT 2017</t>
  </si>
  <si>
    <t>5_Bang4_Gini_tru_cot!F454</t>
  </si>
  <si>
    <t>Gini Y tái tạo 2018</t>
  </si>
  <si>
    <t>5_Bang4_Gini_tru_cot!C455</t>
  </si>
  <si>
    <t>Đóng góp B2B 2018 (%)</t>
  </si>
  <si>
    <t>5_Bang4_Gini_tru_cot!X455</t>
  </si>
  <si>
    <t>Gini NNL&amp;HT 2018</t>
  </si>
  <si>
    <t>5_Bang4_Gini_tru_cot!F455</t>
  </si>
  <si>
    <t>Gini Y tái tạo 2019</t>
  </si>
  <si>
    <t>5_Bang4_Gini_tru_cot!C456</t>
  </si>
  <si>
    <t>Đóng góp B2B 2019 (%)</t>
  </si>
  <si>
    <t>5_Bang4_Gini_tru_cot!X456</t>
  </si>
  <si>
    <t>Gini NNL&amp;HT 2019</t>
  </si>
  <si>
    <t>5_Bang4_Gini_tru_cot!F456</t>
  </si>
  <si>
    <t>Gini Y tái tạo 2020</t>
  </si>
  <si>
    <t>5_Bang4_Gini_tru_cot!C457</t>
  </si>
  <si>
    <t>Đóng góp B2B 2020 (%)</t>
  </si>
  <si>
    <t>5_Bang4_Gini_tru_cot!X457</t>
  </si>
  <si>
    <t>Gini NNL&amp;HT 2020</t>
  </si>
  <si>
    <t>5_Bang4_Gini_tru_cot!F457</t>
  </si>
  <si>
    <t>Gini Y tái tạo 2021</t>
  </si>
  <si>
    <t>5_Bang4_Gini_tru_cot!C458</t>
  </si>
  <si>
    <t>Đóng góp B2B 2021 (%)</t>
  </si>
  <si>
    <t>5_Bang4_Gini_tru_cot!X458</t>
  </si>
  <si>
    <t>Gini NNL&amp;HT 2021</t>
  </si>
  <si>
    <t>5_Bang4_Gini_tru_cot!F458</t>
  </si>
  <si>
    <t>Gini Y tái tạo 2022</t>
  </si>
  <si>
    <t>5_Bang4_Gini_tru_cot!C459</t>
  </si>
  <si>
    <t>Đóng góp B2B 2022 (%)</t>
  </si>
  <si>
    <t>5_Bang4_Gini_tru_cot!X459</t>
  </si>
  <si>
    <t>Gini NNL&amp;HT 2022</t>
  </si>
  <si>
    <t>5_Bang4_Gini_tru_cot!F459</t>
  </si>
  <si>
    <t>Gini Y tái tạo 2023</t>
  </si>
  <si>
    <t>5_Bang4_Gini_tru_cot!C460</t>
  </si>
  <si>
    <t>Đóng góp B2B 2023 (%)</t>
  </si>
  <si>
    <t>5_Bang4_Gini_tru_cot!X460</t>
  </si>
  <si>
    <t>Gini NNL&amp;HT 2023</t>
  </si>
  <si>
    <t>5_Bang4_Gini_tru_cot!F460</t>
  </si>
  <si>
    <t>Gini Y tái tạo 2024</t>
  </si>
  <si>
    <t>5_Bang4_Gini_tru_cot!C461</t>
  </si>
  <si>
    <t>Đóng góp B2B 2024 (%)</t>
  </si>
  <si>
    <t>5_Bang4_Gini_tru_cot!X461</t>
  </si>
  <si>
    <t>Gini NNL&amp;HT 2024</t>
  </si>
  <si>
    <t>5_Bang4_Gini_tru_cot!F461</t>
  </si>
  <si>
    <t>Hình 5</t>
  </si>
  <si>
    <t>CV B2C 2017</t>
  </si>
  <si>
    <t>6_Bang5a_Sigma!E5</t>
  </si>
  <si>
    <t>CV NNL&amp;HT 2017</t>
  </si>
  <si>
    <t>6_Bang5a_Sigma!D5</t>
  </si>
  <si>
    <t>CV B2C 2018</t>
  </si>
  <si>
    <t>6_Bang5a_Sigma!E6</t>
  </si>
  <si>
    <t>CV NNL&amp;HT 2018</t>
  </si>
  <si>
    <t>6_Bang5a_Sigma!D6</t>
  </si>
  <si>
    <t>CV B2C 2019</t>
  </si>
  <si>
    <t>6_Bang5a_Sigma!E7</t>
  </si>
  <si>
    <t>CV NNL&amp;HT 2019</t>
  </si>
  <si>
    <t>6_Bang5a_Sigma!D7</t>
  </si>
  <si>
    <t>CV B2C 2020</t>
  </si>
  <si>
    <t>6_Bang5a_Sigma!E8</t>
  </si>
  <si>
    <t>CV NNL&amp;HT 2020</t>
  </si>
  <si>
    <t>6_Bang5a_Sigma!D8</t>
  </si>
  <si>
    <t>CV B2C 2021</t>
  </si>
  <si>
    <t>6_Bang5a_Sigma!E9</t>
  </si>
  <si>
    <t>CV NNL&amp;HT 2021</t>
  </si>
  <si>
    <t>6_Bang5a_Sigma!D9</t>
  </si>
  <si>
    <t>CV B2C 2022</t>
  </si>
  <si>
    <t>6_Bang5a_Sigma!E10</t>
  </si>
  <si>
    <t>CV NNL&amp;HT 2022</t>
  </si>
  <si>
    <t>6_Bang5a_Sigma!D10</t>
  </si>
  <si>
    <t>CV B2C 2023</t>
  </si>
  <si>
    <t>6_Bang5a_Sigma!E11</t>
  </si>
  <si>
    <t>CV NNL&amp;HT 2023</t>
  </si>
  <si>
    <t>6_Bang5a_Sigma!D11</t>
  </si>
  <si>
    <t>CV B2C 2024</t>
  </si>
  <si>
    <t>6_Bang5a_Sigma!E12</t>
  </si>
  <si>
    <t>CV NNL&amp;HT 2024</t>
  </si>
  <si>
    <t>6_Bang5a_Sigma!D12</t>
  </si>
  <si>
    <t>Bảng 5</t>
  </si>
  <si>
    <t>β tuyệt đối 2017–2020 (EBI)</t>
  </si>
  <si>
    <t>7_Bang5_Beta!B63</t>
  </si>
  <si>
    <t>β có điều kiện 2017–2020 (EBI)</t>
  </si>
  <si>
    <t>7_Bang5_Beta!C63</t>
  </si>
  <si>
    <t>R² tuyệt đối 2017–2020</t>
  </si>
  <si>
    <t>7_Bang5_Beta!B68</t>
  </si>
  <si>
    <t>λ tuyệt đối 2017–2020</t>
  </si>
  <si>
    <t>7_Bang5_Beta!B69</t>
  </si>
  <si>
    <t>Bán hội tụ 2017–2020</t>
  </si>
  <si>
    <t>7_Bang5_Beta!B71</t>
  </si>
  <si>
    <t>β tuyệt đối 2021–2024 (EBI)</t>
  </si>
  <si>
    <t>7_Bang5_Beta!B140</t>
  </si>
  <si>
    <t>β có điều kiện 2021–2024 (EBI)</t>
  </si>
  <si>
    <t>7_Bang5_Beta!C140</t>
  </si>
  <si>
    <t>R² tuyệt đối 2021–2024</t>
  </si>
  <si>
    <t>7_Bang5_Beta!B145</t>
  </si>
  <si>
    <t>λ tuyệt đối 2021–2024</t>
  </si>
  <si>
    <t>7_Bang5_Beta!B146</t>
  </si>
  <si>
    <t>Bán hội tụ 2021–2024</t>
  </si>
  <si>
    <t>7_Bang5_Beta!B148</t>
  </si>
  <si>
    <t>β tuyệt đối 2017–2024 (EBI_rel)</t>
  </si>
  <si>
    <t>7_Bang5_Beta!B215</t>
  </si>
  <si>
    <t>β có điều kiện 2017–2024 (EBI_rel)</t>
  </si>
  <si>
    <t>7_Bang5_Beta!C215</t>
  </si>
  <si>
    <t>R² tuyệt đối 2017–2024</t>
  </si>
  <si>
    <t>7_Bang5_Beta!B220</t>
  </si>
  <si>
    <t>Bảng 6</t>
  </si>
  <si>
    <t>M2 hệ số mật độ DN</t>
  </si>
  <si>
    <t>8_Bang6_7_9_OLS!B341</t>
  </si>
  <si>
    <t>M2 hệ số ln GRDP</t>
  </si>
  <si>
    <t>8_Bang6_7_9_OLS!B340</t>
  </si>
  <si>
    <t>M2 R²</t>
  </si>
  <si>
    <t>8_Bang6_7_9_OLS!B355</t>
  </si>
  <si>
    <t>Mục 4.4</t>
  </si>
  <si>
    <t>r(ln GRDP, mật độ DN)</t>
  </si>
  <si>
    <t>8_Bang6_7_9_OLS!D371</t>
  </si>
  <si>
    <t>Hệ số chuẩn hóa mật độ DN</t>
  </si>
  <si>
    <t>8_Bang6_7_9_OLS!B717</t>
  </si>
  <si>
    <t>M1 hệ số mật độ DN</t>
  </si>
  <si>
    <t>8_Bang6_7_9_OLS!B1124</t>
  </si>
  <si>
    <t>M3 hệ số mật độ DN</t>
  </si>
  <si>
    <t>8_Bang6_7_9_OLS!B1425</t>
  </si>
  <si>
    <t>M4 hệ số mật độ DN</t>
  </si>
  <si>
    <t>8_Bang6_7_9_OLS!B1671</t>
  </si>
  <si>
    <t>Bảng 7</t>
  </si>
  <si>
    <t>M6 hệ số ĐBSCL</t>
  </si>
  <si>
    <t>8_Bang6_7_9_OLS!B2037</t>
  </si>
  <si>
    <t>M5 hệ số ĐBSCL</t>
  </si>
  <si>
    <t>8_Bang6_7_9_OLS!B2054</t>
  </si>
  <si>
    <t>Bảng 9</t>
  </si>
  <si>
    <t>C1 R² hiệu chỉnh</t>
  </si>
  <si>
    <t>8_Bang6_7_9_OLS!B2143</t>
  </si>
  <si>
    <t>cột (2) hệ số Internet</t>
  </si>
  <si>
    <t>8_Bang6_7_9_OLS!B2147</t>
  </si>
  <si>
    <t>C2 R² hiệu chỉnh</t>
  </si>
  <si>
    <t>8_Bang6_7_9_OLS!B2154</t>
  </si>
  <si>
    <t>C3 R² hiệu chỉnh</t>
  </si>
  <si>
    <t>8_Bang6_7_9_OLS!B2165</t>
  </si>
  <si>
    <t>Bảng 8</t>
  </si>
  <si>
    <t>Khoảng cách ln EBI (M2)</t>
  </si>
  <si>
    <t>9_Bang8_Oaxaca!B22</t>
  </si>
  <si>
    <t>Phần nguồn lực (M2, gộp)</t>
  </si>
  <si>
    <t>9_Bang8_Oaxaca!B23</t>
  </si>
  <si>
    <t>9_Bang8_Oaxaca!C23</t>
  </si>
  <si>
    <t>Bảng 8b</t>
  </si>
  <si>
    <t>Nguồn lực do mật độ DN</t>
  </si>
  <si>
    <t>9_Bang8_Oaxaca!F6</t>
  </si>
  <si>
    <t>Mục 3.1</t>
  </si>
  <si>
    <t>Tỷ số max/trung vị 2017</t>
  </si>
  <si>
    <t>10_So_lieu_khac!D13</t>
  </si>
  <si>
    <t>Tỷ số max/trung vị 2018</t>
  </si>
  <si>
    <t>10_So_lieu_khac!D14</t>
  </si>
  <si>
    <t>Tỷ số max/trung vị 2019</t>
  </si>
  <si>
    <t>10_So_lieu_khac!D15</t>
  </si>
  <si>
    <t>Tỷ số max/trung vị 2020</t>
  </si>
  <si>
    <t>10_So_lieu_khac!D16</t>
  </si>
  <si>
    <t>Tỷ số max/trung vị 2021</t>
  </si>
  <si>
    <t>10_So_lieu_khac!D17</t>
  </si>
  <si>
    <t>Tỷ số max/trung vị 2022</t>
  </si>
  <si>
    <t>10_So_lieu_khac!D18</t>
  </si>
  <si>
    <t>Tỷ số max/trung vị 2023</t>
  </si>
  <si>
    <t>10_So_lieu_khac!D19</t>
  </si>
  <si>
    <t>Tỷ số max/trung vị 2024</t>
  </si>
  <si>
    <t>10_So_lieu_khac!D20</t>
  </si>
  <si>
    <t>Mục 4.3</t>
  </si>
  <si>
    <t>Lõi EBI tương đối 2017</t>
  </si>
  <si>
    <t>10_So_lieu_khac!B24</t>
  </si>
  <si>
    <t>Lõi EBI tương đối 2018</t>
  </si>
  <si>
    <t>10_So_lieu_khac!B25</t>
  </si>
  <si>
    <t>Lõi EBI tương đối 2019</t>
  </si>
  <si>
    <t>10_So_lieu_khac!B26</t>
  </si>
  <si>
    <t>Lõi EBI tương đối 2020</t>
  </si>
  <si>
    <t>10_So_lieu_khac!B27</t>
  </si>
  <si>
    <t>Lõi EBI tương đối 2021</t>
  </si>
  <si>
    <t>10_So_lieu_khac!B28</t>
  </si>
  <si>
    <t>Lõi EBI tương đối 2022</t>
  </si>
  <si>
    <t>10_So_lieu_khac!B29</t>
  </si>
  <si>
    <t>Lõi EBI tương đối 2023</t>
  </si>
  <si>
    <t>10_So_lieu_khac!B30</t>
  </si>
  <si>
    <t>Lõi EBI tương đối 2024</t>
  </si>
  <si>
    <t>10_So_lieu_khac!B31</t>
  </si>
  <si>
    <t>Số dòng khớp / tổng: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</si>
</sst>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i/>
      <sz val="11"/>
      <color rgb="FF595959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D9E2F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4" fillId="0" borderId="0" xfId="0" applyFont="1"/>
    <xf numFmtId="2" fontId="0" fillId="5" borderId="1" xfId="0" applyNumberFormat="1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0" fontId="4" fillId="6" borderId="1" xfId="0" applyFont="1" applyFill="1" applyBorder="1"/>
    <xf numFmtId="2" fontId="0" fillId="3" borderId="1" xfId="0" applyNumberFormat="1" applyFill="1" applyBorder="1"/>
    <xf numFmtId="165" fontId="0" fillId="0" borderId="0" xfId="0" applyNumberFormat="1"/>
    <xf numFmtId="166" fontId="0" fillId="0" borderId="0" xfId="0" applyNumberFormat="1"/>
    <xf numFmtId="164" fontId="0" fillId="7" borderId="1" xfId="0" applyNumberFormat="1" applyFill="1" applyBorder="1"/>
    <xf numFmtId="0" fontId="0" fillId="7" borderId="1" xfId="0" applyFill="1" applyBorder="1"/>
    <xf numFmtId="0" fontId="0" fillId="5" borderId="1" xfId="0" applyFill="1" applyBorder="1"/>
    <xf numFmtId="2" fontId="0" fillId="7" borderId="1" xfId="0" applyNumberFormat="1" applyFill="1" applyBorder="1"/>
    <xf numFmtId="165" fontId="0" fillId="3" borderId="1" xfId="0" applyNumberFormat="1" applyFill="1" applyBorder="1"/>
    <xf numFmtId="165" fontId="0" fillId="7" borderId="1" xfId="0" applyNumberFormat="1" applyFill="1" applyBorder="1"/>
    <xf numFmtId="0" fontId="0" fillId="0" borderId="0" xfId="0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2. EBI tương đối theo 6 vùng, 2017–2024 (trung bình = 100)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'3_Bang2_EBI_tuong_doi'!$A$465</c:f>
              <c:strCache>
                <c:ptCount val="1"/>
                <c:pt idx="0">
                  <c:v>Đông Nam Bộ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'3_Bang2_EBI_tuong_doi'!$B$464:$I$464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'3_Bang2_EBI_tuong_doi'!$B$465:$I$465</c:f>
              <c:numCache>
                <c:formatCode>0.0</c:formatCode>
                <c:ptCount val="8"/>
                <c:pt idx="0">
                  <c:v>134.21099554234766</c:v>
                </c:pt>
                <c:pt idx="1">
                  <c:v>128.57142857142864</c:v>
                </c:pt>
                <c:pt idx="2">
                  <c:v>127.40839379190004</c:v>
                </c:pt>
                <c:pt idx="3">
                  <c:v>126.83312216930982</c:v>
                </c:pt>
                <c:pt idx="4">
                  <c:v>222.87479171459844</c:v>
                </c:pt>
                <c:pt idx="5">
                  <c:v>174.29965238220436</c:v>
                </c:pt>
                <c:pt idx="6">
                  <c:v>174.88351254480287</c:v>
                </c:pt>
                <c:pt idx="7">
                  <c:v>166.76624346527259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3-4185-9716-E29C01ECAE1E}"/>
            </c:ext>
          </c:extLst>
        </c:ser>
        <c:ser>
          <c:idx val="1"/>
          <c:order val="1"/>
          <c:tx>
            <c:strRef>
              <c:f>'3_Bang2_EBI_tuong_doi'!$A$466</c:f>
              <c:strCache>
                <c:ptCount val="1"/>
                <c:pt idx="0">
                  <c:v>Đồng bằng sông Hồng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'3_Bang2_EBI_tuong_doi'!$B$464:$I$464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'3_Bang2_EBI_tuong_doi'!$B$466:$I$466</c:f>
              <c:numCache>
                <c:formatCode>0.0</c:formatCode>
                <c:ptCount val="8"/>
                <c:pt idx="0">
                  <c:v>118.51843847089016</c:v>
                </c:pt>
                <c:pt idx="1">
                  <c:v>117.46450440750964</c:v>
                </c:pt>
                <c:pt idx="2">
                  <c:v>119.4925654747493</c:v>
                </c:pt>
                <c:pt idx="3">
                  <c:v>119.53340032329939</c:v>
                </c:pt>
                <c:pt idx="4">
                  <c:v>139.0414149653655</c:v>
                </c:pt>
                <c:pt idx="5">
                  <c:v>139.37428796775046</c:v>
                </c:pt>
                <c:pt idx="6">
                  <c:v>134.93646138807424</c:v>
                </c:pt>
                <c:pt idx="7">
                  <c:v>135.06687487270011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3-4185-9716-E29C01ECAE1E}"/>
            </c:ext>
          </c:extLst>
        </c:ser>
        <c:ser>
          <c:idx val="2"/>
          <c:order val="2"/>
          <c:tx>
            <c:strRef>
              <c:f>'3_Bang2_EBI_tuong_doi'!$A$467</c:f>
              <c:strCache>
                <c:ptCount val="1"/>
                <c:pt idx="0">
                  <c:v>Bắc Trung Bộ và Duyên hải miền Trung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'3_Bang2_EBI_tuong_doi'!$B$464:$I$464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'3_Bang2_EBI_tuong_doi'!$B$467:$I$467</c:f>
              <c:numCache>
                <c:formatCode>0.0</c:formatCode>
                <c:ptCount val="8"/>
                <c:pt idx="0">
                  <c:v>96.950116748036507</c:v>
                </c:pt>
                <c:pt idx="1">
                  <c:v>95.757639843502218</c:v>
                </c:pt>
                <c:pt idx="2">
                  <c:v>95.073665429069948</c:v>
                </c:pt>
                <c:pt idx="3">
                  <c:v>95.343677249833036</c:v>
                </c:pt>
                <c:pt idx="4">
                  <c:v>82.8846918073247</c:v>
                </c:pt>
                <c:pt idx="5">
                  <c:v>87.810007887126474</c:v>
                </c:pt>
                <c:pt idx="6">
                  <c:v>90.91269841269839</c:v>
                </c:pt>
                <c:pt idx="7">
                  <c:v>93.438600234716745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03-4185-9716-E29C01ECAE1E}"/>
            </c:ext>
          </c:extLst>
        </c:ser>
        <c:ser>
          <c:idx val="3"/>
          <c:order val="3"/>
          <c:tx>
            <c:strRef>
              <c:f>'3_Bang2_EBI_tuong_doi'!$A$468</c:f>
              <c:strCache>
                <c:ptCount val="1"/>
                <c:pt idx="0">
                  <c:v>Đồng bằng sông Cửu Long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'3_Bang2_EBI_tuong_doi'!$B$464:$I$464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'3_Bang2_EBI_tuong_doi'!$B$468:$I$468</c:f>
              <c:numCache>
                <c:formatCode>0.0</c:formatCode>
                <c:ptCount val="8"/>
                <c:pt idx="0">
                  <c:v>88.796433878157501</c:v>
                </c:pt>
                <c:pt idx="1">
                  <c:v>90.125832716506338</c:v>
                </c:pt>
                <c:pt idx="2">
                  <c:v>90.311323353843292</c:v>
                </c:pt>
                <c:pt idx="3">
                  <c:v>92.03110664511334</c:v>
                </c:pt>
                <c:pt idx="4">
                  <c:v>66.816118770689911</c:v>
                </c:pt>
                <c:pt idx="5">
                  <c:v>75.888496745564495</c:v>
                </c:pt>
                <c:pt idx="6">
                  <c:v>71.080783016266864</c:v>
                </c:pt>
                <c:pt idx="7">
                  <c:v>74.969839719652995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03-4185-9716-E29C01ECAE1E}"/>
            </c:ext>
          </c:extLst>
        </c:ser>
        <c:ser>
          <c:idx val="4"/>
          <c:order val="4"/>
          <c:tx>
            <c:strRef>
              <c:f>'3_Bang2_EBI_tuong_doi'!$A$469</c:f>
              <c:strCache>
                <c:ptCount val="1"/>
                <c:pt idx="0">
                  <c:v>Tây Nguyên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'3_Bang2_EBI_tuong_doi'!$B$464:$I$464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'3_Bang2_EBI_tuong_doi'!$B$469:$I$469</c:f>
              <c:numCache>
                <c:formatCode>0.0</c:formatCode>
                <c:ptCount val="8"/>
                <c:pt idx="0">
                  <c:v>81.778306092124808</c:v>
                </c:pt>
                <c:pt idx="1">
                  <c:v>84.683937823834214</c:v>
                </c:pt>
                <c:pt idx="2">
                  <c:v>84.454036183304225</c:v>
                </c:pt>
                <c:pt idx="3">
                  <c:v>83.18843112412074</c:v>
                </c:pt>
                <c:pt idx="4">
                  <c:v>61.984062245090058</c:v>
                </c:pt>
                <c:pt idx="5">
                  <c:v>72.729822101481048</c:v>
                </c:pt>
                <c:pt idx="6">
                  <c:v>75.878136200716824</c:v>
                </c:pt>
                <c:pt idx="7">
                  <c:v>77.968633308439138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03-4185-9716-E29C01ECAE1E}"/>
            </c:ext>
          </c:extLst>
        </c:ser>
        <c:ser>
          <c:idx val="5"/>
          <c:order val="5"/>
          <c:tx>
            <c:strRef>
              <c:f>'3_Bang2_EBI_tuong_doi'!$A$470</c:f>
              <c:strCache>
                <c:ptCount val="1"/>
                <c:pt idx="0">
                  <c:v>Trung du và miền núi phía Bắc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'3_Bang2_EBI_tuong_doi'!$B$464:$I$464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strCache>
            </c:strRef>
          </c:cat>
          <c:val>
            <c:numRef>
              <c:f>'3_Bang2_EBI_tuong_doi'!$B$470:$I$470</c:f>
              <c:numCache>
                <c:formatCode>0.0</c:formatCode>
                <c:ptCount val="8"/>
                <c:pt idx="0">
                  <c:v>80.630014858840994</c:v>
                </c:pt>
                <c:pt idx="1">
                  <c:v>84.589193190229494</c:v>
                </c:pt>
                <c:pt idx="2">
                  <c:v>83.892001102029525</c:v>
                </c:pt>
                <c:pt idx="3">
                  <c:v>83.674351095383003</c:v>
                </c:pt>
                <c:pt idx="4">
                  <c:v>58.668042454200467</c:v>
                </c:pt>
                <c:pt idx="5">
                  <c:v>65.924692548126075</c:v>
                </c:pt>
                <c:pt idx="6">
                  <c:v>76.68657905217043</c:v>
                </c:pt>
                <c:pt idx="7">
                  <c:v>71.230603269438234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03-4185-9716-E29C01ECA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Năm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EBI tương đối</a:t>
                </a:r>
              </a:p>
            </c:rich>
          </c:tx>
          <c:overlay val="1"/>
        </c:title>
        <c:numFmt formatCode="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3. Theil-T và hai thành phần giữa vùng / trong vùng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'4_Bang3_Gini_Theil'!$G$505</c:f>
              <c:strCache>
                <c:ptCount val="1"/>
                <c:pt idx="0">
                  <c:v>Giữa các vùng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'4_Bang3_Gini_Theil'!$A$506:$A$513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'4_Bang3_Gini_Theil'!$G$506:$G$513</c:f>
              <c:numCache>
                <c:formatCode>0.0000</c:formatCode>
                <c:ptCount val="8"/>
                <c:pt idx="0">
                  <c:v>1.5361506623416902E-2</c:v>
                </c:pt>
                <c:pt idx="1">
                  <c:v>1.1408942854868511E-2</c:v>
                </c:pt>
                <c:pt idx="2">
                  <c:v>1.2076840616590853E-2</c:v>
                </c:pt>
                <c:pt idx="3">
                  <c:v>1.175272755917221E-2</c:v>
                </c:pt>
                <c:pt idx="4">
                  <c:v>0.11282820578230432</c:v>
                </c:pt>
                <c:pt idx="5">
                  <c:v>6.0161562900629142E-2</c:v>
                </c:pt>
                <c:pt idx="6">
                  <c:v>5.2868406652691588E-2</c:v>
                </c:pt>
                <c:pt idx="7">
                  <c:v>4.7291764630799246E-2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A-4AC0-A637-96B0BB6DE165}"/>
            </c:ext>
          </c:extLst>
        </c:ser>
        <c:ser>
          <c:idx val="1"/>
          <c:order val="1"/>
          <c:tx>
            <c:strRef>
              <c:f>'4_Bang3_Gini_Theil'!$H$505</c:f>
              <c:strCache>
                <c:ptCount val="1"/>
                <c:pt idx="0">
                  <c:v>Trong vùng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'4_Bang3_Gini_Theil'!$A$506:$A$513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'4_Bang3_Gini_Theil'!$H$506:$H$513</c:f>
              <c:numCache>
                <c:formatCode>0.0000</c:formatCode>
                <c:ptCount val="8"/>
                <c:pt idx="0">
                  <c:v>3.179992260092715E-2</c:v>
                </c:pt>
                <c:pt idx="1">
                  <c:v>2.2452610327933081E-2</c:v>
                </c:pt>
                <c:pt idx="2">
                  <c:v>2.2434293282204993E-2</c:v>
                </c:pt>
                <c:pt idx="3">
                  <c:v>2.2359404023468466E-2</c:v>
                </c:pt>
                <c:pt idx="4">
                  <c:v>0.25207404492780433</c:v>
                </c:pt>
                <c:pt idx="5">
                  <c:v>0.10624734925889441</c:v>
                </c:pt>
                <c:pt idx="6">
                  <c:v>0.11329619738488132</c:v>
                </c:pt>
                <c:pt idx="7">
                  <c:v>8.0701577868890664E-2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A-4AC0-A637-96B0BB6DE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Theil-T</a:t>
                </a:r>
              </a:p>
            </c:rich>
          </c:tx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4. Tỷ trọng giữa các vùng trong tổng bất bình đẳng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'4_Bang3_Gini_Theil'!$I$505</c:f>
              <c:strCache>
                <c:ptCount val="1"/>
                <c:pt idx="0">
                  <c:v>Tỷ trọng giữa vùng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'4_Bang3_Gini_Theil'!$A$506:$A$513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'4_Bang3_Gini_Theil'!$I$506:$I$513</c:f>
              <c:numCache>
                <c:formatCode>0.0</c:formatCode>
                <c:ptCount val="8"/>
                <c:pt idx="0">
                  <c:v>32.572182132867816</c:v>
                </c:pt>
                <c:pt idx="1">
                  <c:v>33.692910639028689</c:v>
                </c:pt>
                <c:pt idx="2">
                  <c:v>34.994041783750895</c:v>
                </c:pt>
                <c:pt idx="3">
                  <c:v>34.453219467390475</c:v>
                </c:pt>
                <c:pt idx="4">
                  <c:v>30.920117802161514</c:v>
                </c:pt>
                <c:pt idx="5">
                  <c:v>36.152849099185779</c:v>
                </c:pt>
                <c:pt idx="6">
                  <c:v>31.816888415499772</c:v>
                </c:pt>
                <c:pt idx="7">
                  <c:v>36.948612878762667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C-46B4-83D5-E45EAF2E273B}"/>
            </c:ext>
          </c:extLst>
        </c:ser>
        <c:ser>
          <c:idx val="1"/>
          <c:order val="1"/>
          <c:tx>
            <c:strRef>
              <c:f>'4_Bang3_Gini_Theil'!$L$505</c:f>
              <c:strCache>
                <c:ptCount val="1"/>
                <c:pt idx="0">
                  <c:v>Tỷ trọng giữa vùng MLD (%)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'4_Bang3_Gini_Theil'!$A$506:$A$513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'4_Bang3_Gini_Theil'!$L$506:$L$513</c:f>
              <c:numCache>
                <c:formatCode>0.0</c:formatCode>
                <c:ptCount val="8"/>
                <c:pt idx="0">
                  <c:v>37.807933573894978</c:v>
                </c:pt>
                <c:pt idx="1">
                  <c:v>37.31926820407697</c:v>
                </c:pt>
                <c:pt idx="2">
                  <c:v>38.23784986830217</c:v>
                </c:pt>
                <c:pt idx="3">
                  <c:v>37.175822926802979</c:v>
                </c:pt>
                <c:pt idx="4">
                  <c:v>43.982958766086952</c:v>
                </c:pt>
                <c:pt idx="5">
                  <c:v>44.040293150188489</c:v>
                </c:pt>
                <c:pt idx="6">
                  <c:v>40.163085553300668</c:v>
                </c:pt>
                <c:pt idx="7">
                  <c:v>43.613528976711081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9C-46B4-83D5-E45EAF2E2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60"/>
          <c:min val="0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5. Hội tụ sigma: hệ số biến thiên EBI và 3 trụ cột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'6_Bang5a_Sigma'!$C$4</c:f>
              <c:strCache>
                <c:ptCount val="1"/>
                <c:pt idx="0">
                  <c:v>CV EBI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'6_Bang5a_Sigma'!$A$5:$A$12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'6_Bang5a_Sigma'!$C$5:$C$12</c:f>
              <c:numCache>
                <c:formatCode>0.0000</c:formatCode>
                <c:ptCount val="8"/>
                <c:pt idx="0">
                  <c:v>0.34793752770433223</c:v>
                </c:pt>
                <c:pt idx="1">
                  <c:v>0.28597974451666208</c:v>
                </c:pt>
                <c:pt idx="2">
                  <c:v>0.28632025810787187</c:v>
                </c:pt>
                <c:pt idx="3">
                  <c:v>0.28262513403316475</c:v>
                </c:pt>
                <c:pt idx="4">
                  <c:v>1.2534100744940726</c:v>
                </c:pt>
                <c:pt idx="5">
                  <c:v>0.71994938147609389</c:v>
                </c:pt>
                <c:pt idx="6">
                  <c:v>0.73753746646604701</c:v>
                </c:pt>
                <c:pt idx="7">
                  <c:v>0.60822672138593215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8-473D-BDC3-05333AF6302C}"/>
            </c:ext>
          </c:extLst>
        </c:ser>
        <c:ser>
          <c:idx val="1"/>
          <c:order val="1"/>
          <c:tx>
            <c:strRef>
              <c:f>'6_Bang5a_Sigma'!$D$4</c:f>
              <c:strCache>
                <c:ptCount val="1"/>
                <c:pt idx="0">
                  <c:v>CV NNL&amp;HT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'6_Bang5a_Sigma'!$A$5:$A$12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'6_Bang5a_Sigma'!$D$5:$D$12</c:f>
              <c:numCache>
                <c:formatCode>0.0000</c:formatCode>
                <c:ptCount val="8"/>
                <c:pt idx="0">
                  <c:v>0.84408654364595781</c:v>
                </c:pt>
                <c:pt idx="1">
                  <c:v>0.32372331442931607</c:v>
                </c:pt>
                <c:pt idx="2">
                  <c:v>0.32268793481216984</c:v>
                </c:pt>
                <c:pt idx="3">
                  <c:v>0.32465910794072456</c:v>
                </c:pt>
                <c:pt idx="4">
                  <c:v>0.61106400346611189</c:v>
                </c:pt>
                <c:pt idx="5">
                  <c:v>0.77857569535162696</c:v>
                </c:pt>
                <c:pt idx="6">
                  <c:v>0.74447266063247797</c:v>
                </c:pt>
                <c:pt idx="7">
                  <c:v>0.70434969665366232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8-473D-BDC3-05333AF6302C}"/>
            </c:ext>
          </c:extLst>
        </c:ser>
        <c:ser>
          <c:idx val="2"/>
          <c:order val="2"/>
          <c:tx>
            <c:strRef>
              <c:f>'6_Bang5a_Sigma'!$E$4</c:f>
              <c:strCache>
                <c:ptCount val="1"/>
                <c:pt idx="0">
                  <c:v>CV B2C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'6_Bang5a_Sigma'!$A$5:$A$12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'6_Bang5a_Sigma'!$E$5:$E$12</c:f>
              <c:numCache>
                <c:formatCode>0.0000</c:formatCode>
                <c:ptCount val="8"/>
                <c:pt idx="0">
                  <c:v>0.27462008278291034</c:v>
                </c:pt>
                <c:pt idx="1">
                  <c:v>0.29846064532816335</c:v>
                </c:pt>
                <c:pt idx="2">
                  <c:v>0.30031564396362648</c:v>
                </c:pt>
                <c:pt idx="3">
                  <c:v>0.30661436510134221</c:v>
                </c:pt>
                <c:pt idx="4">
                  <c:v>1.952104900261485</c:v>
                </c:pt>
                <c:pt idx="5">
                  <c:v>0.6252833318362957</c:v>
                </c:pt>
                <c:pt idx="6">
                  <c:v>0.926116136447523</c:v>
                </c:pt>
                <c:pt idx="7">
                  <c:v>0.42475175804031123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8-473D-BDC3-05333AF6302C}"/>
            </c:ext>
          </c:extLst>
        </c:ser>
        <c:ser>
          <c:idx val="3"/>
          <c:order val="3"/>
          <c:tx>
            <c:strRef>
              <c:f>'6_Bang5a_Sigma'!$F$4</c:f>
              <c:strCache>
                <c:ptCount val="1"/>
                <c:pt idx="0">
                  <c:v>CV B2B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'6_Bang5a_Sigma'!$A$5:$A$12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'6_Bang5a_Sigma'!$F$5:$F$12</c:f>
              <c:numCache>
                <c:formatCode>0.0000</c:formatCode>
                <c:ptCount val="8"/>
                <c:pt idx="0">
                  <c:v>0.45465359549392098</c:v>
                </c:pt>
                <c:pt idx="1">
                  <c:v>0.45551977073779859</c:v>
                </c:pt>
                <c:pt idx="2">
                  <c:v>0.43040695992675287</c:v>
                </c:pt>
                <c:pt idx="3">
                  <c:v>0.4087589585315084</c:v>
                </c:pt>
                <c:pt idx="4">
                  <c:v>1.4219389986331632</c:v>
                </c:pt>
                <c:pt idx="5">
                  <c:v>0.82165472820399033</c:v>
                </c:pt>
                <c:pt idx="6">
                  <c:v>0.66186102460942398</c:v>
                </c:pt>
                <c:pt idx="7">
                  <c:v>0.84745338189884378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8-473D-BDC3-05333AF6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6. Hội tụ beta tuyệt đối 2017–2020: g theo ln(EBI 2017)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54 tỉnh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'7_Bang5_Beta'!$D$6:$D$59</c:f>
              <c:numCache>
                <c:formatCode>0.0000</c:formatCode>
                <c:ptCount val="54"/>
                <c:pt idx="0">
                  <c:v>3.3032169733019514</c:v>
                </c:pt>
                <c:pt idx="1">
                  <c:v>3.6323091026255421</c:v>
                </c:pt>
                <c:pt idx="2">
                  <c:v>3.7612001156935624</c:v>
                </c:pt>
                <c:pt idx="3">
                  <c:v>3.1780538303479458</c:v>
                </c:pt>
                <c:pt idx="4">
                  <c:v>3.3843902633457743</c:v>
                </c:pt>
                <c:pt idx="5">
                  <c:v>3.3978584803966405</c:v>
                </c:pt>
                <c:pt idx="6">
                  <c:v>3.4011973816621555</c:v>
                </c:pt>
                <c:pt idx="7">
                  <c:v>3.1179499062782403</c:v>
                </c:pt>
                <c:pt idx="8">
                  <c:v>3.6609942506244004</c:v>
                </c:pt>
                <c:pt idx="9">
                  <c:v>3.3357695763396999</c:v>
                </c:pt>
                <c:pt idx="10">
                  <c:v>3.0540011816779669</c:v>
                </c:pt>
                <c:pt idx="11">
                  <c:v>3.6163087612791012</c:v>
                </c:pt>
                <c:pt idx="12">
                  <c:v>3.1654750481410856</c:v>
                </c:pt>
                <c:pt idx="13">
                  <c:v>3.3775875160230218</c:v>
                </c:pt>
                <c:pt idx="14">
                  <c:v>4.3280982926483258</c:v>
                </c:pt>
                <c:pt idx="15">
                  <c:v>3.2995337278856551</c:v>
                </c:pt>
                <c:pt idx="16">
                  <c:v>3.2228678461377385</c:v>
                </c:pt>
                <c:pt idx="17">
                  <c:v>3.3322045101752038</c:v>
                </c:pt>
                <c:pt idx="18">
                  <c:v>3.5438536820636788</c:v>
                </c:pt>
                <c:pt idx="19">
                  <c:v>3.7424202210419661</c:v>
                </c:pt>
                <c:pt idx="20">
                  <c:v>3.5438536820636788</c:v>
                </c:pt>
                <c:pt idx="21">
                  <c:v>3.3141860046725258</c:v>
                </c:pt>
                <c:pt idx="22">
                  <c:v>3.1863526331626408</c:v>
                </c:pt>
                <c:pt idx="23">
                  <c:v>3.3286266888273199</c:v>
                </c:pt>
                <c:pt idx="24">
                  <c:v>3.2809112157876537</c:v>
                </c:pt>
                <c:pt idx="25">
                  <c:v>3.3032169733019514</c:v>
                </c:pt>
                <c:pt idx="26">
                  <c:v>3.0540011816779669</c:v>
                </c:pt>
                <c:pt idx="27">
                  <c:v>3.505557396986398</c:v>
                </c:pt>
                <c:pt idx="28">
                  <c:v>3.4242626545931514</c:v>
                </c:pt>
                <c:pt idx="29">
                  <c:v>3.3877743613300146</c:v>
                </c:pt>
                <c:pt idx="30">
                  <c:v>3.2308043957334744</c:v>
                </c:pt>
                <c:pt idx="31">
                  <c:v>3.3499040872746049</c:v>
                </c:pt>
                <c:pt idx="32">
                  <c:v>3.2347491740244907</c:v>
                </c:pt>
                <c:pt idx="33">
                  <c:v>3.2308043957334744</c:v>
                </c:pt>
                <c:pt idx="34">
                  <c:v>3.3741687092742358</c:v>
                </c:pt>
                <c:pt idx="35">
                  <c:v>3.2425923514855168</c:v>
                </c:pt>
                <c:pt idx="36">
                  <c:v>3.487375077903208</c:v>
                </c:pt>
                <c:pt idx="37">
                  <c:v>3.2464909919011742</c:v>
                </c:pt>
                <c:pt idx="38">
                  <c:v>4.3643716994351607</c:v>
                </c:pt>
                <c:pt idx="39">
                  <c:v>3.3843902633457743</c:v>
                </c:pt>
                <c:pt idx="40">
                  <c:v>3.3428618046491918</c:v>
                </c:pt>
                <c:pt idx="41">
                  <c:v>3.2268439945173775</c:v>
                </c:pt>
                <c:pt idx="42">
                  <c:v>3.475067230228611</c:v>
                </c:pt>
                <c:pt idx="43">
                  <c:v>3.2958368660043291</c:v>
                </c:pt>
                <c:pt idx="44">
                  <c:v>3.2580965380214821</c:v>
                </c:pt>
                <c:pt idx="45">
                  <c:v>3.1441522786722644</c:v>
                </c:pt>
                <c:pt idx="46">
                  <c:v>3.427514689979529</c:v>
                </c:pt>
                <c:pt idx="47">
                  <c:v>3.5115454388310208</c:v>
                </c:pt>
                <c:pt idx="48">
                  <c:v>3.1654750481410856</c:v>
                </c:pt>
                <c:pt idx="49">
                  <c:v>3.9665111907122159</c:v>
                </c:pt>
                <c:pt idx="50">
                  <c:v>3.3357695763396999</c:v>
                </c:pt>
                <c:pt idx="51">
                  <c:v>3.1863526331626408</c:v>
                </c:pt>
                <c:pt idx="52">
                  <c:v>3.6027767550605247</c:v>
                </c:pt>
                <c:pt idx="53">
                  <c:v>3.2921262866077932</c:v>
                </c:pt>
              </c:numCache>
            </c:numRef>
          </c:xVal>
          <c:yVal>
            <c:numRef>
              <c:f>'7_Bang5_Beta'!$F$6:$F$59</c:f>
              <c:numCache>
                <c:formatCode>0.0000</c:formatCode>
                <c:ptCount val="54"/>
                <c:pt idx="0">
                  <c:v>0.12181992449815511</c:v>
                </c:pt>
                <c:pt idx="1">
                  <c:v>8.3771476093635375E-2</c:v>
                </c:pt>
                <c:pt idx="2">
                  <c:v>8.1437744273974058E-2</c:v>
                </c:pt>
                <c:pt idx="3">
                  <c:v>7.215152105447098E-2</c:v>
                </c:pt>
                <c:pt idx="4">
                  <c:v>7.5509216432816675E-2</c:v>
                </c:pt>
                <c:pt idx="5">
                  <c:v>0.11642996061375725</c:v>
                </c:pt>
                <c:pt idx="6">
                  <c:v>0.12614547857341499</c:v>
                </c:pt>
                <c:pt idx="7">
                  <c:v>7.0225594183026541E-2</c:v>
                </c:pt>
                <c:pt idx="8">
                  <c:v>0.10372755920783099</c:v>
                </c:pt>
                <c:pt idx="9">
                  <c:v>0.1464291913384296</c:v>
                </c:pt>
                <c:pt idx="10">
                  <c:v>9.8634301865546004E-2</c:v>
                </c:pt>
                <c:pt idx="11">
                  <c:v>9.047385052666683E-2</c:v>
                </c:pt>
                <c:pt idx="12">
                  <c:v>0.10319739402917512</c:v>
                </c:pt>
                <c:pt idx="13">
                  <c:v>0.12002736742011555</c:v>
                </c:pt>
                <c:pt idx="14">
                  <c:v>4.0918177651802758E-2</c:v>
                </c:pt>
                <c:pt idx="15">
                  <c:v>9.6508463648690146E-2</c:v>
                </c:pt>
                <c:pt idx="16">
                  <c:v>9.5229351281638674E-2</c:v>
                </c:pt>
                <c:pt idx="17">
                  <c:v>0.13831461735423614</c:v>
                </c:pt>
                <c:pt idx="18">
                  <c:v>0.10562534299230553</c:v>
                </c:pt>
                <c:pt idx="19">
                  <c:v>0.12062489067776767</c:v>
                </c:pt>
                <c:pt idx="20">
                  <c:v>7.5535253014226811E-2</c:v>
                </c:pt>
                <c:pt idx="21">
                  <c:v>0.10780005168461997</c:v>
                </c:pt>
                <c:pt idx="22">
                  <c:v>8.3618395340849208E-2</c:v>
                </c:pt>
                <c:pt idx="23">
                  <c:v>0.14419114228874749</c:v>
                </c:pt>
                <c:pt idx="24">
                  <c:v>0.10179388318372713</c:v>
                </c:pt>
                <c:pt idx="25">
                  <c:v>0.13759704940007925</c:v>
                </c:pt>
                <c:pt idx="26">
                  <c:v>0.10786211144835163</c:v>
                </c:pt>
                <c:pt idx="27">
                  <c:v>6.6890231820717183E-2</c:v>
                </c:pt>
                <c:pt idx="28">
                  <c:v>0.13695976883301228</c:v>
                </c:pt>
                <c:pt idx="29">
                  <c:v>0.12602204464001673</c:v>
                </c:pt>
                <c:pt idx="30">
                  <c:v>9.8518709627562373E-2</c:v>
                </c:pt>
                <c:pt idx="31">
                  <c:v>0.10795390967642771</c:v>
                </c:pt>
                <c:pt idx="32">
                  <c:v>0.11159450748562645</c:v>
                </c:pt>
                <c:pt idx="33">
                  <c:v>8.2451342354936383E-2</c:v>
                </c:pt>
                <c:pt idx="34">
                  <c:v>0.10323273433871864</c:v>
                </c:pt>
                <c:pt idx="35">
                  <c:v>0.10425190333463223</c:v>
                </c:pt>
                <c:pt idx="36">
                  <c:v>0.13684966771514548</c:v>
                </c:pt>
                <c:pt idx="37">
                  <c:v>6.4642367638087464E-2</c:v>
                </c:pt>
                <c:pt idx="38">
                  <c:v>4.1795878347201075E-2</c:v>
                </c:pt>
                <c:pt idx="39">
                  <c:v>0.12326955229626819</c:v>
                </c:pt>
                <c:pt idx="40">
                  <c:v>0.10259881221484897</c:v>
                </c:pt>
                <c:pt idx="41">
                  <c:v>0.15234097259100476</c:v>
                </c:pt>
                <c:pt idx="42">
                  <c:v>8.1123675375623261E-2</c:v>
                </c:pt>
                <c:pt idx="43">
                  <c:v>0.13101419603653572</c:v>
                </c:pt>
                <c:pt idx="44">
                  <c:v>6.290378496424183E-2</c:v>
                </c:pt>
                <c:pt idx="45">
                  <c:v>7.8947465224123839E-2</c:v>
                </c:pt>
                <c:pt idx="46">
                  <c:v>8.2083708774786324E-2</c:v>
                </c:pt>
                <c:pt idx="47">
                  <c:v>9.2393116750877205E-2</c:v>
                </c:pt>
                <c:pt idx="48">
                  <c:v>0.12322343534360281</c:v>
                </c:pt>
                <c:pt idx="49">
                  <c:v>3.3601566373988444E-2</c:v>
                </c:pt>
                <c:pt idx="50">
                  <c:v>8.4429847497341878E-2</c:v>
                </c:pt>
                <c:pt idx="51">
                  <c:v>9.7268596545214248E-2</c:v>
                </c:pt>
                <c:pt idx="52">
                  <c:v>0.13424553115165327</c:v>
                </c:pt>
                <c:pt idx="53">
                  <c:v>0.12037532995433065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0C-42BB-B973-B1A880E6E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ln(EBI năm 2017)</a:t>
                </a:r>
              </a:p>
            </c:rich>
          </c:tx>
          <c:overlay val="1"/>
        </c:title>
        <c:numFmt formatCode="0.0000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Tăng trưởng bình quân năm (log)</a:t>
                </a:r>
              </a:p>
            </c:rich>
          </c:tx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7. Hội tụ beta tuyệt đối 2021–2024: g theo ln(EBI 2021)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56 tỉnh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'7_Bang5_Beta'!$D$81:$D$136</c:f>
              <c:numCache>
                <c:formatCode>0.0000</c:formatCode>
                <c:ptCount val="56"/>
                <c:pt idx="0">
                  <c:v>1.6937790608678513</c:v>
                </c:pt>
                <c:pt idx="1">
                  <c:v>2.3015845926604621</c:v>
                </c:pt>
                <c:pt idx="2">
                  <c:v>2.6919208191723265</c:v>
                </c:pt>
                <c:pt idx="3">
                  <c:v>1.6272778305624314</c:v>
                </c:pt>
                <c:pt idx="4">
                  <c:v>1.7613002617433464</c:v>
                </c:pt>
                <c:pt idx="5">
                  <c:v>1.8453002361560848</c:v>
                </c:pt>
                <c:pt idx="6">
                  <c:v>1.8578592709325787</c:v>
                </c:pt>
                <c:pt idx="7">
                  <c:v>1.3812818192963463</c:v>
                </c:pt>
                <c:pt idx="8">
                  <c:v>2.2417729535972883</c:v>
                </c:pt>
                <c:pt idx="9">
                  <c:v>1.8961194845522977</c:v>
                </c:pt>
                <c:pt idx="10">
                  <c:v>1.5432981099295553</c:v>
                </c:pt>
                <c:pt idx="11">
                  <c:v>2.150598735996164</c:v>
                </c:pt>
                <c:pt idx="12">
                  <c:v>1.6174060820832772</c:v>
                </c:pt>
                <c:pt idx="13">
                  <c:v>1.8733394562204779</c:v>
                </c:pt>
                <c:pt idx="14">
                  <c:v>4.0192617560977446</c:v>
                </c:pt>
                <c:pt idx="15">
                  <c:v>1.7509374747077999</c:v>
                </c:pt>
                <c:pt idx="16">
                  <c:v>1.5260563034950492</c:v>
                </c:pt>
                <c:pt idx="17">
                  <c:v>1.9960599327407849</c:v>
                </c:pt>
                <c:pt idx="18">
                  <c:v>1.9169226121820611</c:v>
                </c:pt>
                <c:pt idx="19">
                  <c:v>2.4078456036515385</c:v>
                </c:pt>
                <c:pt idx="20">
                  <c:v>1.4929040961781488</c:v>
                </c:pt>
                <c:pt idx="21">
                  <c:v>2.2731562823032334</c:v>
                </c:pt>
                <c:pt idx="22">
                  <c:v>1.7387102481382397</c:v>
                </c:pt>
                <c:pt idx="23">
                  <c:v>1.5040773967762742</c:v>
                </c:pt>
                <c:pt idx="24">
                  <c:v>1.9906103279732201</c:v>
                </c:pt>
                <c:pt idx="25">
                  <c:v>1.6014057407368361</c:v>
                </c:pt>
                <c:pt idx="26">
                  <c:v>1.8946168546677629</c:v>
                </c:pt>
                <c:pt idx="27">
                  <c:v>1.43746264769429</c:v>
                </c:pt>
                <c:pt idx="28">
                  <c:v>1.9065751436566365</c:v>
                </c:pt>
                <c:pt idx="29">
                  <c:v>1.9021075263969205</c:v>
                </c:pt>
                <c:pt idx="30">
                  <c:v>1.8421356765531218</c:v>
                </c:pt>
                <c:pt idx="31">
                  <c:v>1.6601310267496185</c:v>
                </c:pt>
                <c:pt idx="32">
                  <c:v>1.6639260977181702</c:v>
                </c:pt>
                <c:pt idx="33">
                  <c:v>1.6094379124341003</c:v>
                </c:pt>
                <c:pt idx="34">
                  <c:v>1.6714733033535532</c:v>
                </c:pt>
                <c:pt idx="35">
                  <c:v>1.8325814637483102</c:v>
                </c:pt>
                <c:pt idx="36">
                  <c:v>1.7101878155342434</c:v>
                </c:pt>
                <c:pt idx="37">
                  <c:v>2.0819384218784229</c:v>
                </c:pt>
                <c:pt idx="38">
                  <c:v>1.6863989535702288</c:v>
                </c:pt>
                <c:pt idx="39">
                  <c:v>4.2140516715868488</c:v>
                </c:pt>
                <c:pt idx="40">
                  <c:v>1.9169226121820611</c:v>
                </c:pt>
                <c:pt idx="41">
                  <c:v>1.7011051009599243</c:v>
                </c:pt>
                <c:pt idx="42">
                  <c:v>1.8531680973566984</c:v>
                </c:pt>
                <c:pt idx="43">
                  <c:v>1.8164520818184267</c:v>
                </c:pt>
                <c:pt idx="44">
                  <c:v>1.6789639750827108</c:v>
                </c:pt>
                <c:pt idx="45">
                  <c:v>1.4770487243883548</c:v>
                </c:pt>
                <c:pt idx="46">
                  <c:v>1.3862943611198906</c:v>
                </c:pt>
                <c:pt idx="47">
                  <c:v>1.7155981082624909</c:v>
                </c:pt>
                <c:pt idx="48">
                  <c:v>1.5260563034950492</c:v>
                </c:pt>
                <c:pt idx="49">
                  <c:v>1.9726911717329554</c:v>
                </c:pt>
                <c:pt idx="50">
                  <c:v>1.6601310267496185</c:v>
                </c:pt>
                <c:pt idx="51">
                  <c:v>2.9465420293632194</c:v>
                </c:pt>
                <c:pt idx="52">
                  <c:v>1.7227665977411035</c:v>
                </c:pt>
                <c:pt idx="53">
                  <c:v>1.5411590716808059</c:v>
                </c:pt>
                <c:pt idx="54">
                  <c:v>2.4105422344991378</c:v>
                </c:pt>
                <c:pt idx="55">
                  <c:v>1.7191887763932197</c:v>
                </c:pt>
              </c:numCache>
            </c:numRef>
          </c:xVal>
          <c:yVal>
            <c:numRef>
              <c:f>'7_Bang5_Beta'!$F$81:$F$136</c:f>
              <c:numCache>
                <c:formatCode>0.0000</c:formatCode>
                <c:ptCount val="56"/>
                <c:pt idx="0">
                  <c:v>0.35960322045730991</c:v>
                </c:pt>
                <c:pt idx="1">
                  <c:v>0.34353997250491392</c:v>
                </c:pt>
                <c:pt idx="2">
                  <c:v>0.41330160451733305</c:v>
                </c:pt>
                <c:pt idx="3">
                  <c:v>0.38177029722578326</c:v>
                </c:pt>
                <c:pt idx="4">
                  <c:v>0.41147733727021479</c:v>
                </c:pt>
                <c:pt idx="5">
                  <c:v>0.39974073385577941</c:v>
                </c:pt>
                <c:pt idx="6">
                  <c:v>0.41106106080857913</c:v>
                </c:pt>
                <c:pt idx="7">
                  <c:v>0.33887115116734146</c:v>
                </c:pt>
                <c:pt idx="8">
                  <c:v>0.38647480935495571</c:v>
                </c:pt>
                <c:pt idx="9">
                  <c:v>0.34943983153804753</c:v>
                </c:pt>
                <c:pt idx="10">
                  <c:v>0.40976353743674193</c:v>
                </c:pt>
                <c:pt idx="11">
                  <c:v>0.39386859139301328</c:v>
                </c:pt>
                <c:pt idx="12">
                  <c:v>0.36354803967297761</c:v>
                </c:pt>
                <c:pt idx="13">
                  <c:v>0.42071825323622392</c:v>
                </c:pt>
                <c:pt idx="14">
                  <c:v>0.13718501424852292</c:v>
                </c:pt>
                <c:pt idx="15">
                  <c:v>0.37981142772945486</c:v>
                </c:pt>
                <c:pt idx="16">
                  <c:v>0.37100034204006976</c:v>
                </c:pt>
                <c:pt idx="17">
                  <c:v>0.43325897775451477</c:v>
                </c:pt>
                <c:pt idx="18">
                  <c:v>0.37586660851378734</c:v>
                </c:pt>
                <c:pt idx="19">
                  <c:v>0.39189111160152379</c:v>
                </c:pt>
                <c:pt idx="20">
                  <c:v>0.40504870164135376</c:v>
                </c:pt>
                <c:pt idx="21">
                  <c:v>0.31523984752165574</c:v>
                </c:pt>
                <c:pt idx="22">
                  <c:v>0.36483436530599217</c:v>
                </c:pt>
                <c:pt idx="23">
                  <c:v>0.35362398689508751</c:v>
                </c:pt>
                <c:pt idx="24">
                  <c:v>0.36681070846169866</c:v>
                </c:pt>
                <c:pt idx="25">
                  <c:v>0.46477551093905162</c:v>
                </c:pt>
                <c:pt idx="26">
                  <c:v>0.45449322778457307</c:v>
                </c:pt>
                <c:pt idx="27">
                  <c:v>0.37582890325574891</c:v>
                </c:pt>
                <c:pt idx="28">
                  <c:v>0.45050713145494853</c:v>
                </c:pt>
                <c:pt idx="29">
                  <c:v>0.39631164232046517</c:v>
                </c:pt>
                <c:pt idx="30">
                  <c:v>0.44530605126494133</c:v>
                </c:pt>
                <c:pt idx="31">
                  <c:v>0.39102743910219923</c:v>
                </c:pt>
                <c:pt idx="32">
                  <c:v>0.46019878000175091</c:v>
                </c:pt>
                <c:pt idx="33">
                  <c:v>0.3877169366018936</c:v>
                </c:pt>
                <c:pt idx="34">
                  <c:v>0.38724668023422099</c:v>
                </c:pt>
                <c:pt idx="35">
                  <c:v>0.38771693660189355</c:v>
                </c:pt>
                <c:pt idx="36">
                  <c:v>0.37434184284065758</c:v>
                </c:pt>
                <c:pt idx="37">
                  <c:v>0.39205270538101972</c:v>
                </c:pt>
                <c:pt idx="38">
                  <c:v>0.38227146349532909</c:v>
                </c:pt>
                <c:pt idx="39">
                  <c:v>8.3952149022578304E-2</c:v>
                </c:pt>
                <c:pt idx="40">
                  <c:v>0.40619053458236287</c:v>
                </c:pt>
                <c:pt idx="41">
                  <c:v>0.46331245079946393</c:v>
                </c:pt>
                <c:pt idx="42">
                  <c:v>0.38085472539909748</c:v>
                </c:pt>
                <c:pt idx="43">
                  <c:v>0.42486345717996316</c:v>
                </c:pt>
                <c:pt idx="44">
                  <c:v>0.38474978965783513</c:v>
                </c:pt>
                <c:pt idx="45">
                  <c:v>0.38733620174230121</c:v>
                </c:pt>
                <c:pt idx="46">
                  <c:v>0.39288499878054872</c:v>
                </c:pt>
                <c:pt idx="47">
                  <c:v>0.40961362363464976</c:v>
                </c:pt>
                <c:pt idx="48">
                  <c:v>0.37100034204006976</c:v>
                </c:pt>
                <c:pt idx="49">
                  <c:v>0.40178755287166346</c:v>
                </c:pt>
                <c:pt idx="50">
                  <c:v>0.32630876762187994</c:v>
                </c:pt>
                <c:pt idx="51">
                  <c:v>0.30120185744894634</c:v>
                </c:pt>
                <c:pt idx="52">
                  <c:v>0.47090920606268205</c:v>
                </c:pt>
                <c:pt idx="53">
                  <c:v>0.34126342859357695</c:v>
                </c:pt>
                <c:pt idx="54">
                  <c:v>0.33021838238767254</c:v>
                </c:pt>
                <c:pt idx="55">
                  <c:v>0.40841673425774022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18-47FA-B570-BDD420E12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ln(EBI năm 2021)</a:t>
                </a:r>
              </a:p>
            </c:rich>
          </c:tx>
          <c:overlay val="1"/>
        </c:title>
        <c:numFmt formatCode="0.0000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Tăng trưởng bình quân năm (log)</a:t>
                </a:r>
              </a:p>
            </c:rich>
          </c:tx>
          <c:overlay val="1"/>
        </c:title>
        <c:numFmt formatCode="0.0000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Hình 8. Đóng góp của từng biến vào phần nguồn lực (% khoảng cách)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'9_Bang8_Oaxaca'!$G$4</c:f>
              <c:strCache>
                <c:ptCount val="1"/>
                <c:pt idx="0">
                  <c:v>% khoảng cách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'9_Bang8_Oaxaca'!$A$5:$A$12</c:f>
              <c:strCache>
                <c:ptCount val="8"/>
                <c:pt idx="0">
                  <c:v>ln(GRDP/người)</c:v>
                </c:pt>
                <c:pt idx="1">
                  <c:v>Mật độ DN (DN/1.000 dân)</c:v>
                </c:pt>
                <c:pt idx="2">
                  <c:v>Tỷ lệ dân số thành thị (%)</c:v>
                </c:pt>
                <c:pt idx="3">
                  <c:v>Tỷ lệ LĐ qua đào tạo (%)</c:v>
                </c:pt>
                <c:pt idx="4">
                  <c:v>ln(Hàng hóa vận chuyển đường bộ/người)</c:v>
                </c:pt>
                <c:pt idx="5">
                  <c:v>Siêu thị + TTTM/100.000 dân</c:v>
                </c:pt>
                <c:pt idx="6">
                  <c:v>ln(1 + FDI lũy kế/người)</c:v>
                </c:pt>
                <c:pt idx="7">
                  <c:v>Tỷ lệ hộ có máy tính (%)</c:v>
                </c:pt>
              </c:strCache>
            </c:strRef>
          </c:cat>
          <c:val>
            <c:numRef>
              <c:f>'9_Bang8_Oaxaca'!$G$5:$G$12</c:f>
              <c:numCache>
                <c:formatCode>0.0</c:formatCode>
                <c:ptCount val="8"/>
                <c:pt idx="0">
                  <c:v>-1.7323987055764198</c:v>
                </c:pt>
                <c:pt idx="1">
                  <c:v>69.390713822777798</c:v>
                </c:pt>
                <c:pt idx="2">
                  <c:v>-2.2972527985039357</c:v>
                </c:pt>
                <c:pt idx="3">
                  <c:v>-0.49464477684972524</c:v>
                </c:pt>
                <c:pt idx="4">
                  <c:v>5.1067996988041253</c:v>
                </c:pt>
                <c:pt idx="5">
                  <c:v>-1.7217848537088436</c:v>
                </c:pt>
                <c:pt idx="6">
                  <c:v>4.5946373600099841</c:v>
                </c:pt>
                <c:pt idx="7">
                  <c:v>3.8708979365481149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F-47DC-A8F6-10DEF64EA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% khoảng cách</a:t>
                </a:r>
              </a:p>
            </c:rich>
          </c:tx>
          <c:overlay val="1"/>
        </c:title>
        <c:numFmt formatCode="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451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515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515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21</xdr:col>
      <xdr:colOff>0</xdr:colOff>
      <xdr:row>25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defaultRowHeight="15" x14ac:dyDescent="0.25"/>
  <cols>
    <col min="1" max="1" width="24" customWidth="1"/>
    <col min="2" max="2" width="80" customWidth="1"/>
    <col min="3" max="4" width="34" customWidth="1"/>
  </cols>
  <sheetData>
    <row r="1" spans="1:8" ht="17.25" x14ac:dyDescent="0.3">
      <c r="A1" s="1" t="s">
        <v>0</v>
      </c>
    </row>
    <row r="3" spans="1:8" ht="45.95" customHeight="1" x14ac:dyDescent="0.25">
      <c r="A3" s="24" t="s">
        <v>1</v>
      </c>
      <c r="B3" s="25"/>
      <c r="C3" s="25"/>
      <c r="D3" s="25"/>
      <c r="E3" s="25"/>
      <c r="F3" s="25"/>
      <c r="G3" s="25"/>
      <c r="H3" s="25"/>
    </row>
    <row r="4" spans="1:8" ht="45.95" customHeight="1" x14ac:dyDescent="0.25">
      <c r="A4" s="24" t="s">
        <v>2</v>
      </c>
      <c r="B4" s="25"/>
      <c r="C4" s="25"/>
      <c r="D4" s="25"/>
      <c r="E4" s="25"/>
      <c r="F4" s="25"/>
      <c r="G4" s="25"/>
      <c r="H4" s="25"/>
    </row>
    <row r="5" spans="1:8" ht="45.95" customHeight="1" x14ac:dyDescent="0.25">
      <c r="A5" s="24" t="s">
        <v>3</v>
      </c>
      <c r="B5" s="25"/>
      <c r="C5" s="25"/>
      <c r="D5" s="25"/>
      <c r="E5" s="25"/>
      <c r="F5" s="25"/>
      <c r="G5" s="25"/>
      <c r="H5" s="25"/>
    </row>
    <row r="6" spans="1:8" ht="45.95" customHeight="1" x14ac:dyDescent="0.25">
      <c r="A6" s="24" t="s">
        <v>4</v>
      </c>
      <c r="B6" s="25"/>
      <c r="C6" s="25"/>
      <c r="D6" s="25"/>
      <c r="E6" s="25"/>
      <c r="F6" s="25"/>
      <c r="G6" s="25"/>
      <c r="H6" s="25"/>
    </row>
    <row r="7" spans="1:8" ht="45.95" customHeight="1" x14ac:dyDescent="0.25">
      <c r="A7" s="24" t="s">
        <v>5</v>
      </c>
      <c r="B7" s="25"/>
      <c r="C7" s="25"/>
      <c r="D7" s="25"/>
      <c r="E7" s="25"/>
      <c r="F7" s="25"/>
      <c r="G7" s="25"/>
      <c r="H7" s="25"/>
    </row>
    <row r="9" spans="1:8" ht="32.1" customHeight="1" x14ac:dyDescent="0.25">
      <c r="A9" s="3" t="s">
        <v>6</v>
      </c>
      <c r="B9" s="3" t="s">
        <v>7</v>
      </c>
      <c r="C9" s="3" t="s">
        <v>8</v>
      </c>
      <c r="D9" s="3" t="s">
        <v>9</v>
      </c>
    </row>
    <row r="10" spans="1:8" ht="30" x14ac:dyDescent="0.25">
      <c r="A10" s="2" t="s">
        <v>10</v>
      </c>
      <c r="B10" s="2" t="s">
        <v>11</v>
      </c>
      <c r="C10" s="2" t="s">
        <v>12</v>
      </c>
      <c r="D10" s="2" t="s">
        <v>13</v>
      </c>
    </row>
    <row r="11" spans="1:8" x14ac:dyDescent="0.25">
      <c r="A11" s="2" t="s">
        <v>14</v>
      </c>
      <c r="B11" s="2" t="s">
        <v>15</v>
      </c>
      <c r="C11" s="2" t="s">
        <v>16</v>
      </c>
      <c r="D11" s="2" t="s">
        <v>17</v>
      </c>
    </row>
    <row r="12" spans="1:8" ht="30" x14ac:dyDescent="0.25">
      <c r="A12" s="2" t="s">
        <v>18</v>
      </c>
      <c r="B12" s="2" t="s">
        <v>19</v>
      </c>
      <c r="C12" s="2" t="s">
        <v>20</v>
      </c>
      <c r="D12" s="2" t="s">
        <v>21</v>
      </c>
    </row>
    <row r="13" spans="1:8" ht="30" x14ac:dyDescent="0.25">
      <c r="A13" s="2" t="s">
        <v>22</v>
      </c>
      <c r="B13" s="2" t="s">
        <v>23</v>
      </c>
      <c r="C13" s="2" t="s">
        <v>24</v>
      </c>
      <c r="D13" s="2" t="s">
        <v>21</v>
      </c>
    </row>
    <row r="14" spans="1:8" x14ac:dyDescent="0.25">
      <c r="A14" s="2" t="s">
        <v>25</v>
      </c>
      <c r="B14" s="2" t="s">
        <v>26</v>
      </c>
      <c r="C14" s="2" t="s">
        <v>27</v>
      </c>
      <c r="D14" s="2" t="s">
        <v>17</v>
      </c>
    </row>
    <row r="15" spans="1:8" x14ac:dyDescent="0.25">
      <c r="A15" s="2" t="s">
        <v>28</v>
      </c>
      <c r="B15" s="2" t="s">
        <v>29</v>
      </c>
      <c r="C15" s="2" t="s">
        <v>30</v>
      </c>
      <c r="D15" s="2" t="s">
        <v>21</v>
      </c>
    </row>
    <row r="16" spans="1:8" ht="30" x14ac:dyDescent="0.25">
      <c r="A16" s="2" t="s">
        <v>31</v>
      </c>
      <c r="B16" s="2" t="s">
        <v>32</v>
      </c>
      <c r="C16" s="2" t="s">
        <v>33</v>
      </c>
      <c r="D16" s="2" t="s">
        <v>34</v>
      </c>
    </row>
    <row r="17" spans="1:4" ht="30" x14ac:dyDescent="0.25">
      <c r="A17" s="2" t="s">
        <v>35</v>
      </c>
      <c r="B17" s="2" t="s">
        <v>36</v>
      </c>
      <c r="C17" s="2" t="s">
        <v>37</v>
      </c>
      <c r="D17" s="2" t="s">
        <v>38</v>
      </c>
    </row>
    <row r="18" spans="1:4" ht="30" x14ac:dyDescent="0.25">
      <c r="A18" s="2" t="s">
        <v>39</v>
      </c>
      <c r="B18" s="2" t="s">
        <v>40</v>
      </c>
      <c r="C18" s="2" t="s">
        <v>41</v>
      </c>
      <c r="D18" s="2" t="s">
        <v>42</v>
      </c>
    </row>
    <row r="19" spans="1:4" ht="30" x14ac:dyDescent="0.25">
      <c r="A19" s="2" t="s">
        <v>43</v>
      </c>
      <c r="B19" s="2" t="s">
        <v>44</v>
      </c>
      <c r="C19" s="2" t="s">
        <v>45</v>
      </c>
      <c r="D19" s="2" t="s">
        <v>17</v>
      </c>
    </row>
    <row r="20" spans="1:4" x14ac:dyDescent="0.25">
      <c r="A20" s="2" t="s">
        <v>46</v>
      </c>
      <c r="B20" s="2" t="s">
        <v>47</v>
      </c>
      <c r="C20" s="2" t="s">
        <v>48</v>
      </c>
      <c r="D20" s="2" t="s">
        <v>49</v>
      </c>
    </row>
  </sheetData>
  <mergeCells count="5">
    <mergeCell ref="A4:H4"/>
    <mergeCell ref="A3:H3"/>
    <mergeCell ref="A7:H7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0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6" customWidth="1"/>
    <col min="3" max="3" width="11" customWidth="1"/>
    <col min="4" max="4" width="8" customWidth="1"/>
    <col min="5" max="5" width="7" customWidth="1"/>
    <col min="6" max="6" width="8" customWidth="1"/>
    <col min="7" max="8" width="7" customWidth="1"/>
    <col min="9" max="9" width="8" customWidth="1"/>
    <col min="10" max="12" width="10" customWidth="1"/>
    <col min="13" max="15" width="9" customWidth="1"/>
    <col min="16" max="16" width="11" customWidth="1"/>
    <col min="17" max="17" width="10" customWidth="1"/>
    <col min="18" max="18" width="8" customWidth="1"/>
    <col min="19" max="19" width="7" customWidth="1"/>
    <col min="20" max="21" width="11" customWidth="1"/>
    <col min="22" max="25" width="9" customWidth="1"/>
    <col min="26" max="33" width="11" customWidth="1"/>
  </cols>
  <sheetData>
    <row r="1" spans="1:33" ht="17.25" x14ac:dyDescent="0.3">
      <c r="A1" s="1" t="s">
        <v>50</v>
      </c>
    </row>
    <row r="2" spans="1:33" ht="44.1" customHeight="1" x14ac:dyDescent="0.25">
      <c r="A2" s="26" t="s">
        <v>51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33" ht="32.1" customHeight="1" x14ac:dyDescent="0.2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77</v>
      </c>
      <c r="AA4" s="3" t="s">
        <v>78</v>
      </c>
      <c r="AB4" s="3" t="s">
        <v>79</v>
      </c>
      <c r="AC4" s="3" t="s">
        <v>80</v>
      </c>
      <c r="AD4" s="3" t="s">
        <v>81</v>
      </c>
      <c r="AE4" s="3" t="s">
        <v>82</v>
      </c>
      <c r="AF4" s="3" t="s">
        <v>83</v>
      </c>
      <c r="AG4" s="3" t="s">
        <v>84</v>
      </c>
    </row>
    <row r="5" spans="1:33" x14ac:dyDescent="0.25">
      <c r="A5" s="4" t="s">
        <v>85</v>
      </c>
      <c r="B5" s="4">
        <v>2017</v>
      </c>
      <c r="C5" s="4" t="s">
        <v>86</v>
      </c>
      <c r="D5" s="5">
        <f t="shared" ref="D5:D68" si="0">IF(OR(C5="ĐNB",C5="ĐBSH"),1,0)</f>
        <v>0</v>
      </c>
      <c r="E5" s="4">
        <v>27.2</v>
      </c>
      <c r="F5" s="4">
        <v>12.4</v>
      </c>
      <c r="G5" s="4">
        <v>40.4</v>
      </c>
      <c r="H5" s="4">
        <v>14.5</v>
      </c>
      <c r="I5" s="4">
        <v>70.5</v>
      </c>
      <c r="J5" s="4">
        <v>1954.2</v>
      </c>
      <c r="K5" s="4"/>
      <c r="L5" s="4">
        <v>2.2589999999999999</v>
      </c>
      <c r="M5" s="4">
        <v>30.99</v>
      </c>
      <c r="N5" s="4">
        <v>12.5</v>
      </c>
      <c r="O5" s="4"/>
      <c r="P5" s="4">
        <v>5515.3</v>
      </c>
      <c r="Q5" s="6">
        <f t="shared" ref="Q5:Q68" si="1">IF(P5="","",P5/J5)</f>
        <v>2.8222802169685806</v>
      </c>
      <c r="R5" s="4">
        <v>6</v>
      </c>
      <c r="S5" s="4">
        <v>2</v>
      </c>
      <c r="T5" s="6">
        <f t="shared" ref="T5:T68" si="2">(R5+S5)/J5*100</f>
        <v>0.40937468017603112</v>
      </c>
      <c r="U5" s="4">
        <v>101.4</v>
      </c>
      <c r="V5" s="7">
        <f t="shared" ref="V5:V68" si="3">IF(E5="","",LN(E5))</f>
        <v>3.3032169733019514</v>
      </c>
      <c r="W5" s="7" t="str">
        <f t="shared" ref="W5:W68" si="4">IF(K5="","",LN(K5))</f>
        <v/>
      </c>
      <c r="X5" s="7">
        <f t="shared" ref="X5:X68" si="5">IF(Q5="","",LN(Q5))</f>
        <v>1.0375451457967129</v>
      </c>
      <c r="Y5" s="7">
        <f t="shared" ref="Y5:Y68" si="6">LN(1+U5)</f>
        <v>4.6288867126054072</v>
      </c>
      <c r="Z5" s="7" t="str">
        <f>IF(B5=2017,"",W-58)</f>
        <v/>
      </c>
      <c r="AA5" s="7" t="str">
        <f>IF(B5=2017,"",L-58)</f>
        <v/>
      </c>
      <c r="AB5" s="7" t="str">
        <f>IF(B5=2017,"",M-58)</f>
        <v/>
      </c>
      <c r="AC5" s="7" t="str">
        <f>IF(B5=2017,"",N-58)</f>
        <v/>
      </c>
      <c r="AD5" s="7" t="str">
        <f>IF(B5=2017,"",O-58)</f>
        <v/>
      </c>
      <c r="AE5" s="7" t="str">
        <f>IF(B5=2017,"",X-58)</f>
        <v/>
      </c>
      <c r="AF5" s="7" t="str">
        <f>IF(B5=2017,"",T-58)</f>
        <v/>
      </c>
      <c r="AG5" s="7" t="str">
        <f>IF(B5=2017,"",Y-58)</f>
        <v/>
      </c>
    </row>
    <row r="6" spans="1:33" x14ac:dyDescent="0.25">
      <c r="A6" s="4" t="s">
        <v>87</v>
      </c>
      <c r="B6" s="4">
        <v>2017</v>
      </c>
      <c r="C6" s="4" t="s">
        <v>88</v>
      </c>
      <c r="D6" s="5">
        <f t="shared" si="0"/>
        <v>1</v>
      </c>
      <c r="E6" s="4">
        <v>37.799999999999997</v>
      </c>
      <c r="F6" s="4">
        <v>21.3</v>
      </c>
      <c r="G6" s="4">
        <v>57</v>
      </c>
      <c r="H6" s="4">
        <v>28.6</v>
      </c>
      <c r="I6" s="4">
        <v>57</v>
      </c>
      <c r="J6" s="4">
        <v>1127.2</v>
      </c>
      <c r="K6" s="4"/>
      <c r="L6" s="4">
        <v>7.9450000000000003</v>
      </c>
      <c r="M6" s="4">
        <v>56.76</v>
      </c>
      <c r="N6" s="4">
        <v>26.5</v>
      </c>
      <c r="O6" s="4"/>
      <c r="P6" s="4">
        <v>5908.1</v>
      </c>
      <c r="Q6" s="6">
        <f t="shared" si="1"/>
        <v>5.2413946061036194</v>
      </c>
      <c r="R6" s="4">
        <v>8</v>
      </c>
      <c r="S6" s="4">
        <v>3</v>
      </c>
      <c r="T6" s="6">
        <f t="shared" si="2"/>
        <v>0.97586941092973734</v>
      </c>
      <c r="U6" s="4">
        <v>23809.5</v>
      </c>
      <c r="V6" s="7">
        <f t="shared" si="3"/>
        <v>3.6323091026255421</v>
      </c>
      <c r="W6" s="7" t="str">
        <f t="shared" si="4"/>
        <v/>
      </c>
      <c r="X6" s="7">
        <f t="shared" si="5"/>
        <v>1.6565876091253138</v>
      </c>
      <c r="Y6" s="7">
        <f t="shared" si="6"/>
        <v>10.077881938840429</v>
      </c>
      <c r="Z6" s="7" t="str">
        <f>IF(B6=2017,"",W-57)</f>
        <v/>
      </c>
      <c r="AA6" s="7" t="str">
        <f>IF(B6=2017,"",L-57)</f>
        <v/>
      </c>
      <c r="AB6" s="7" t="str">
        <f>IF(B6=2017,"",M-57)</f>
        <v/>
      </c>
      <c r="AC6" s="7" t="str">
        <f>IF(B6=2017,"",N-57)</f>
        <v/>
      </c>
      <c r="AD6" s="7" t="str">
        <f>IF(B6=2017,"",O-57)</f>
        <v/>
      </c>
      <c r="AE6" s="7" t="str">
        <f>IF(B6=2017,"",X-57)</f>
        <v/>
      </c>
      <c r="AF6" s="7" t="str">
        <f>IF(B6=2017,"",T-57)</f>
        <v/>
      </c>
      <c r="AG6" s="7" t="str">
        <f>IF(B6=2017,"",Y-57)</f>
        <v/>
      </c>
    </row>
    <row r="7" spans="1:33" x14ac:dyDescent="0.25">
      <c r="A7" s="4" t="s">
        <v>89</v>
      </c>
      <c r="B7" s="4">
        <v>2017</v>
      </c>
      <c r="C7" s="4" t="s">
        <v>88</v>
      </c>
      <c r="D7" s="5">
        <f t="shared" si="0"/>
        <v>1</v>
      </c>
      <c r="E7" s="4">
        <v>43</v>
      </c>
      <c r="F7" s="4">
        <v>21.2</v>
      </c>
      <c r="G7" s="4">
        <v>62.1</v>
      </c>
      <c r="H7" s="4">
        <v>36.700000000000003</v>
      </c>
      <c r="I7" s="4">
        <v>69.5</v>
      </c>
      <c r="J7" s="4">
        <v>2227.1999999999998</v>
      </c>
      <c r="K7" s="4"/>
      <c r="L7" s="4">
        <v>10.316000000000001</v>
      </c>
      <c r="M7" s="4">
        <v>76.19</v>
      </c>
      <c r="N7" s="4">
        <v>18.7</v>
      </c>
      <c r="O7" s="4"/>
      <c r="P7" s="4">
        <v>47046.7</v>
      </c>
      <c r="Q7" s="6">
        <f t="shared" si="1"/>
        <v>21.123697916666668</v>
      </c>
      <c r="R7" s="4">
        <v>11</v>
      </c>
      <c r="S7" s="4">
        <v>3</v>
      </c>
      <c r="T7" s="6">
        <f t="shared" si="2"/>
        <v>0.62859195402298851</v>
      </c>
      <c r="U7" s="4">
        <v>13622</v>
      </c>
      <c r="V7" s="7">
        <f t="shared" si="3"/>
        <v>3.7612001156935624</v>
      </c>
      <c r="W7" s="7" t="str">
        <f t="shared" si="4"/>
        <v/>
      </c>
      <c r="X7" s="7">
        <f t="shared" si="5"/>
        <v>3.0503955342627269</v>
      </c>
      <c r="Y7" s="7">
        <f t="shared" si="6"/>
        <v>9.5195148197660604</v>
      </c>
      <c r="Z7" s="7" t="str">
        <f>IF(B7=2017,"",W-56)</f>
        <v/>
      </c>
      <c r="AA7" s="7" t="str">
        <f>IF(B7=2017,"",L-56)</f>
        <v/>
      </c>
      <c r="AB7" s="7" t="str">
        <f>IF(B7=2017,"",M-56)</f>
        <v/>
      </c>
      <c r="AC7" s="7" t="str">
        <f>IF(B7=2017,"",N-56)</f>
        <v/>
      </c>
      <c r="AD7" s="7" t="str">
        <f>IF(B7=2017,"",O-56)</f>
        <v/>
      </c>
      <c r="AE7" s="7" t="str">
        <f>IF(B7=2017,"",X-56)</f>
        <v/>
      </c>
      <c r="AF7" s="7" t="str">
        <f>IF(B7=2017,"",T-56)</f>
        <v/>
      </c>
      <c r="AG7" s="7" t="str">
        <f>IF(B7=2017,"",Y-56)</f>
        <v/>
      </c>
    </row>
    <row r="8" spans="1:33" x14ac:dyDescent="0.25">
      <c r="A8" s="4" t="s">
        <v>90</v>
      </c>
      <c r="B8" s="4">
        <v>2017</v>
      </c>
      <c r="C8" s="4" t="s">
        <v>88</v>
      </c>
      <c r="D8" s="5">
        <f t="shared" si="0"/>
        <v>1</v>
      </c>
      <c r="E8" s="4">
        <v>24</v>
      </c>
      <c r="F8" s="4">
        <v>11</v>
      </c>
      <c r="G8" s="4">
        <v>35</v>
      </c>
      <c r="H8" s="4">
        <v>17.8</v>
      </c>
      <c r="I8" s="4">
        <v>49</v>
      </c>
      <c r="J8" s="4">
        <v>972.6</v>
      </c>
      <c r="K8" s="4"/>
      <c r="L8" s="4">
        <v>4.16</v>
      </c>
      <c r="M8" s="4">
        <v>22.27</v>
      </c>
      <c r="N8" s="4">
        <v>14</v>
      </c>
      <c r="O8" s="4"/>
      <c r="P8" s="4">
        <v>2442.3000000000002</v>
      </c>
      <c r="Q8" s="6">
        <f t="shared" si="1"/>
        <v>2.5111042566317088</v>
      </c>
      <c r="R8" s="4">
        <v>2</v>
      </c>
      <c r="S8" s="4">
        <v>3</v>
      </c>
      <c r="T8" s="6">
        <f t="shared" si="2"/>
        <v>0.51408595517170474</v>
      </c>
      <c r="U8" s="4">
        <v>2016</v>
      </c>
      <c r="V8" s="7">
        <f t="shared" si="3"/>
        <v>3.1780538303479458</v>
      </c>
      <c r="W8" s="7" t="str">
        <f t="shared" si="4"/>
        <v/>
      </c>
      <c r="X8" s="7">
        <f t="shared" si="5"/>
        <v>0.92072259927835631</v>
      </c>
      <c r="Y8" s="7">
        <f t="shared" si="6"/>
        <v>7.6093665379542115</v>
      </c>
      <c r="Z8" s="7" t="str">
        <f>IF(B8=2017,"",W-55)</f>
        <v/>
      </c>
      <c r="AA8" s="7" t="str">
        <f>IF(B8=2017,"",L-55)</f>
        <v/>
      </c>
      <c r="AB8" s="7" t="str">
        <f>IF(B8=2017,"",M-55)</f>
        <v/>
      </c>
      <c r="AC8" s="7" t="str">
        <f>IF(B8=2017,"",N-55)</f>
        <v/>
      </c>
      <c r="AD8" s="7" t="str">
        <f>IF(B8=2017,"",O-55)</f>
        <v/>
      </c>
      <c r="AE8" s="7" t="str">
        <f>IF(B8=2017,"",X-55)</f>
        <v/>
      </c>
      <c r="AF8" s="7" t="str">
        <f>IF(B8=2017,"",T-55)</f>
        <v/>
      </c>
      <c r="AG8" s="7" t="str">
        <f>IF(B8=2017,"",Y-55)</f>
        <v/>
      </c>
    </row>
    <row r="9" spans="1:33" x14ac:dyDescent="0.25">
      <c r="A9" s="4" t="s">
        <v>91</v>
      </c>
      <c r="B9" s="4">
        <v>2017</v>
      </c>
      <c r="C9" s="4" t="s">
        <v>92</v>
      </c>
      <c r="D9" s="5">
        <f t="shared" si="0"/>
        <v>0</v>
      </c>
      <c r="E9" s="4">
        <v>29.5</v>
      </c>
      <c r="F9" s="4">
        <v>14.5</v>
      </c>
      <c r="G9" s="4">
        <v>41.5</v>
      </c>
      <c r="H9" s="4">
        <v>21.9</v>
      </c>
      <c r="I9" s="4">
        <v>60.9</v>
      </c>
      <c r="J9" s="4">
        <v>1220.5</v>
      </c>
      <c r="K9" s="4"/>
      <c r="L9" s="4">
        <v>3.4260000000000002</v>
      </c>
      <c r="M9" s="4">
        <v>38.32</v>
      </c>
      <c r="N9" s="4">
        <v>15.6</v>
      </c>
      <c r="O9" s="4"/>
      <c r="P9" s="4">
        <v>7273.4</v>
      </c>
      <c r="Q9" s="6">
        <f t="shared" si="1"/>
        <v>5.9593609176566975</v>
      </c>
      <c r="R9" s="4">
        <v>2</v>
      </c>
      <c r="S9" s="4">
        <v>1</v>
      </c>
      <c r="T9" s="6">
        <f t="shared" si="2"/>
        <v>0.24580090126997134</v>
      </c>
      <c r="U9" s="4">
        <v>2922.4</v>
      </c>
      <c r="V9" s="7">
        <f t="shared" si="3"/>
        <v>3.3843902633457743</v>
      </c>
      <c r="W9" s="7" t="str">
        <f t="shared" si="4"/>
        <v/>
      </c>
      <c r="X9" s="7">
        <f t="shared" si="5"/>
        <v>1.784963246746772</v>
      </c>
      <c r="Y9" s="7">
        <f t="shared" si="6"/>
        <v>7.9805026014551927</v>
      </c>
      <c r="Z9" s="7" t="str">
        <f>IF(B9=2017,"",W-54)</f>
        <v/>
      </c>
      <c r="AA9" s="7" t="str">
        <f>IF(B9=2017,"",L-54)</f>
        <v/>
      </c>
      <c r="AB9" s="7" t="str">
        <f>IF(B9=2017,"",M-54)</f>
        <v/>
      </c>
      <c r="AC9" s="7" t="str">
        <f>IF(B9=2017,"",N-54)</f>
        <v/>
      </c>
      <c r="AD9" s="7" t="str">
        <f>IF(B9=2017,"",O-54)</f>
        <v/>
      </c>
      <c r="AE9" s="7" t="str">
        <f>IF(B9=2017,"",X-54)</f>
        <v/>
      </c>
      <c r="AF9" s="7" t="str">
        <f>IF(B9=2017,"",T-54)</f>
        <v/>
      </c>
      <c r="AG9" s="7" t="str">
        <f>IF(B9=2017,"",Y-54)</f>
        <v/>
      </c>
    </row>
    <row r="10" spans="1:33" x14ac:dyDescent="0.25">
      <c r="A10" s="4" t="s">
        <v>93</v>
      </c>
      <c r="B10" s="4">
        <v>2017</v>
      </c>
      <c r="C10" s="4" t="s">
        <v>92</v>
      </c>
      <c r="D10" s="5">
        <f t="shared" si="0"/>
        <v>0</v>
      </c>
      <c r="E10" s="4">
        <v>29.9</v>
      </c>
      <c r="F10" s="4">
        <v>15.5</v>
      </c>
      <c r="G10" s="4">
        <v>41</v>
      </c>
      <c r="H10" s="4">
        <v>24.4</v>
      </c>
      <c r="I10" s="4">
        <v>56.5</v>
      </c>
      <c r="J10" s="4">
        <v>1487.7</v>
      </c>
      <c r="K10" s="4"/>
      <c r="L10" s="4">
        <v>3.96</v>
      </c>
      <c r="M10" s="4">
        <v>31.87</v>
      </c>
      <c r="N10" s="4">
        <v>16.899999999999999</v>
      </c>
      <c r="O10" s="4"/>
      <c r="P10" s="4">
        <v>17047.400000000001</v>
      </c>
      <c r="Q10" s="6">
        <f t="shared" si="1"/>
        <v>11.458896282852725</v>
      </c>
      <c r="R10" s="4">
        <v>7</v>
      </c>
      <c r="S10" s="4">
        <v>4</v>
      </c>
      <c r="T10" s="6">
        <f t="shared" si="2"/>
        <v>0.73939638367950522</v>
      </c>
      <c r="U10" s="4">
        <v>451.6</v>
      </c>
      <c r="V10" s="7">
        <f t="shared" si="3"/>
        <v>3.3978584803966405</v>
      </c>
      <c r="W10" s="7" t="str">
        <f t="shared" si="4"/>
        <v/>
      </c>
      <c r="X10" s="7">
        <f t="shared" si="5"/>
        <v>2.4387663962516539</v>
      </c>
      <c r="Y10" s="7">
        <f t="shared" si="6"/>
        <v>6.1150087331994367</v>
      </c>
      <c r="Z10" s="7" t="str">
        <f>IF(B10=2017,"",W-53)</f>
        <v/>
      </c>
      <c r="AA10" s="7" t="str">
        <f>IF(B10=2017,"",L-53)</f>
        <v/>
      </c>
      <c r="AB10" s="7" t="str">
        <f>IF(B10=2017,"",M-53)</f>
        <v/>
      </c>
      <c r="AC10" s="7" t="str">
        <f>IF(B10=2017,"",N-53)</f>
        <v/>
      </c>
      <c r="AD10" s="7" t="str">
        <f>IF(B10=2017,"",O-53)</f>
        <v/>
      </c>
      <c r="AE10" s="7" t="str">
        <f>IF(B10=2017,"",X-53)</f>
        <v/>
      </c>
      <c r="AF10" s="7" t="str">
        <f>IF(B10=2017,"",T-53)</f>
        <v/>
      </c>
      <c r="AG10" s="7" t="str">
        <f>IF(B10=2017,"",Y-53)</f>
        <v/>
      </c>
    </row>
    <row r="11" spans="1:33" x14ac:dyDescent="0.25">
      <c r="A11" s="4" t="s">
        <v>94</v>
      </c>
      <c r="B11" s="4">
        <v>2017</v>
      </c>
      <c r="C11" s="4" t="s">
        <v>86</v>
      </c>
      <c r="D11" s="5">
        <f t="shared" si="0"/>
        <v>0</v>
      </c>
      <c r="E11" s="4"/>
      <c r="F11" s="4"/>
      <c r="G11" s="4"/>
      <c r="H11" s="4"/>
      <c r="I11" s="4"/>
      <c r="J11" s="4">
        <v>897.7</v>
      </c>
      <c r="K11" s="4"/>
      <c r="L11" s="4">
        <v>1.768</v>
      </c>
      <c r="M11" s="4">
        <v>27.48</v>
      </c>
      <c r="N11" s="4">
        <v>11.3</v>
      </c>
      <c r="O11" s="4"/>
      <c r="P11" s="4">
        <v>2017.4</v>
      </c>
      <c r="Q11" s="6">
        <f t="shared" si="1"/>
        <v>2.2472986521109504</v>
      </c>
      <c r="R11" s="4">
        <v>5</v>
      </c>
      <c r="S11" s="4">
        <v>1</v>
      </c>
      <c r="T11" s="6">
        <f t="shared" si="2"/>
        <v>0.66837473543500059</v>
      </c>
      <c r="U11" s="4">
        <v>79.599999999999994</v>
      </c>
      <c r="V11" s="7" t="str">
        <f t="shared" si="3"/>
        <v/>
      </c>
      <c r="W11" s="7" t="str">
        <f t="shared" si="4"/>
        <v/>
      </c>
      <c r="X11" s="7">
        <f t="shared" si="5"/>
        <v>0.80972889585809227</v>
      </c>
      <c r="Y11" s="7">
        <f t="shared" si="6"/>
        <v>4.389498649512583</v>
      </c>
      <c r="Z11" s="7" t="str">
        <f>IF(B11=2017,"",W-52)</f>
        <v/>
      </c>
      <c r="AA11" s="7" t="str">
        <f>IF(B11=2017,"",L-52)</f>
        <v/>
      </c>
      <c r="AB11" s="7" t="str">
        <f>IF(B11=2017,"",M-52)</f>
        <v/>
      </c>
      <c r="AC11" s="7" t="str">
        <f>IF(B11=2017,"",N-52)</f>
        <v/>
      </c>
      <c r="AD11" s="7" t="str">
        <f>IF(B11=2017,"",O-52)</f>
        <v/>
      </c>
      <c r="AE11" s="7" t="str">
        <f>IF(B11=2017,"",X-52)</f>
        <v/>
      </c>
      <c r="AF11" s="7" t="str">
        <f>IF(B11=2017,"",T-52)</f>
        <v/>
      </c>
      <c r="AG11" s="7" t="str">
        <f>IF(B11=2017,"",Y-52)</f>
        <v/>
      </c>
    </row>
    <row r="12" spans="1:33" x14ac:dyDescent="0.25">
      <c r="A12" s="4" t="s">
        <v>95</v>
      </c>
      <c r="B12" s="4">
        <v>2017</v>
      </c>
      <c r="C12" s="4" t="s">
        <v>96</v>
      </c>
      <c r="D12" s="5">
        <f t="shared" si="0"/>
        <v>0</v>
      </c>
      <c r="E12" s="4">
        <v>30</v>
      </c>
      <c r="F12" s="4">
        <v>11.6</v>
      </c>
      <c r="G12" s="4">
        <v>40.5</v>
      </c>
      <c r="H12" s="4">
        <v>25</v>
      </c>
      <c r="I12" s="4">
        <v>69</v>
      </c>
      <c r="J12" s="4">
        <v>1736.8</v>
      </c>
      <c r="K12" s="4"/>
      <c r="L12" s="4">
        <v>2.7149999999999999</v>
      </c>
      <c r="M12" s="4">
        <v>11.41</v>
      </c>
      <c r="N12" s="4">
        <v>17.899999999999999</v>
      </c>
      <c r="O12" s="4"/>
      <c r="P12" s="4">
        <v>16517</v>
      </c>
      <c r="Q12" s="6">
        <f t="shared" si="1"/>
        <v>9.5100184246890844</v>
      </c>
      <c r="R12" s="4">
        <v>7</v>
      </c>
      <c r="S12" s="4">
        <v>8</v>
      </c>
      <c r="T12" s="6">
        <f t="shared" si="2"/>
        <v>0.86365730078304925</v>
      </c>
      <c r="U12" s="4">
        <v>2581.5</v>
      </c>
      <c r="V12" s="7">
        <f t="shared" si="3"/>
        <v>3.4011973816621555</v>
      </c>
      <c r="W12" s="7" t="str">
        <f t="shared" si="4"/>
        <v/>
      </c>
      <c r="X12" s="7">
        <f t="shared" si="5"/>
        <v>2.2523458139570085</v>
      </c>
      <c r="Y12" s="7">
        <f t="shared" si="6"/>
        <v>7.8565132009937937</v>
      </c>
      <c r="Z12" s="7" t="str">
        <f>IF(B12=2017,"",W-51)</f>
        <v/>
      </c>
      <c r="AA12" s="7" t="str">
        <f>IF(B12=2017,"",L-51)</f>
        <v/>
      </c>
      <c r="AB12" s="7" t="str">
        <f>IF(B12=2017,"",M-51)</f>
        <v/>
      </c>
      <c r="AC12" s="7" t="str">
        <f>IF(B12=2017,"",N-51)</f>
        <v/>
      </c>
      <c r="AD12" s="7" t="str">
        <f>IF(B12=2017,"",O-51)</f>
        <v/>
      </c>
      <c r="AE12" s="7" t="str">
        <f>IF(B12=2017,"",X-51)</f>
        <v/>
      </c>
      <c r="AF12" s="7" t="str">
        <f>IF(B12=2017,"",T-51)</f>
        <v/>
      </c>
      <c r="AG12" s="7" t="str">
        <f>IF(B12=2017,"",Y-51)</f>
        <v/>
      </c>
    </row>
    <row r="13" spans="1:33" x14ac:dyDescent="0.25">
      <c r="A13" s="4" t="s">
        <v>97</v>
      </c>
      <c r="B13" s="4">
        <v>2017</v>
      </c>
      <c r="C13" s="4" t="s">
        <v>96</v>
      </c>
      <c r="D13" s="5">
        <f t="shared" si="0"/>
        <v>0</v>
      </c>
      <c r="E13" s="4">
        <v>22.6</v>
      </c>
      <c r="F13" s="4">
        <v>13.8</v>
      </c>
      <c r="G13" s="4">
        <v>26.8</v>
      </c>
      <c r="H13" s="4">
        <v>18.5</v>
      </c>
      <c r="I13" s="4">
        <v>48.6</v>
      </c>
      <c r="J13" s="4">
        <v>309.89999999999998</v>
      </c>
      <c r="K13" s="4"/>
      <c r="L13" s="4">
        <v>2.13</v>
      </c>
      <c r="M13" s="4">
        <v>19.809999999999999</v>
      </c>
      <c r="N13" s="4">
        <v>17.2</v>
      </c>
      <c r="O13" s="4"/>
      <c r="P13" s="4">
        <v>1630</v>
      </c>
      <c r="Q13" s="6">
        <f t="shared" si="1"/>
        <v>5.2597612132946114</v>
      </c>
      <c r="R13" s="4">
        <v>1</v>
      </c>
      <c r="S13" s="4">
        <v>0</v>
      </c>
      <c r="T13" s="6">
        <f t="shared" si="2"/>
        <v>0.32268473701193934</v>
      </c>
      <c r="U13" s="4">
        <v>41.9</v>
      </c>
      <c r="V13" s="7">
        <f t="shared" si="3"/>
        <v>3.1179499062782403</v>
      </c>
      <c r="W13" s="7" t="str">
        <f t="shared" si="4"/>
        <v/>
      </c>
      <c r="X13" s="7">
        <f t="shared" si="5"/>
        <v>1.6600856290071055</v>
      </c>
      <c r="Y13" s="7">
        <f t="shared" si="6"/>
        <v>3.7588718259339711</v>
      </c>
      <c r="Z13" s="7" t="str">
        <f>IF(B13=2017,"",W-50)</f>
        <v/>
      </c>
      <c r="AA13" s="7" t="str">
        <f>IF(B13=2017,"",L-50)</f>
        <v/>
      </c>
      <c r="AB13" s="7" t="str">
        <f>IF(B13=2017,"",M-50)</f>
        <v/>
      </c>
      <c r="AC13" s="7" t="str">
        <f>IF(B13=2017,"",N-50)</f>
        <v/>
      </c>
      <c r="AD13" s="7" t="str">
        <f>IF(B13=2017,"",O-50)</f>
        <v/>
      </c>
      <c r="AE13" s="7" t="str">
        <f>IF(B13=2017,"",X-50)</f>
        <v/>
      </c>
      <c r="AF13" s="7" t="str">
        <f>IF(B13=2017,"",T-50)</f>
        <v/>
      </c>
      <c r="AG13" s="7" t="str">
        <f>IF(B13=2017,"",Y-50)</f>
        <v/>
      </c>
    </row>
    <row r="14" spans="1:33" x14ac:dyDescent="0.25">
      <c r="A14" s="4" t="s">
        <v>98</v>
      </c>
      <c r="B14" s="4">
        <v>2017</v>
      </c>
      <c r="C14" s="4" t="s">
        <v>99</v>
      </c>
      <c r="D14" s="5">
        <f t="shared" si="0"/>
        <v>1</v>
      </c>
      <c r="E14" s="4">
        <v>38.9</v>
      </c>
      <c r="F14" s="4">
        <v>19.8</v>
      </c>
      <c r="G14" s="4">
        <v>57.8</v>
      </c>
      <c r="H14" s="4">
        <v>30.3</v>
      </c>
      <c r="I14" s="4">
        <v>65.099999999999994</v>
      </c>
      <c r="J14" s="4">
        <v>1297.8</v>
      </c>
      <c r="K14" s="4"/>
      <c r="L14" s="4">
        <v>6.6440000000000001</v>
      </c>
      <c r="M14" s="4">
        <v>27.38</v>
      </c>
      <c r="N14" s="4">
        <v>22.4</v>
      </c>
      <c r="O14" s="4"/>
      <c r="P14" s="4">
        <v>19099.400000000001</v>
      </c>
      <c r="Q14" s="6">
        <f t="shared" si="1"/>
        <v>14.71675142548929</v>
      </c>
      <c r="R14" s="4">
        <v>23</v>
      </c>
      <c r="S14" s="4">
        <v>2</v>
      </c>
      <c r="T14" s="6">
        <f t="shared" si="2"/>
        <v>1.9263368777931884</v>
      </c>
      <c r="U14" s="4">
        <v>12466</v>
      </c>
      <c r="V14" s="7">
        <f t="shared" si="3"/>
        <v>3.6609942506244004</v>
      </c>
      <c r="W14" s="7" t="str">
        <f t="shared" si="4"/>
        <v/>
      </c>
      <c r="X14" s="7">
        <f t="shared" si="5"/>
        <v>2.6889863977416697</v>
      </c>
      <c r="Y14" s="7">
        <f t="shared" si="6"/>
        <v>9.4308404323449757</v>
      </c>
      <c r="Z14" s="7" t="str">
        <f>IF(B14=2017,"",W-49)</f>
        <v/>
      </c>
      <c r="AA14" s="7" t="str">
        <f>IF(B14=2017,"",L-49)</f>
        <v/>
      </c>
      <c r="AB14" s="7" t="str">
        <f>IF(B14=2017,"",M-49)</f>
        <v/>
      </c>
      <c r="AC14" s="7" t="str">
        <f>IF(B14=2017,"",N-49)</f>
        <v/>
      </c>
      <c r="AD14" s="7" t="str">
        <f>IF(B14=2017,"",O-49)</f>
        <v/>
      </c>
      <c r="AE14" s="7" t="str">
        <f>IF(B14=2017,"",X-49)</f>
        <v/>
      </c>
      <c r="AF14" s="7" t="str">
        <f>IF(B14=2017,"",T-49)</f>
        <v/>
      </c>
      <c r="AG14" s="7" t="str">
        <f>IF(B14=2017,"",Y-49)</f>
        <v/>
      </c>
    </row>
    <row r="15" spans="1:33" x14ac:dyDescent="0.25">
      <c r="A15" s="4" t="s">
        <v>100</v>
      </c>
      <c r="B15" s="4">
        <v>2017</v>
      </c>
      <c r="C15" s="4" t="s">
        <v>86</v>
      </c>
      <c r="D15" s="5">
        <f t="shared" si="0"/>
        <v>0</v>
      </c>
      <c r="E15" s="4">
        <v>28.1</v>
      </c>
      <c r="F15" s="4">
        <v>15.8</v>
      </c>
      <c r="G15" s="4">
        <v>36.5</v>
      </c>
      <c r="H15" s="4">
        <v>19.5</v>
      </c>
      <c r="I15" s="4">
        <v>66</v>
      </c>
      <c r="J15" s="4">
        <v>1282.4000000000001</v>
      </c>
      <c r="K15" s="4"/>
      <c r="L15" s="4">
        <v>2.2810000000000001</v>
      </c>
      <c r="M15" s="4">
        <v>9.84</v>
      </c>
      <c r="N15" s="4">
        <v>12.9</v>
      </c>
      <c r="O15" s="4"/>
      <c r="P15" s="4">
        <v>2964.6</v>
      </c>
      <c r="Q15" s="6">
        <f t="shared" si="1"/>
        <v>2.3117592014971926</v>
      </c>
      <c r="R15" s="4">
        <v>2</v>
      </c>
      <c r="S15" s="4">
        <v>1</v>
      </c>
      <c r="T15" s="6">
        <f t="shared" si="2"/>
        <v>0.23393636930754835</v>
      </c>
      <c r="U15" s="4">
        <v>674.8</v>
      </c>
      <c r="V15" s="7">
        <f t="shared" si="3"/>
        <v>3.3357695763396999</v>
      </c>
      <c r="W15" s="7" t="str">
        <f t="shared" si="4"/>
        <v/>
      </c>
      <c r="X15" s="7">
        <f t="shared" si="5"/>
        <v>0.83800879378441606</v>
      </c>
      <c r="Y15" s="7">
        <f t="shared" si="6"/>
        <v>6.5158971742801892</v>
      </c>
      <c r="Z15" s="7" t="str">
        <f>IF(B15=2017,"",W-48)</f>
        <v/>
      </c>
      <c r="AA15" s="7" t="str">
        <f>IF(B15=2017,"",L-48)</f>
        <v/>
      </c>
      <c r="AB15" s="7" t="str">
        <f>IF(B15=2017,"",M-48)</f>
        <v/>
      </c>
      <c r="AC15" s="7" t="str">
        <f>IF(B15=2017,"",N-48)</f>
        <v/>
      </c>
      <c r="AD15" s="7" t="str">
        <f>IF(B15=2017,"",O-48)</f>
        <v/>
      </c>
      <c r="AE15" s="7" t="str">
        <f>IF(B15=2017,"",X-48)</f>
        <v/>
      </c>
      <c r="AF15" s="7" t="str">
        <f>IF(B15=2017,"",T-48)</f>
        <v/>
      </c>
      <c r="AG15" s="7" t="str">
        <f>IF(B15=2017,"",Y-48)</f>
        <v/>
      </c>
    </row>
    <row r="16" spans="1:33" x14ac:dyDescent="0.25">
      <c r="A16" s="4" t="s">
        <v>101</v>
      </c>
      <c r="B16" s="4">
        <v>2017</v>
      </c>
      <c r="C16" s="4" t="s">
        <v>96</v>
      </c>
      <c r="D16" s="5">
        <f t="shared" si="0"/>
        <v>0</v>
      </c>
      <c r="E16" s="4"/>
      <c r="F16" s="4"/>
      <c r="G16" s="4"/>
      <c r="H16" s="4"/>
      <c r="I16" s="4"/>
      <c r="J16" s="4">
        <v>526.4</v>
      </c>
      <c r="K16" s="4"/>
      <c r="L16" s="4">
        <v>1.7949999999999999</v>
      </c>
      <c r="M16" s="4">
        <v>21.94</v>
      </c>
      <c r="N16" s="4">
        <v>21</v>
      </c>
      <c r="O16" s="4"/>
      <c r="P16" s="4">
        <v>2956.2</v>
      </c>
      <c r="Q16" s="6">
        <f t="shared" si="1"/>
        <v>5.6158814589665651</v>
      </c>
      <c r="R16" s="4">
        <v>4</v>
      </c>
      <c r="S16" s="4">
        <v>0</v>
      </c>
      <c r="T16" s="6">
        <f t="shared" si="2"/>
        <v>0.75987841945288759</v>
      </c>
      <c r="U16" s="4">
        <v>151.80000000000001</v>
      </c>
      <c r="V16" s="7" t="str">
        <f t="shared" si="3"/>
        <v/>
      </c>
      <c r="W16" s="7" t="str">
        <f t="shared" si="4"/>
        <v/>
      </c>
      <c r="X16" s="7">
        <f t="shared" si="5"/>
        <v>1.725598558766865</v>
      </c>
      <c r="Y16" s="7">
        <f t="shared" si="6"/>
        <v>5.0291298767324202</v>
      </c>
      <c r="Z16" s="7" t="str">
        <f>IF(B16=2017,"",W-47)</f>
        <v/>
      </c>
      <c r="AA16" s="7" t="str">
        <f>IF(B16=2017,"",L-47)</f>
        <v/>
      </c>
      <c r="AB16" s="7" t="str">
        <f>IF(B16=2017,"",M-47)</f>
        <v/>
      </c>
      <c r="AC16" s="7" t="str">
        <f>IF(B16=2017,"",N-47)</f>
        <v/>
      </c>
      <c r="AD16" s="7" t="str">
        <f>IF(B16=2017,"",O-47)</f>
        <v/>
      </c>
      <c r="AE16" s="7" t="str">
        <f>IF(B16=2017,"",X-47)</f>
        <v/>
      </c>
      <c r="AF16" s="7" t="str">
        <f>IF(B16=2017,"",T-47)</f>
        <v/>
      </c>
      <c r="AG16" s="7" t="str">
        <f>IF(B16=2017,"",Y-47)</f>
        <v/>
      </c>
    </row>
    <row r="17" spans="1:33" x14ac:dyDescent="0.25">
      <c r="A17" s="4" t="s">
        <v>102</v>
      </c>
      <c r="B17" s="4">
        <v>2017</v>
      </c>
      <c r="C17" s="4" t="s">
        <v>86</v>
      </c>
      <c r="D17" s="5">
        <f t="shared" si="0"/>
        <v>0</v>
      </c>
      <c r="E17" s="4">
        <v>21.2</v>
      </c>
      <c r="F17" s="4">
        <v>11.1</v>
      </c>
      <c r="G17" s="4">
        <v>24</v>
      </c>
      <c r="H17" s="4">
        <v>18.600000000000001</v>
      </c>
      <c r="I17" s="4">
        <v>51</v>
      </c>
      <c r="J17" s="4">
        <v>1197</v>
      </c>
      <c r="K17" s="4"/>
      <c r="L17" s="4">
        <v>2.84</v>
      </c>
      <c r="M17" s="4">
        <v>22.46</v>
      </c>
      <c r="N17" s="4">
        <v>10.4</v>
      </c>
      <c r="O17" s="4"/>
      <c r="P17" s="4">
        <v>453.7</v>
      </c>
      <c r="Q17" s="6">
        <f t="shared" si="1"/>
        <v>0.379030910609858</v>
      </c>
      <c r="R17" s="4">
        <v>4</v>
      </c>
      <c r="S17" s="4">
        <v>3</v>
      </c>
      <c r="T17" s="6">
        <f t="shared" si="2"/>
        <v>0.58479532163742687</v>
      </c>
      <c r="U17" s="4">
        <v>33.700000000000003</v>
      </c>
      <c r="V17" s="7">
        <f t="shared" si="3"/>
        <v>3.0540011816779669</v>
      </c>
      <c r="W17" s="7" t="str">
        <f t="shared" si="4"/>
        <v/>
      </c>
      <c r="X17" s="7">
        <f t="shared" si="5"/>
        <v>-0.97013751888805488</v>
      </c>
      <c r="Y17" s="7">
        <f t="shared" si="6"/>
        <v>3.5467396869528134</v>
      </c>
      <c r="Z17" s="7" t="str">
        <f>IF(B17=2017,"",W-46)</f>
        <v/>
      </c>
      <c r="AA17" s="7" t="str">
        <f>IF(B17=2017,"",L-46)</f>
        <v/>
      </c>
      <c r="AB17" s="7" t="str">
        <f>IF(B17=2017,"",M-46)</f>
        <v/>
      </c>
      <c r="AC17" s="7" t="str">
        <f>IF(B17=2017,"",N-46)</f>
        <v/>
      </c>
      <c r="AD17" s="7" t="str">
        <f>IF(B17=2017,"",O-46)</f>
        <v/>
      </c>
      <c r="AE17" s="7" t="str">
        <f>IF(B17=2017,"",X-46)</f>
        <v/>
      </c>
      <c r="AF17" s="7" t="str">
        <f>IF(B17=2017,"",T-46)</f>
        <v/>
      </c>
      <c r="AG17" s="7" t="str">
        <f>IF(B17=2017,"",Y-46)</f>
        <v/>
      </c>
    </row>
    <row r="18" spans="1:33" x14ac:dyDescent="0.25">
      <c r="A18" s="4" t="s">
        <v>103</v>
      </c>
      <c r="B18" s="4">
        <v>2017</v>
      </c>
      <c r="C18" s="4" t="s">
        <v>86</v>
      </c>
      <c r="D18" s="5">
        <f t="shared" si="0"/>
        <v>0</v>
      </c>
      <c r="E18" s="4">
        <v>37.200000000000003</v>
      </c>
      <c r="F18" s="4">
        <v>17.3</v>
      </c>
      <c r="G18" s="4">
        <v>55.5</v>
      </c>
      <c r="H18" s="4">
        <v>26.2</v>
      </c>
      <c r="I18" s="4">
        <v>75</v>
      </c>
      <c r="J18" s="4">
        <v>1222.4000000000001</v>
      </c>
      <c r="K18" s="4"/>
      <c r="L18" s="4">
        <v>6.1070000000000002</v>
      </c>
      <c r="M18" s="4">
        <v>68.94</v>
      </c>
      <c r="N18" s="4">
        <v>21.1</v>
      </c>
      <c r="O18" s="4"/>
      <c r="P18" s="4">
        <v>3659</v>
      </c>
      <c r="Q18" s="6">
        <f t="shared" si="1"/>
        <v>2.9932918848167538</v>
      </c>
      <c r="R18" s="4">
        <v>12</v>
      </c>
      <c r="S18" s="4">
        <v>6</v>
      </c>
      <c r="T18" s="6">
        <f t="shared" si="2"/>
        <v>1.4725130890052354</v>
      </c>
      <c r="U18" s="4">
        <v>526.5</v>
      </c>
      <c r="V18" s="7">
        <f t="shared" si="3"/>
        <v>3.6163087612791012</v>
      </c>
      <c r="W18" s="7" t="str">
        <f t="shared" si="4"/>
        <v/>
      </c>
      <c r="X18" s="7">
        <f t="shared" si="5"/>
        <v>1.0963737466069507</v>
      </c>
      <c r="Y18" s="7">
        <f t="shared" si="6"/>
        <v>6.2681488653502218</v>
      </c>
      <c r="Z18" s="7" t="str">
        <f>IF(B18=2017,"",W-45)</f>
        <v/>
      </c>
      <c r="AA18" s="7" t="str">
        <f>IF(B18=2017,"",L-45)</f>
        <v/>
      </c>
      <c r="AB18" s="7" t="str">
        <f>IF(B18=2017,"",M-45)</f>
        <v/>
      </c>
      <c r="AC18" s="7" t="str">
        <f>IF(B18=2017,"",N-45)</f>
        <v/>
      </c>
      <c r="AD18" s="7" t="str">
        <f>IF(B18=2017,"",O-45)</f>
        <v/>
      </c>
      <c r="AE18" s="7" t="str">
        <f>IF(B18=2017,"",X-45)</f>
        <v/>
      </c>
      <c r="AF18" s="7" t="str">
        <f>IF(B18=2017,"",T-45)</f>
        <v/>
      </c>
      <c r="AG18" s="7" t="str">
        <f>IF(B18=2017,"",Y-45)</f>
        <v/>
      </c>
    </row>
    <row r="19" spans="1:33" x14ac:dyDescent="0.25">
      <c r="A19" s="4" t="s">
        <v>104</v>
      </c>
      <c r="B19" s="4">
        <v>2017</v>
      </c>
      <c r="C19" s="4" t="s">
        <v>105</v>
      </c>
      <c r="D19" s="5">
        <f t="shared" si="0"/>
        <v>0</v>
      </c>
      <c r="E19" s="4">
        <v>23.7</v>
      </c>
      <c r="F19" s="4">
        <v>10</v>
      </c>
      <c r="G19" s="4">
        <v>33</v>
      </c>
      <c r="H19" s="4">
        <v>21</v>
      </c>
      <c r="I19" s="4">
        <v>45</v>
      </c>
      <c r="J19" s="4">
        <v>1468.9</v>
      </c>
      <c r="K19" s="4"/>
      <c r="L19" s="4">
        <v>2.37</v>
      </c>
      <c r="M19" s="4">
        <v>28.89</v>
      </c>
      <c r="N19" s="4">
        <v>11</v>
      </c>
      <c r="O19" s="4"/>
      <c r="P19" s="4">
        <v>16943</v>
      </c>
      <c r="Q19" s="6">
        <f t="shared" si="1"/>
        <v>11.534481584859417</v>
      </c>
      <c r="R19" s="4">
        <v>17</v>
      </c>
      <c r="S19" s="4">
        <v>1</v>
      </c>
      <c r="T19" s="6">
        <f t="shared" si="2"/>
        <v>1.2254067669684798</v>
      </c>
      <c r="U19" s="4">
        <v>8.3000000000000007</v>
      </c>
      <c r="V19" s="7">
        <f t="shared" si="3"/>
        <v>3.1654750481410856</v>
      </c>
      <c r="W19" s="7" t="str">
        <f t="shared" si="4"/>
        <v/>
      </c>
      <c r="X19" s="7">
        <f t="shared" si="5"/>
        <v>2.4453409478207369</v>
      </c>
      <c r="Y19" s="7">
        <f t="shared" si="6"/>
        <v>2.2300144001592104</v>
      </c>
      <c r="Z19" s="7" t="str">
        <f>IF(B19=2017,"",W-44)</f>
        <v/>
      </c>
      <c r="AA19" s="7" t="str">
        <f>IF(B19=2017,"",L-44)</f>
        <v/>
      </c>
      <c r="AB19" s="7" t="str">
        <f>IF(B19=2017,"",M-44)</f>
        <v/>
      </c>
      <c r="AC19" s="7" t="str">
        <f>IF(B19=2017,"",N-44)</f>
        <v/>
      </c>
      <c r="AD19" s="7" t="str">
        <f>IF(B19=2017,"",O-44)</f>
        <v/>
      </c>
      <c r="AE19" s="7" t="str">
        <f>IF(B19=2017,"",X-44)</f>
        <v/>
      </c>
      <c r="AF19" s="7" t="str">
        <f>IF(B19=2017,"",T-44)</f>
        <v/>
      </c>
      <c r="AG19" s="7" t="str">
        <f>IF(B19=2017,"",Y-44)</f>
        <v/>
      </c>
    </row>
    <row r="20" spans="1:33" x14ac:dyDescent="0.25">
      <c r="A20" s="4" t="s">
        <v>106</v>
      </c>
      <c r="B20" s="4">
        <v>2017</v>
      </c>
      <c r="C20" s="4" t="s">
        <v>96</v>
      </c>
      <c r="D20" s="5">
        <f t="shared" si="0"/>
        <v>0</v>
      </c>
      <c r="E20" s="4"/>
      <c r="F20" s="4"/>
      <c r="G20" s="4"/>
      <c r="H20" s="4"/>
      <c r="I20" s="4"/>
      <c r="J20" s="4">
        <v>833.7</v>
      </c>
      <c r="K20" s="4"/>
      <c r="L20" s="4">
        <v>1.363</v>
      </c>
      <c r="M20" s="4">
        <v>15.02</v>
      </c>
      <c r="N20" s="4">
        <v>12.5</v>
      </c>
      <c r="O20" s="4"/>
      <c r="P20" s="4">
        <v>2129.1999999999998</v>
      </c>
      <c r="Q20" s="6">
        <f t="shared" si="1"/>
        <v>2.5539162768381907</v>
      </c>
      <c r="R20" s="4">
        <v>0</v>
      </c>
      <c r="S20" s="4">
        <v>0</v>
      </c>
      <c r="T20" s="6">
        <f t="shared" si="2"/>
        <v>0</v>
      </c>
      <c r="U20" s="4">
        <v>13.3</v>
      </c>
      <c r="V20" s="7" t="str">
        <f t="shared" si="3"/>
        <v/>
      </c>
      <c r="W20" s="7" t="str">
        <f t="shared" si="4"/>
        <v/>
      </c>
      <c r="X20" s="7">
        <f t="shared" si="5"/>
        <v>0.93762797588203439</v>
      </c>
      <c r="Y20" s="7">
        <f t="shared" si="6"/>
        <v>2.6602595372658615</v>
      </c>
      <c r="Z20" s="7" t="str">
        <f>IF(B20=2017,"",W-43)</f>
        <v/>
      </c>
      <c r="AA20" s="7" t="str">
        <f>IF(B20=2017,"",L-43)</f>
        <v/>
      </c>
      <c r="AB20" s="7" t="str">
        <f>IF(B20=2017,"",M-43)</f>
        <v/>
      </c>
      <c r="AC20" s="7" t="str">
        <f>IF(B20=2017,"",N-43)</f>
        <v/>
      </c>
      <c r="AD20" s="7" t="str">
        <f>IF(B20=2017,"",O-43)</f>
        <v/>
      </c>
      <c r="AE20" s="7" t="str">
        <f>IF(B20=2017,"",X-43)</f>
        <v/>
      </c>
      <c r="AF20" s="7" t="str">
        <f>IF(B20=2017,"",T-43)</f>
        <v/>
      </c>
      <c r="AG20" s="7" t="str">
        <f>IF(B20=2017,"",Y-43)</f>
        <v/>
      </c>
    </row>
    <row r="21" spans="1:33" x14ac:dyDescent="0.25">
      <c r="A21" s="4" t="s">
        <v>107</v>
      </c>
      <c r="B21" s="4">
        <v>2017</v>
      </c>
      <c r="C21" s="4" t="s">
        <v>99</v>
      </c>
      <c r="D21" s="5">
        <f t="shared" si="0"/>
        <v>1</v>
      </c>
      <c r="E21" s="4">
        <v>29.3</v>
      </c>
      <c r="F21" s="4">
        <v>15.8</v>
      </c>
      <c r="G21" s="4">
        <v>40.4</v>
      </c>
      <c r="H21" s="4">
        <v>20.8</v>
      </c>
      <c r="I21" s="4">
        <v>61.5</v>
      </c>
      <c r="J21" s="4">
        <v>839.8</v>
      </c>
      <c r="K21" s="4"/>
      <c r="L21" s="4">
        <v>3.9910000000000001</v>
      </c>
      <c r="M21" s="4">
        <v>16.46</v>
      </c>
      <c r="N21" s="4">
        <v>18.100000000000001</v>
      </c>
      <c r="O21" s="4"/>
      <c r="P21" s="4">
        <v>10547.9</v>
      </c>
      <c r="Q21" s="6">
        <f t="shared" si="1"/>
        <v>12.560014289116456</v>
      </c>
      <c r="R21" s="4">
        <v>8</v>
      </c>
      <c r="S21" s="4">
        <v>2</v>
      </c>
      <c r="T21" s="6">
        <f t="shared" si="2"/>
        <v>1.1907597046915934</v>
      </c>
      <c r="U21" s="4">
        <v>2902.6</v>
      </c>
      <c r="V21" s="7">
        <f t="shared" si="3"/>
        <v>3.3775875160230218</v>
      </c>
      <c r="W21" s="7" t="str">
        <f t="shared" si="4"/>
        <v/>
      </c>
      <c r="X21" s="7">
        <f t="shared" si="5"/>
        <v>2.5305182987079129</v>
      </c>
      <c r="Y21" s="7">
        <f t="shared" si="6"/>
        <v>7.9737066254106859</v>
      </c>
      <c r="Z21" s="7" t="str">
        <f>IF(B21=2017,"",W-42)</f>
        <v/>
      </c>
      <c r="AA21" s="7" t="str">
        <f>IF(B21=2017,"",L-42)</f>
        <v/>
      </c>
      <c r="AB21" s="7" t="str">
        <f>IF(B21=2017,"",M-42)</f>
        <v/>
      </c>
      <c r="AC21" s="7" t="str">
        <f>IF(B21=2017,"",N-42)</f>
        <v/>
      </c>
      <c r="AD21" s="7" t="str">
        <f>IF(B21=2017,"",O-42)</f>
        <v/>
      </c>
      <c r="AE21" s="7" t="str">
        <f>IF(B21=2017,"",X-42)</f>
        <v/>
      </c>
      <c r="AF21" s="7" t="str">
        <f>IF(B21=2017,"",T-42)</f>
        <v/>
      </c>
      <c r="AG21" s="7" t="str">
        <f>IF(B21=2017,"",Y-42)</f>
        <v/>
      </c>
    </row>
    <row r="22" spans="1:33" x14ac:dyDescent="0.25">
      <c r="A22" s="4" t="s">
        <v>108</v>
      </c>
      <c r="B22" s="4">
        <v>2017</v>
      </c>
      <c r="C22" s="4" t="s">
        <v>99</v>
      </c>
      <c r="D22" s="5">
        <f t="shared" si="0"/>
        <v>1</v>
      </c>
      <c r="E22" s="4">
        <v>75.8</v>
      </c>
      <c r="F22" s="4">
        <v>93.7</v>
      </c>
      <c r="G22" s="4">
        <v>69.2</v>
      </c>
      <c r="H22" s="4">
        <v>64.400000000000006</v>
      </c>
      <c r="I22" s="4">
        <v>76</v>
      </c>
      <c r="J22" s="4">
        <v>7742.2</v>
      </c>
      <c r="K22" s="4"/>
      <c r="L22" s="4">
        <v>17.305</v>
      </c>
      <c r="M22" s="4">
        <v>49.21</v>
      </c>
      <c r="N22" s="4">
        <v>44.2</v>
      </c>
      <c r="O22" s="4"/>
      <c r="P22" s="4">
        <v>102314.7</v>
      </c>
      <c r="Q22" s="6">
        <f t="shared" si="1"/>
        <v>13.215197230761282</v>
      </c>
      <c r="R22" s="4">
        <v>124</v>
      </c>
      <c r="S22" s="4">
        <v>22</v>
      </c>
      <c r="T22" s="6">
        <f t="shared" si="2"/>
        <v>1.8857689028958176</v>
      </c>
      <c r="U22" s="4">
        <v>3569.8</v>
      </c>
      <c r="V22" s="7">
        <f t="shared" si="3"/>
        <v>4.3280982926483258</v>
      </c>
      <c r="W22" s="7" t="str">
        <f t="shared" si="4"/>
        <v/>
      </c>
      <c r="X22" s="7">
        <f t="shared" si="5"/>
        <v>2.5813674727092595</v>
      </c>
      <c r="Y22" s="7">
        <f t="shared" si="6"/>
        <v>8.1805449393052072</v>
      </c>
      <c r="Z22" s="7" t="str">
        <f>IF(B22=2017,"",W-41)</f>
        <v/>
      </c>
      <c r="AA22" s="7" t="str">
        <f>IF(B22=2017,"",L-41)</f>
        <v/>
      </c>
      <c r="AB22" s="7" t="str">
        <f>IF(B22=2017,"",M-41)</f>
        <v/>
      </c>
      <c r="AC22" s="7" t="str">
        <f>IF(B22=2017,"",N-41)</f>
        <v/>
      </c>
      <c r="AD22" s="7" t="str">
        <f>IF(B22=2017,"",O-41)</f>
        <v/>
      </c>
      <c r="AE22" s="7" t="str">
        <f>IF(B22=2017,"",X-41)</f>
        <v/>
      </c>
      <c r="AF22" s="7" t="str">
        <f>IF(B22=2017,"",T-41)</f>
        <v/>
      </c>
      <c r="AG22" s="7" t="str">
        <f>IF(B22=2017,"",Y-41)</f>
        <v/>
      </c>
    </row>
    <row r="23" spans="1:33" x14ac:dyDescent="0.25">
      <c r="A23" s="4" t="s">
        <v>109</v>
      </c>
      <c r="B23" s="4">
        <v>2017</v>
      </c>
      <c r="C23" s="4" t="s">
        <v>92</v>
      </c>
      <c r="D23" s="5">
        <f t="shared" si="0"/>
        <v>0</v>
      </c>
      <c r="E23" s="4">
        <v>27.1</v>
      </c>
      <c r="F23" s="4">
        <v>11.9</v>
      </c>
      <c r="G23" s="4">
        <v>33.200000000000003</v>
      </c>
      <c r="H23" s="4">
        <v>25</v>
      </c>
      <c r="I23" s="4">
        <v>60.8</v>
      </c>
      <c r="J23" s="4">
        <v>1274.2</v>
      </c>
      <c r="K23" s="4"/>
      <c r="L23" s="4">
        <v>3.27</v>
      </c>
      <c r="M23" s="4">
        <v>18.62</v>
      </c>
      <c r="N23" s="4">
        <v>21.5</v>
      </c>
      <c r="O23" s="4"/>
      <c r="P23" s="4">
        <v>31877.7</v>
      </c>
      <c r="Q23" s="6">
        <f t="shared" si="1"/>
        <v>25.017815099670383</v>
      </c>
      <c r="R23" s="4">
        <v>5</v>
      </c>
      <c r="S23" s="4">
        <v>1</v>
      </c>
      <c r="T23" s="6">
        <f t="shared" si="2"/>
        <v>0.47088369172814315</v>
      </c>
      <c r="U23" s="4">
        <v>9114.1</v>
      </c>
      <c r="V23" s="7">
        <f t="shared" si="3"/>
        <v>3.2995337278856551</v>
      </c>
      <c r="W23" s="7" t="str">
        <f t="shared" si="4"/>
        <v/>
      </c>
      <c r="X23" s="7">
        <f t="shared" si="5"/>
        <v>3.2195881750733517</v>
      </c>
      <c r="Y23" s="7">
        <f t="shared" si="6"/>
        <v>9.1176876579796264</v>
      </c>
      <c r="Z23" s="7" t="str">
        <f>IF(B23=2017,"",W-40)</f>
        <v/>
      </c>
      <c r="AA23" s="7" t="str">
        <f>IF(B23=2017,"",L-40)</f>
        <v/>
      </c>
      <c r="AB23" s="7" t="str">
        <f>IF(B23=2017,"",M-40)</f>
        <v/>
      </c>
      <c r="AC23" s="7" t="str">
        <f>IF(B23=2017,"",N-40)</f>
        <v/>
      </c>
      <c r="AD23" s="7" t="str">
        <f>IF(B23=2017,"",O-40)</f>
        <v/>
      </c>
      <c r="AE23" s="7" t="str">
        <f>IF(B23=2017,"",X-40)</f>
        <v/>
      </c>
      <c r="AF23" s="7" t="str">
        <f>IF(B23=2017,"",T-40)</f>
        <v/>
      </c>
      <c r="AG23" s="7" t="str">
        <f>IF(B23=2017,"",Y-40)</f>
        <v/>
      </c>
    </row>
    <row r="24" spans="1:33" x14ac:dyDescent="0.25">
      <c r="A24" s="4" t="s">
        <v>110</v>
      </c>
      <c r="B24" s="4">
        <v>2017</v>
      </c>
      <c r="C24" s="4" t="s">
        <v>96</v>
      </c>
      <c r="D24" s="5">
        <f t="shared" si="0"/>
        <v>0</v>
      </c>
      <c r="E24" s="4">
        <v>25.1</v>
      </c>
      <c r="F24" s="4">
        <v>10.8</v>
      </c>
      <c r="G24" s="4">
        <v>30.1</v>
      </c>
      <c r="H24" s="4">
        <v>22.3</v>
      </c>
      <c r="I24" s="4">
        <v>61</v>
      </c>
      <c r="J24" s="4">
        <v>845</v>
      </c>
      <c r="K24" s="4"/>
      <c r="L24" s="4">
        <v>2.3679999999999999</v>
      </c>
      <c r="M24" s="4">
        <v>15.59</v>
      </c>
      <c r="N24" s="4">
        <v>17.8</v>
      </c>
      <c r="O24" s="4"/>
      <c r="P24" s="4">
        <v>7461.8</v>
      </c>
      <c r="Q24" s="6">
        <f t="shared" si="1"/>
        <v>8.8305325443786984</v>
      </c>
      <c r="R24" s="4">
        <v>4</v>
      </c>
      <c r="S24" s="4">
        <v>2</v>
      </c>
      <c r="T24" s="6">
        <f t="shared" si="2"/>
        <v>0.7100591715976331</v>
      </c>
      <c r="U24" s="4">
        <v>664.1</v>
      </c>
      <c r="V24" s="7">
        <f t="shared" si="3"/>
        <v>3.2228678461377385</v>
      </c>
      <c r="W24" s="7" t="str">
        <f t="shared" si="4"/>
        <v/>
      </c>
      <c r="X24" s="7">
        <f t="shared" si="5"/>
        <v>2.1782153235989101</v>
      </c>
      <c r="Y24" s="7">
        <f t="shared" si="6"/>
        <v>6.4999374052903756</v>
      </c>
      <c r="Z24" s="7" t="str">
        <f>IF(B24=2017,"",W-39)</f>
        <v/>
      </c>
      <c r="AA24" s="7" t="str">
        <f>IF(B24=2017,"",L-39)</f>
        <v/>
      </c>
      <c r="AB24" s="7" t="str">
        <f>IF(B24=2017,"",M-39)</f>
        <v/>
      </c>
      <c r="AC24" s="7" t="str">
        <f>IF(B24=2017,"",N-39)</f>
        <v/>
      </c>
      <c r="AD24" s="7" t="str">
        <f>IF(B24=2017,"",O-39)</f>
        <v/>
      </c>
      <c r="AE24" s="7" t="str">
        <f>IF(B24=2017,"",X-39)</f>
        <v/>
      </c>
      <c r="AF24" s="7" t="str">
        <f>IF(B24=2017,"",T-39)</f>
        <v/>
      </c>
      <c r="AG24" s="7" t="str">
        <f>IF(B24=2017,"",Y-39)</f>
        <v/>
      </c>
    </row>
    <row r="25" spans="1:33" x14ac:dyDescent="0.25">
      <c r="A25" s="4" t="s">
        <v>111</v>
      </c>
      <c r="B25" s="4">
        <v>2017</v>
      </c>
      <c r="C25" s="4" t="s">
        <v>99</v>
      </c>
      <c r="D25" s="5">
        <f t="shared" si="0"/>
        <v>1</v>
      </c>
      <c r="E25" s="4">
        <v>28</v>
      </c>
      <c r="F25" s="4">
        <v>14.2</v>
      </c>
      <c r="G25" s="4">
        <v>36.299999999999997</v>
      </c>
      <c r="H25" s="4">
        <v>21</v>
      </c>
      <c r="I25" s="4">
        <v>65.8</v>
      </c>
      <c r="J25" s="4">
        <v>1228.8</v>
      </c>
      <c r="K25" s="4"/>
      <c r="L25" s="4">
        <v>4.7359999999999998</v>
      </c>
      <c r="M25" s="4">
        <v>12.17</v>
      </c>
      <c r="N25" s="4">
        <v>19.899999999999999</v>
      </c>
      <c r="O25" s="4"/>
      <c r="P25" s="4">
        <v>23965.200000000001</v>
      </c>
      <c r="Q25" s="6">
        <f t="shared" si="1"/>
        <v>19.5029296875</v>
      </c>
      <c r="R25" s="4">
        <v>10</v>
      </c>
      <c r="S25" s="4">
        <v>0</v>
      </c>
      <c r="T25" s="6">
        <f t="shared" si="2"/>
        <v>0.81380208333333337</v>
      </c>
      <c r="U25" s="4">
        <v>3452.5</v>
      </c>
      <c r="V25" s="7">
        <f t="shared" si="3"/>
        <v>3.3322045101752038</v>
      </c>
      <c r="W25" s="7" t="str">
        <f t="shared" si="4"/>
        <v/>
      </c>
      <c r="X25" s="7">
        <f t="shared" si="5"/>
        <v>2.9705646946693602</v>
      </c>
      <c r="Y25" s="7">
        <f t="shared" si="6"/>
        <v>8.1471434885290268</v>
      </c>
      <c r="Z25" s="7" t="str">
        <f>IF(B25=2017,"",W-38)</f>
        <v/>
      </c>
      <c r="AA25" s="7" t="str">
        <f>IF(B25=2017,"",L-38)</f>
        <v/>
      </c>
      <c r="AB25" s="7" t="str">
        <f>IF(B25=2017,"",M-38)</f>
        <v/>
      </c>
      <c r="AC25" s="7" t="str">
        <f>IF(B25=2017,"",N-38)</f>
        <v/>
      </c>
      <c r="AD25" s="7" t="str">
        <f>IF(B25=2017,"",O-38)</f>
        <v/>
      </c>
      <c r="AE25" s="7" t="str">
        <f>IF(B25=2017,"",X-38)</f>
        <v/>
      </c>
      <c r="AF25" s="7" t="str">
        <f>IF(B25=2017,"",T-38)</f>
        <v/>
      </c>
      <c r="AG25" s="7" t="str">
        <f>IF(B25=2017,"",Y-38)</f>
        <v/>
      </c>
    </row>
    <row r="26" spans="1:33" x14ac:dyDescent="0.25">
      <c r="A26" s="4" t="s">
        <v>112</v>
      </c>
      <c r="B26" s="4">
        <v>2017</v>
      </c>
      <c r="C26" s="4" t="s">
        <v>99</v>
      </c>
      <c r="D26" s="5">
        <f t="shared" si="0"/>
        <v>1</v>
      </c>
      <c r="E26" s="4">
        <v>34.6</v>
      </c>
      <c r="F26" s="4">
        <v>15.3</v>
      </c>
      <c r="G26" s="4">
        <v>54.9</v>
      </c>
      <c r="H26" s="4">
        <v>21.2</v>
      </c>
      <c r="I26" s="4">
        <v>71.8</v>
      </c>
      <c r="J26" s="4">
        <v>1850.6</v>
      </c>
      <c r="K26" s="4"/>
      <c r="L26" s="4">
        <v>4.0129999999999999</v>
      </c>
      <c r="M26" s="4">
        <v>23.97</v>
      </c>
      <c r="N26" s="4">
        <v>20.8</v>
      </c>
      <c r="O26" s="4"/>
      <c r="P26" s="4">
        <v>32632.799999999999</v>
      </c>
      <c r="Q26" s="6">
        <f t="shared" si="1"/>
        <v>17.633632335458771</v>
      </c>
      <c r="R26" s="4">
        <v>37</v>
      </c>
      <c r="S26" s="4">
        <v>2</v>
      </c>
      <c r="T26" s="6">
        <f t="shared" si="2"/>
        <v>2.1074246190424728</v>
      </c>
      <c r="U26" s="4">
        <v>4240.3</v>
      </c>
      <c r="V26" s="7">
        <f t="shared" si="3"/>
        <v>3.5438536820636788</v>
      </c>
      <c r="W26" s="7" t="str">
        <f t="shared" si="4"/>
        <v/>
      </c>
      <c r="X26" s="7">
        <f t="shared" si="5"/>
        <v>2.8698080066946563</v>
      </c>
      <c r="Y26" s="7">
        <f t="shared" si="6"/>
        <v>8.3526251050062559</v>
      </c>
      <c r="Z26" s="7" t="str">
        <f>IF(B26=2017,"",W-37)</f>
        <v/>
      </c>
      <c r="AA26" s="7" t="str">
        <f>IF(B26=2017,"",L-37)</f>
        <v/>
      </c>
      <c r="AB26" s="7" t="str">
        <f>IF(B26=2017,"",M-37)</f>
        <v/>
      </c>
      <c r="AC26" s="7" t="str">
        <f>IF(B26=2017,"",N-37)</f>
        <v/>
      </c>
      <c r="AD26" s="7" t="str">
        <f>IF(B26=2017,"",O-37)</f>
        <v/>
      </c>
      <c r="AE26" s="7" t="str">
        <f>IF(B26=2017,"",X-37)</f>
        <v/>
      </c>
      <c r="AF26" s="7" t="str">
        <f>IF(B26=2017,"",T-37)</f>
        <v/>
      </c>
      <c r="AG26" s="7" t="str">
        <f>IF(B26=2017,"",Y-37)</f>
        <v/>
      </c>
    </row>
    <row r="27" spans="1:33" x14ac:dyDescent="0.25">
      <c r="A27" s="4" t="s">
        <v>113</v>
      </c>
      <c r="B27" s="4">
        <v>2017</v>
      </c>
      <c r="C27" s="4" t="s">
        <v>99</v>
      </c>
      <c r="D27" s="5">
        <f t="shared" si="0"/>
        <v>1</v>
      </c>
      <c r="E27" s="4">
        <v>42.2</v>
      </c>
      <c r="F27" s="4">
        <v>22.1</v>
      </c>
      <c r="G27" s="4">
        <v>61.6</v>
      </c>
      <c r="H27" s="4">
        <v>32.299999999999997</v>
      </c>
      <c r="I27" s="4">
        <v>73.900000000000006</v>
      </c>
      <c r="J27" s="4">
        <v>2001.4</v>
      </c>
      <c r="K27" s="4"/>
      <c r="L27" s="4">
        <v>10.791</v>
      </c>
      <c r="M27" s="4">
        <v>45.69</v>
      </c>
      <c r="N27" s="4">
        <v>33.799999999999997</v>
      </c>
      <c r="O27" s="4"/>
      <c r="P27" s="4">
        <v>64855.4</v>
      </c>
      <c r="Q27" s="6">
        <f t="shared" si="1"/>
        <v>32.405016488458081</v>
      </c>
      <c r="R27" s="4">
        <v>24</v>
      </c>
      <c r="S27" s="4">
        <v>11</v>
      </c>
      <c r="T27" s="6">
        <f t="shared" si="2"/>
        <v>1.7487758569001699</v>
      </c>
      <c r="U27" s="4">
        <v>7599.1</v>
      </c>
      <c r="V27" s="7">
        <f t="shared" si="3"/>
        <v>3.7424202210419661</v>
      </c>
      <c r="W27" s="7" t="str">
        <f t="shared" si="4"/>
        <v/>
      </c>
      <c r="X27" s="7">
        <f t="shared" si="5"/>
        <v>3.4783132407040549</v>
      </c>
      <c r="Y27" s="7">
        <f t="shared" si="6"/>
        <v>8.9359166840825957</v>
      </c>
      <c r="Z27" s="7" t="str">
        <f>IF(B27=2017,"",W-36)</f>
        <v/>
      </c>
      <c r="AA27" s="7" t="str">
        <f>IF(B27=2017,"",L-36)</f>
        <v/>
      </c>
      <c r="AB27" s="7" t="str">
        <f>IF(B27=2017,"",M-36)</f>
        <v/>
      </c>
      <c r="AC27" s="7" t="str">
        <f>IF(B27=2017,"",N-36)</f>
        <v/>
      </c>
      <c r="AD27" s="7" t="str">
        <f>IF(B27=2017,"",O-36)</f>
        <v/>
      </c>
      <c r="AE27" s="7" t="str">
        <f>IF(B27=2017,"",X-36)</f>
        <v/>
      </c>
      <c r="AF27" s="7" t="str">
        <f>IF(B27=2017,"",T-36)</f>
        <v/>
      </c>
      <c r="AG27" s="7" t="str">
        <f>IF(B27=2017,"",Y-36)</f>
        <v/>
      </c>
    </row>
    <row r="28" spans="1:33" x14ac:dyDescent="0.25">
      <c r="A28" s="4" t="s">
        <v>114</v>
      </c>
      <c r="B28" s="4">
        <v>2017</v>
      </c>
      <c r="C28" s="4" t="s">
        <v>86</v>
      </c>
      <c r="D28" s="5">
        <f t="shared" si="0"/>
        <v>0</v>
      </c>
      <c r="E28" s="4"/>
      <c r="F28" s="4"/>
      <c r="G28" s="4"/>
      <c r="H28" s="4"/>
      <c r="I28" s="4"/>
      <c r="J28" s="4">
        <v>737.3</v>
      </c>
      <c r="K28" s="4"/>
      <c r="L28" s="4">
        <v>2.5</v>
      </c>
      <c r="M28" s="4">
        <v>24.26</v>
      </c>
      <c r="N28" s="4">
        <v>9</v>
      </c>
      <c r="O28" s="4"/>
      <c r="P28" s="4">
        <v>1923.6</v>
      </c>
      <c r="Q28" s="6">
        <f t="shared" si="1"/>
        <v>2.6089787060897871</v>
      </c>
      <c r="R28" s="4">
        <v>5</v>
      </c>
      <c r="S28" s="4">
        <v>1</v>
      </c>
      <c r="T28" s="6">
        <f t="shared" si="2"/>
        <v>0.81378000813780016</v>
      </c>
      <c r="U28" s="4">
        <v>1076.4000000000001</v>
      </c>
      <c r="V28" s="7" t="str">
        <f t="shared" si="3"/>
        <v/>
      </c>
      <c r="W28" s="7" t="str">
        <f t="shared" si="4"/>
        <v/>
      </c>
      <c r="X28" s="7">
        <f t="shared" si="5"/>
        <v>0.95895884440790269</v>
      </c>
      <c r="Y28" s="7">
        <f t="shared" si="6"/>
        <v>6.9823060102464334</v>
      </c>
      <c r="Z28" s="7" t="str">
        <f>IF(B28=2017,"",W-35)</f>
        <v/>
      </c>
      <c r="AA28" s="7" t="str">
        <f>IF(B28=2017,"",L-35)</f>
        <v/>
      </c>
      <c r="AB28" s="7" t="str">
        <f>IF(B28=2017,"",M-35)</f>
        <v/>
      </c>
      <c r="AC28" s="7" t="str">
        <f>IF(B28=2017,"",N-35)</f>
        <v/>
      </c>
      <c r="AD28" s="7" t="str">
        <f>IF(B28=2017,"",O-35)</f>
        <v/>
      </c>
      <c r="AE28" s="7" t="str">
        <f>IF(B28=2017,"",X-35)</f>
        <v/>
      </c>
      <c r="AF28" s="7" t="str">
        <f>IF(B28=2017,"",T-35)</f>
        <v/>
      </c>
      <c r="AG28" s="7" t="str">
        <f>IF(B28=2017,"",Y-35)</f>
        <v/>
      </c>
    </row>
    <row r="29" spans="1:33" x14ac:dyDescent="0.25">
      <c r="A29" s="4" t="s">
        <v>115</v>
      </c>
      <c r="B29" s="4">
        <v>2017</v>
      </c>
      <c r="C29" s="4" t="s">
        <v>92</v>
      </c>
      <c r="D29" s="5">
        <f t="shared" si="0"/>
        <v>0</v>
      </c>
      <c r="E29" s="4">
        <v>34.6</v>
      </c>
      <c r="F29" s="4">
        <v>21.5</v>
      </c>
      <c r="G29" s="4">
        <v>47.3</v>
      </c>
      <c r="H29" s="4">
        <v>25.9</v>
      </c>
      <c r="I29" s="4">
        <v>62</v>
      </c>
      <c r="J29" s="4">
        <v>1216.3</v>
      </c>
      <c r="K29" s="4"/>
      <c r="L29" s="4">
        <v>7.7320000000000002</v>
      </c>
      <c r="M29" s="4">
        <v>41.78</v>
      </c>
      <c r="N29" s="4">
        <v>18.7</v>
      </c>
      <c r="O29" s="4"/>
      <c r="P29" s="4">
        <v>21747.8</v>
      </c>
      <c r="Q29" s="6">
        <f t="shared" si="1"/>
        <v>17.880292690947957</v>
      </c>
      <c r="R29" s="4">
        <v>24</v>
      </c>
      <c r="S29" s="4">
        <v>4</v>
      </c>
      <c r="T29" s="6">
        <f t="shared" si="2"/>
        <v>2.302063635616213</v>
      </c>
      <c r="U29" s="4">
        <v>3432.6</v>
      </c>
      <c r="V29" s="7">
        <f t="shared" si="3"/>
        <v>3.5438536820636788</v>
      </c>
      <c r="W29" s="7" t="str">
        <f t="shared" si="4"/>
        <v/>
      </c>
      <c r="X29" s="7">
        <f t="shared" si="5"/>
        <v>2.8836991393512039</v>
      </c>
      <c r="Y29" s="7">
        <f t="shared" si="6"/>
        <v>8.1413645524363787</v>
      </c>
      <c r="Z29" s="7" t="str">
        <f>IF(B29=2017,"",W-34)</f>
        <v/>
      </c>
      <c r="AA29" s="7" t="str">
        <f>IF(B29=2017,"",L-34)</f>
        <v/>
      </c>
      <c r="AB29" s="7" t="str">
        <f>IF(B29=2017,"",M-34)</f>
        <v/>
      </c>
      <c r="AC29" s="7" t="str">
        <f>IF(B29=2017,"",N-34)</f>
        <v/>
      </c>
      <c r="AD29" s="7" t="str">
        <f>IF(B29=2017,"",O-34)</f>
        <v/>
      </c>
      <c r="AE29" s="7" t="str">
        <f>IF(B29=2017,"",X-34)</f>
        <v/>
      </c>
      <c r="AF29" s="7" t="str">
        <f>IF(B29=2017,"",T-34)</f>
        <v/>
      </c>
      <c r="AG29" s="7" t="str">
        <f>IF(B29=2017,"",Y-34)</f>
        <v/>
      </c>
    </row>
    <row r="30" spans="1:33" x14ac:dyDescent="0.25">
      <c r="A30" s="4" t="s">
        <v>116</v>
      </c>
      <c r="B30" s="4">
        <v>2017</v>
      </c>
      <c r="C30" s="4" t="s">
        <v>86</v>
      </c>
      <c r="D30" s="5">
        <f t="shared" si="0"/>
        <v>0</v>
      </c>
      <c r="E30" s="4">
        <v>27.5</v>
      </c>
      <c r="F30" s="4">
        <v>14.9</v>
      </c>
      <c r="G30" s="4">
        <v>35</v>
      </c>
      <c r="H30" s="4">
        <v>21.4</v>
      </c>
      <c r="I30" s="4">
        <v>61</v>
      </c>
      <c r="J30" s="4">
        <v>1712.9</v>
      </c>
      <c r="K30" s="4"/>
      <c r="L30" s="4">
        <v>3.9590000000000001</v>
      </c>
      <c r="M30" s="4">
        <v>28.06</v>
      </c>
      <c r="N30" s="4">
        <v>10.8</v>
      </c>
      <c r="O30" s="4"/>
      <c r="P30" s="4">
        <v>3218</v>
      </c>
      <c r="Q30" s="6">
        <f t="shared" si="1"/>
        <v>1.8786852705937298</v>
      </c>
      <c r="R30" s="4">
        <v>7</v>
      </c>
      <c r="S30" s="4">
        <v>1</v>
      </c>
      <c r="T30" s="6">
        <f t="shared" si="2"/>
        <v>0.46704419405686265</v>
      </c>
      <c r="U30" s="4">
        <v>2552</v>
      </c>
      <c r="V30" s="7">
        <f t="shared" si="3"/>
        <v>3.3141860046725258</v>
      </c>
      <c r="W30" s="7" t="str">
        <f t="shared" si="4"/>
        <v/>
      </c>
      <c r="X30" s="7">
        <f t="shared" si="5"/>
        <v>0.6305722080483892</v>
      </c>
      <c r="Y30" s="7">
        <f t="shared" si="6"/>
        <v>7.8450244172414836</v>
      </c>
      <c r="Z30" s="7" t="str">
        <f>IF(B30=2017,"",W-33)</f>
        <v/>
      </c>
      <c r="AA30" s="7" t="str">
        <f>IF(B30=2017,"",L-33)</f>
        <v/>
      </c>
      <c r="AB30" s="7" t="str">
        <f>IF(B30=2017,"",M-33)</f>
        <v/>
      </c>
      <c r="AC30" s="7" t="str">
        <f>IF(B30=2017,"",N-33)</f>
        <v/>
      </c>
      <c r="AD30" s="7" t="str">
        <f>IF(B30=2017,"",O-33)</f>
        <v/>
      </c>
      <c r="AE30" s="7" t="str">
        <f>IF(B30=2017,"",X-33)</f>
        <v/>
      </c>
      <c r="AF30" s="7" t="str">
        <f>IF(B30=2017,"",T-33)</f>
        <v/>
      </c>
      <c r="AG30" s="7" t="str">
        <f>IF(B30=2017,"",Y-33)</f>
        <v/>
      </c>
    </row>
    <row r="31" spans="1:33" x14ac:dyDescent="0.25">
      <c r="A31" s="4" t="s">
        <v>117</v>
      </c>
      <c r="B31" s="4">
        <v>2017</v>
      </c>
      <c r="C31" s="4" t="s">
        <v>105</v>
      </c>
      <c r="D31" s="5">
        <f t="shared" si="0"/>
        <v>0</v>
      </c>
      <c r="E31" s="4">
        <v>24.2</v>
      </c>
      <c r="F31" s="4">
        <v>15.5</v>
      </c>
      <c r="G31" s="4">
        <v>26.8</v>
      </c>
      <c r="H31" s="4">
        <v>20.6</v>
      </c>
      <c r="I31" s="4">
        <v>53</v>
      </c>
      <c r="J31" s="4">
        <v>520.1</v>
      </c>
      <c r="K31" s="4"/>
      <c r="L31" s="4">
        <v>2.9820000000000002</v>
      </c>
      <c r="M31" s="4">
        <v>32.26</v>
      </c>
      <c r="N31" s="4">
        <v>16.600000000000001</v>
      </c>
      <c r="O31" s="4"/>
      <c r="P31" s="4">
        <v>4856.8999999999996</v>
      </c>
      <c r="Q31" s="6">
        <f t="shared" si="1"/>
        <v>9.3383964622188032</v>
      </c>
      <c r="R31" s="4">
        <v>2</v>
      </c>
      <c r="S31" s="4">
        <v>0</v>
      </c>
      <c r="T31" s="6">
        <f t="shared" si="2"/>
        <v>0.38454143433955007</v>
      </c>
      <c r="U31" s="4">
        <v>158.19999999999999</v>
      </c>
      <c r="V31" s="7">
        <f t="shared" si="3"/>
        <v>3.1863526331626408</v>
      </c>
      <c r="W31" s="7" t="str">
        <f t="shared" si="4"/>
        <v/>
      </c>
      <c r="X31" s="7">
        <f t="shared" si="5"/>
        <v>2.2341345525139165</v>
      </c>
      <c r="Y31" s="7">
        <f t="shared" si="6"/>
        <v>5.0701612734102826</v>
      </c>
      <c r="Z31" s="7" t="str">
        <f>IF(B31=2017,"",W-32)</f>
        <v/>
      </c>
      <c r="AA31" s="7" t="str">
        <f>IF(B31=2017,"",L-32)</f>
        <v/>
      </c>
      <c r="AB31" s="7" t="str">
        <f>IF(B31=2017,"",M-32)</f>
        <v/>
      </c>
      <c r="AC31" s="7" t="str">
        <f>IF(B31=2017,"",N-32)</f>
        <v/>
      </c>
      <c r="AD31" s="7" t="str">
        <f>IF(B31=2017,"",O-32)</f>
        <v/>
      </c>
      <c r="AE31" s="7" t="str">
        <f>IF(B31=2017,"",X-32)</f>
        <v/>
      </c>
      <c r="AF31" s="7" t="str">
        <f>IF(B31=2017,"",T-32)</f>
        <v/>
      </c>
      <c r="AG31" s="7" t="str">
        <f>IF(B31=2017,"",Y-32)</f>
        <v/>
      </c>
    </row>
    <row r="32" spans="1:33" x14ac:dyDescent="0.25">
      <c r="A32" s="4" t="s">
        <v>118</v>
      </c>
      <c r="B32" s="4">
        <v>2017</v>
      </c>
      <c r="C32" s="4" t="s">
        <v>96</v>
      </c>
      <c r="D32" s="5">
        <f t="shared" si="0"/>
        <v>0</v>
      </c>
      <c r="E32" s="4"/>
      <c r="F32" s="4"/>
      <c r="G32" s="4"/>
      <c r="H32" s="4"/>
      <c r="I32" s="4"/>
      <c r="J32" s="4">
        <v>444.5</v>
      </c>
      <c r="K32" s="4"/>
      <c r="L32" s="4">
        <v>2.468</v>
      </c>
      <c r="M32" s="4">
        <v>14.67</v>
      </c>
      <c r="N32" s="4">
        <v>14.4</v>
      </c>
      <c r="O32" s="4"/>
      <c r="P32" s="4">
        <v>1193.4000000000001</v>
      </c>
      <c r="Q32" s="6">
        <f t="shared" si="1"/>
        <v>2.684814398200225</v>
      </c>
      <c r="R32" s="4">
        <v>5</v>
      </c>
      <c r="S32" s="4">
        <v>2</v>
      </c>
      <c r="T32" s="6">
        <f t="shared" si="2"/>
        <v>1.5748031496062991</v>
      </c>
      <c r="U32" s="4">
        <v>9</v>
      </c>
      <c r="V32" s="7" t="str">
        <f t="shared" si="3"/>
        <v/>
      </c>
      <c r="W32" s="7" t="str">
        <f t="shared" si="4"/>
        <v/>
      </c>
      <c r="X32" s="7">
        <f t="shared" si="5"/>
        <v>0.98761160013402227</v>
      </c>
      <c r="Y32" s="7">
        <f t="shared" si="6"/>
        <v>2.3025850929940459</v>
      </c>
      <c r="Z32" s="7" t="str">
        <f>IF(B32=2017,"",W-31)</f>
        <v/>
      </c>
      <c r="AA32" s="7" t="str">
        <f>IF(B32=2017,"",L-31)</f>
        <v/>
      </c>
      <c r="AB32" s="7" t="str">
        <f>IF(B32=2017,"",M-31)</f>
        <v/>
      </c>
      <c r="AC32" s="7" t="str">
        <f>IF(B32=2017,"",N-31)</f>
        <v/>
      </c>
      <c r="AD32" s="7" t="str">
        <f>IF(B32=2017,"",O-31)</f>
        <v/>
      </c>
      <c r="AE32" s="7" t="str">
        <f>IF(B32=2017,"",X-31)</f>
        <v/>
      </c>
      <c r="AF32" s="7" t="str">
        <f>IF(B32=2017,"",T-31)</f>
        <v/>
      </c>
      <c r="AG32" s="7" t="str">
        <f>IF(B32=2017,"",Y-31)</f>
        <v/>
      </c>
    </row>
    <row r="33" spans="1:33" x14ac:dyDescent="0.25">
      <c r="A33" s="4" t="s">
        <v>119</v>
      </c>
      <c r="B33" s="4">
        <v>2017</v>
      </c>
      <c r="C33" s="4" t="s">
        <v>86</v>
      </c>
      <c r="D33" s="5">
        <f t="shared" si="0"/>
        <v>0</v>
      </c>
      <c r="E33" s="4">
        <v>27.9</v>
      </c>
      <c r="F33" s="4">
        <v>14.8</v>
      </c>
      <c r="G33" s="4">
        <v>35</v>
      </c>
      <c r="H33" s="4">
        <v>23.2</v>
      </c>
      <c r="I33" s="4">
        <v>59.6</v>
      </c>
      <c r="J33" s="4">
        <v>1662.3</v>
      </c>
      <c r="K33" s="4"/>
      <c r="L33" s="4">
        <v>4.7110000000000003</v>
      </c>
      <c r="M33" s="4">
        <v>16.350000000000001</v>
      </c>
      <c r="N33" s="4">
        <v>14.6</v>
      </c>
      <c r="O33" s="4"/>
      <c r="P33" s="4">
        <v>5337.8</v>
      </c>
      <c r="Q33" s="6">
        <f t="shared" si="1"/>
        <v>3.2110930638272275</v>
      </c>
      <c r="R33" s="4">
        <v>5</v>
      </c>
      <c r="S33" s="4">
        <v>0</v>
      </c>
      <c r="T33" s="6">
        <f t="shared" si="2"/>
        <v>0.30078806472959152</v>
      </c>
      <c r="U33" s="4">
        <v>4193.3999999999996</v>
      </c>
      <c r="V33" s="7">
        <f t="shared" si="3"/>
        <v>3.3286266888273199</v>
      </c>
      <c r="W33" s="7" t="str">
        <f t="shared" si="4"/>
        <v/>
      </c>
      <c r="X33" s="7">
        <f t="shared" si="5"/>
        <v>1.1666113975049563</v>
      </c>
      <c r="Y33" s="7">
        <f t="shared" si="6"/>
        <v>8.341505581258323</v>
      </c>
      <c r="Z33" s="7" t="str">
        <f>IF(B33=2017,"",W-30)</f>
        <v/>
      </c>
      <c r="AA33" s="7" t="str">
        <f>IF(B33=2017,"",L-30)</f>
        <v/>
      </c>
      <c r="AB33" s="7" t="str">
        <f>IF(B33=2017,"",M-30)</f>
        <v/>
      </c>
      <c r="AC33" s="7" t="str">
        <f>IF(B33=2017,"",N-30)</f>
        <v/>
      </c>
      <c r="AD33" s="7" t="str">
        <f>IF(B33=2017,"",O-30)</f>
        <v/>
      </c>
      <c r="AE33" s="7" t="str">
        <f>IF(B33=2017,"",X-30)</f>
        <v/>
      </c>
      <c r="AF33" s="7" t="str">
        <f>IF(B33=2017,"",T-30)</f>
        <v/>
      </c>
      <c r="AG33" s="7" t="str">
        <f>IF(B33=2017,"",Y-30)</f>
        <v/>
      </c>
    </row>
    <row r="34" spans="1:33" x14ac:dyDescent="0.25">
      <c r="A34" s="4" t="s">
        <v>120</v>
      </c>
      <c r="B34" s="4">
        <v>2017</v>
      </c>
      <c r="C34" s="4" t="s">
        <v>96</v>
      </c>
      <c r="D34" s="5">
        <f t="shared" si="0"/>
        <v>0</v>
      </c>
      <c r="E34" s="4">
        <v>26.6</v>
      </c>
      <c r="F34" s="4">
        <v>12.3</v>
      </c>
      <c r="G34" s="4">
        <v>35</v>
      </c>
      <c r="H34" s="4">
        <v>18.600000000000001</v>
      </c>
      <c r="I34" s="4">
        <v>68.5</v>
      </c>
      <c r="J34" s="4">
        <v>708.6</v>
      </c>
      <c r="K34" s="4"/>
      <c r="L34" s="4">
        <v>3.6379999999999999</v>
      </c>
      <c r="M34" s="4">
        <v>22.86</v>
      </c>
      <c r="N34" s="4">
        <v>19.100000000000001</v>
      </c>
      <c r="O34" s="4"/>
      <c r="P34" s="4">
        <v>3955.3</v>
      </c>
      <c r="Q34" s="6">
        <f t="shared" si="1"/>
        <v>5.5818515382444254</v>
      </c>
      <c r="R34" s="4">
        <v>13</v>
      </c>
      <c r="S34" s="4">
        <v>1</v>
      </c>
      <c r="T34" s="6">
        <f t="shared" si="2"/>
        <v>1.9757267852102738</v>
      </c>
      <c r="U34" s="4">
        <v>819.4</v>
      </c>
      <c r="V34" s="7">
        <f t="shared" si="3"/>
        <v>3.2809112157876537</v>
      </c>
      <c r="W34" s="7" t="str">
        <f t="shared" si="4"/>
        <v/>
      </c>
      <c r="X34" s="7">
        <f t="shared" si="5"/>
        <v>1.7195205382438523</v>
      </c>
      <c r="Y34" s="7">
        <f t="shared" si="6"/>
        <v>6.7097920261982251</v>
      </c>
      <c r="Z34" s="7" t="str">
        <f>IF(B34=2017,"",W-29)</f>
        <v/>
      </c>
      <c r="AA34" s="7" t="str">
        <f>IF(B34=2017,"",L-29)</f>
        <v/>
      </c>
      <c r="AB34" s="7" t="str">
        <f>IF(B34=2017,"",M-29)</f>
        <v/>
      </c>
      <c r="AC34" s="7" t="str">
        <f>IF(B34=2017,"",N-29)</f>
        <v/>
      </c>
      <c r="AD34" s="7" t="str">
        <f>IF(B34=2017,"",O-29)</f>
        <v/>
      </c>
      <c r="AE34" s="7" t="str">
        <f>IF(B34=2017,"",X-29)</f>
        <v/>
      </c>
      <c r="AF34" s="7" t="str">
        <f>IF(B34=2017,"",T-29)</f>
        <v/>
      </c>
      <c r="AG34" s="7" t="str">
        <f>IF(B34=2017,"",Y-29)</f>
        <v/>
      </c>
    </row>
    <row r="35" spans="1:33" x14ac:dyDescent="0.25">
      <c r="A35" s="4" t="s">
        <v>121</v>
      </c>
      <c r="B35" s="4">
        <v>2017</v>
      </c>
      <c r="C35" s="4" t="s">
        <v>105</v>
      </c>
      <c r="D35" s="5">
        <f t="shared" si="0"/>
        <v>0</v>
      </c>
      <c r="E35" s="4">
        <v>27.2</v>
      </c>
      <c r="F35" s="4">
        <v>16.600000000000001</v>
      </c>
      <c r="G35" s="4">
        <v>30</v>
      </c>
      <c r="H35" s="4">
        <v>24.2</v>
      </c>
      <c r="I35" s="4">
        <v>60</v>
      </c>
      <c r="J35" s="4">
        <v>1281.3</v>
      </c>
      <c r="K35" s="4"/>
      <c r="L35" s="4">
        <v>4.298</v>
      </c>
      <c r="M35" s="4">
        <v>38.99</v>
      </c>
      <c r="N35" s="4">
        <v>15</v>
      </c>
      <c r="O35" s="4"/>
      <c r="P35" s="4">
        <v>11291.5</v>
      </c>
      <c r="Q35" s="6">
        <f t="shared" si="1"/>
        <v>8.8125341450089749</v>
      </c>
      <c r="R35" s="4">
        <v>3</v>
      </c>
      <c r="S35" s="4">
        <v>1</v>
      </c>
      <c r="T35" s="6">
        <f t="shared" si="2"/>
        <v>0.31218293920237261</v>
      </c>
      <c r="U35" s="4">
        <v>410.4</v>
      </c>
      <c r="V35" s="7">
        <f t="shared" si="3"/>
        <v>3.3032169733019514</v>
      </c>
      <c r="W35" s="7" t="str">
        <f t="shared" si="4"/>
        <v/>
      </c>
      <c r="X35" s="7">
        <f t="shared" si="5"/>
        <v>2.176175042741828</v>
      </c>
      <c r="Y35" s="7">
        <f t="shared" si="6"/>
        <v>6.019565977218857</v>
      </c>
      <c r="Z35" s="7" t="str">
        <f>IF(B35=2017,"",W-28)</f>
        <v/>
      </c>
      <c r="AA35" s="7" t="str">
        <f>IF(B35=2017,"",L-28)</f>
        <v/>
      </c>
      <c r="AB35" s="7" t="str">
        <f>IF(B35=2017,"",M-28)</f>
        <v/>
      </c>
      <c r="AC35" s="7" t="str">
        <f>IF(B35=2017,"",N-28)</f>
        <v/>
      </c>
      <c r="AD35" s="7" t="str">
        <f>IF(B35=2017,"",O-28)</f>
        <v/>
      </c>
      <c r="AE35" s="7" t="str">
        <f>IF(B35=2017,"",X-28)</f>
        <v/>
      </c>
      <c r="AF35" s="7" t="str">
        <f>IF(B35=2017,"",T-28)</f>
        <v/>
      </c>
      <c r="AG35" s="7" t="str">
        <f>IF(B35=2017,"",Y-28)</f>
        <v/>
      </c>
    </row>
    <row r="36" spans="1:33" x14ac:dyDescent="0.25">
      <c r="A36" s="4" t="s">
        <v>122</v>
      </c>
      <c r="B36" s="4">
        <v>2017</v>
      </c>
      <c r="C36" s="4" t="s">
        <v>96</v>
      </c>
      <c r="D36" s="5">
        <f t="shared" si="0"/>
        <v>0</v>
      </c>
      <c r="E36" s="4">
        <v>21.2</v>
      </c>
      <c r="F36" s="4">
        <v>13.4</v>
      </c>
      <c r="G36" s="4">
        <v>27.6</v>
      </c>
      <c r="H36" s="4">
        <v>12.7</v>
      </c>
      <c r="I36" s="4">
        <v>50.5</v>
      </c>
      <c r="J36" s="4">
        <v>768.7</v>
      </c>
      <c r="K36" s="4"/>
      <c r="L36" s="4">
        <v>2.0920000000000001</v>
      </c>
      <c r="M36" s="4">
        <v>20.22</v>
      </c>
      <c r="N36" s="4">
        <v>15.5</v>
      </c>
      <c r="O36" s="4"/>
      <c r="P36" s="4">
        <v>5710.6</v>
      </c>
      <c r="Q36" s="6">
        <f t="shared" si="1"/>
        <v>7.4289059451021204</v>
      </c>
      <c r="R36" s="4">
        <v>2</v>
      </c>
      <c r="S36" s="4">
        <v>1</v>
      </c>
      <c r="T36" s="6">
        <f t="shared" si="2"/>
        <v>0.39026928580720699</v>
      </c>
      <c r="U36" s="4">
        <v>294.39999999999998</v>
      </c>
      <c r="V36" s="7">
        <f t="shared" si="3"/>
        <v>3.0540011816779669</v>
      </c>
      <c r="W36" s="7" t="str">
        <f t="shared" si="4"/>
        <v/>
      </c>
      <c r="X36" s="7">
        <f t="shared" si="5"/>
        <v>2.0053785995836853</v>
      </c>
      <c r="Y36" s="7">
        <f t="shared" si="6"/>
        <v>5.6883303700972796</v>
      </c>
      <c r="Z36" s="7" t="str">
        <f>IF(B36=2017,"",W-27)</f>
        <v/>
      </c>
      <c r="AA36" s="7" t="str">
        <f>IF(B36=2017,"",L-27)</f>
        <v/>
      </c>
      <c r="AB36" s="7" t="str">
        <f>IF(B36=2017,"",M-27)</f>
        <v/>
      </c>
      <c r="AC36" s="7" t="str">
        <f>IF(B36=2017,"",N-27)</f>
        <v/>
      </c>
      <c r="AD36" s="7" t="str">
        <f>IF(B36=2017,"",O-27)</f>
        <v/>
      </c>
      <c r="AE36" s="7" t="str">
        <f>IF(B36=2017,"",X-27)</f>
        <v/>
      </c>
      <c r="AF36" s="7" t="str">
        <f>IF(B36=2017,"",T-27)</f>
        <v/>
      </c>
      <c r="AG36" s="7" t="str">
        <f>IF(B36=2017,"",Y-27)</f>
        <v/>
      </c>
    </row>
    <row r="37" spans="1:33" x14ac:dyDescent="0.25">
      <c r="A37" s="4" t="s">
        <v>123</v>
      </c>
      <c r="B37" s="4">
        <v>2017</v>
      </c>
      <c r="C37" s="4" t="s">
        <v>99</v>
      </c>
      <c r="D37" s="5">
        <f t="shared" si="0"/>
        <v>1</v>
      </c>
      <c r="E37" s="4">
        <v>33.299999999999997</v>
      </c>
      <c r="F37" s="4">
        <v>18.3</v>
      </c>
      <c r="G37" s="4">
        <v>48.3</v>
      </c>
      <c r="H37" s="4">
        <v>19.600000000000001</v>
      </c>
      <c r="I37" s="4">
        <v>74.5</v>
      </c>
      <c r="J37" s="4">
        <v>1788.2</v>
      </c>
      <c r="K37" s="4"/>
      <c r="L37" s="4">
        <v>2.8210000000000002</v>
      </c>
      <c r="M37" s="4">
        <v>17.7</v>
      </c>
      <c r="N37" s="4">
        <v>15.3</v>
      </c>
      <c r="O37" s="4"/>
      <c r="P37" s="4">
        <v>10363.700000000001</v>
      </c>
      <c r="Q37" s="6">
        <f t="shared" si="1"/>
        <v>5.7956045185102338</v>
      </c>
      <c r="R37" s="4">
        <v>12</v>
      </c>
      <c r="S37" s="4">
        <v>0</v>
      </c>
      <c r="T37" s="6">
        <f t="shared" si="2"/>
        <v>0.6710658763001901</v>
      </c>
      <c r="U37" s="4">
        <v>1744</v>
      </c>
      <c r="V37" s="7">
        <f t="shared" si="3"/>
        <v>3.505557396986398</v>
      </c>
      <c r="W37" s="7" t="str">
        <f t="shared" si="4"/>
        <v/>
      </c>
      <c r="X37" s="7">
        <f t="shared" si="5"/>
        <v>1.7570997886090696</v>
      </c>
      <c r="Y37" s="7">
        <f t="shared" si="6"/>
        <v>7.4645098346365275</v>
      </c>
      <c r="Z37" s="7" t="str">
        <f>IF(B37=2017,"",W-26)</f>
        <v/>
      </c>
      <c r="AA37" s="7" t="str">
        <f>IF(B37=2017,"",L-26)</f>
        <v/>
      </c>
      <c r="AB37" s="7" t="str">
        <f>IF(B37=2017,"",M-26)</f>
        <v/>
      </c>
      <c r="AC37" s="7" t="str">
        <f>IF(B37=2017,"",N-26)</f>
        <v/>
      </c>
      <c r="AD37" s="7" t="str">
        <f>IF(B37=2017,"",O-26)</f>
        <v/>
      </c>
      <c r="AE37" s="7" t="str">
        <f>IF(B37=2017,"",X-26)</f>
        <v/>
      </c>
      <c r="AF37" s="7" t="str">
        <f>IF(B37=2017,"",T-26)</f>
        <v/>
      </c>
      <c r="AG37" s="7" t="str">
        <f>IF(B37=2017,"",Y-26)</f>
        <v/>
      </c>
    </row>
    <row r="38" spans="1:33" x14ac:dyDescent="0.25">
      <c r="A38" s="4" t="s">
        <v>124</v>
      </c>
      <c r="B38" s="4">
        <v>2017</v>
      </c>
      <c r="C38" s="4" t="s">
        <v>92</v>
      </c>
      <c r="D38" s="5">
        <f t="shared" si="0"/>
        <v>0</v>
      </c>
      <c r="E38" s="4">
        <v>30.7</v>
      </c>
      <c r="F38" s="4">
        <v>14.8</v>
      </c>
      <c r="G38" s="4">
        <v>36.299999999999997</v>
      </c>
      <c r="H38" s="4">
        <v>26.8</v>
      </c>
      <c r="I38" s="4">
        <v>72.8</v>
      </c>
      <c r="J38" s="4">
        <v>3246.7</v>
      </c>
      <c r="K38" s="4"/>
      <c r="L38" s="4">
        <v>3.5289999999999999</v>
      </c>
      <c r="M38" s="4">
        <v>14.73</v>
      </c>
      <c r="N38" s="4">
        <v>19.899999999999999</v>
      </c>
      <c r="O38" s="4"/>
      <c r="P38" s="4">
        <v>63332.9</v>
      </c>
      <c r="Q38" s="6">
        <f t="shared" si="1"/>
        <v>19.506853112391045</v>
      </c>
      <c r="R38" s="4">
        <v>44</v>
      </c>
      <c r="S38" s="4">
        <v>7</v>
      </c>
      <c r="T38" s="6">
        <f t="shared" si="2"/>
        <v>1.5708257615424894</v>
      </c>
      <c r="U38" s="4">
        <v>560.79999999999995</v>
      </c>
      <c r="V38" s="7">
        <f t="shared" si="3"/>
        <v>3.4242626545931514</v>
      </c>
      <c r="W38" s="7" t="str">
        <f t="shared" si="4"/>
        <v/>
      </c>
      <c r="X38" s="7">
        <f t="shared" si="5"/>
        <v>2.9707658454896251</v>
      </c>
      <c r="Y38" s="7">
        <f t="shared" si="6"/>
        <v>6.3311459146701434</v>
      </c>
      <c r="Z38" s="7" t="str">
        <f>IF(B38=2017,"",W-25)</f>
        <v/>
      </c>
      <c r="AA38" s="7" t="str">
        <f>IF(B38=2017,"",L-25)</f>
        <v/>
      </c>
      <c r="AB38" s="7" t="str">
        <f>IF(B38=2017,"",M-25)</f>
        <v/>
      </c>
      <c r="AC38" s="7" t="str">
        <f>IF(B38=2017,"",N-25)</f>
        <v/>
      </c>
      <c r="AD38" s="7" t="str">
        <f>IF(B38=2017,"",O-25)</f>
        <v/>
      </c>
      <c r="AE38" s="7" t="str">
        <f>IF(B38=2017,"",X-25)</f>
        <v/>
      </c>
      <c r="AF38" s="7" t="str">
        <f>IF(B38=2017,"",T-25)</f>
        <v/>
      </c>
      <c r="AG38" s="7" t="str">
        <f>IF(B38=2017,"",Y-25)</f>
        <v/>
      </c>
    </row>
    <row r="39" spans="1:33" x14ac:dyDescent="0.25">
      <c r="A39" s="4" t="s">
        <v>125</v>
      </c>
      <c r="B39" s="4">
        <v>2017</v>
      </c>
      <c r="C39" s="4" t="s">
        <v>99</v>
      </c>
      <c r="D39" s="5">
        <f t="shared" si="0"/>
        <v>1</v>
      </c>
      <c r="E39" s="4">
        <v>29.6</v>
      </c>
      <c r="F39" s="4">
        <v>13.3</v>
      </c>
      <c r="G39" s="4">
        <v>40.299999999999997</v>
      </c>
      <c r="H39" s="4">
        <v>22.1</v>
      </c>
      <c r="I39" s="4">
        <v>69.3</v>
      </c>
      <c r="J39" s="4">
        <v>965.4</v>
      </c>
      <c r="K39" s="4"/>
      <c r="L39" s="4">
        <v>3.677</v>
      </c>
      <c r="M39" s="4">
        <v>20.21</v>
      </c>
      <c r="N39" s="4">
        <v>26.4</v>
      </c>
      <c r="O39" s="4"/>
      <c r="P39" s="4">
        <v>25000.799999999999</v>
      </c>
      <c r="Q39" s="6">
        <f t="shared" si="1"/>
        <v>25.89683032939714</v>
      </c>
      <c r="R39" s="4">
        <v>9</v>
      </c>
      <c r="S39" s="4">
        <v>3</v>
      </c>
      <c r="T39" s="6">
        <f t="shared" si="2"/>
        <v>1.2430080795525171</v>
      </c>
      <c r="U39" s="4">
        <v>1311.7</v>
      </c>
      <c r="V39" s="7">
        <f t="shared" si="3"/>
        <v>3.3877743613300146</v>
      </c>
      <c r="W39" s="7" t="str">
        <f t="shared" si="4"/>
        <v/>
      </c>
      <c r="X39" s="7">
        <f t="shared" si="5"/>
        <v>3.2541205801119562</v>
      </c>
      <c r="Y39" s="7">
        <f t="shared" si="6"/>
        <v>7.1798413638093619</v>
      </c>
      <c r="Z39" s="7" t="str">
        <f>IF(B39=2017,"",W-24)</f>
        <v/>
      </c>
      <c r="AA39" s="7" t="str">
        <f>IF(B39=2017,"",L-24)</f>
        <v/>
      </c>
      <c r="AB39" s="7" t="str">
        <f>IF(B39=2017,"",M-24)</f>
        <v/>
      </c>
      <c r="AC39" s="7" t="str">
        <f>IF(B39=2017,"",N-24)</f>
        <v/>
      </c>
      <c r="AD39" s="7" t="str">
        <f>IF(B39=2017,"",O-24)</f>
        <v/>
      </c>
      <c r="AE39" s="7" t="str">
        <f>IF(B39=2017,"",X-24)</f>
        <v/>
      </c>
      <c r="AF39" s="7" t="str">
        <f>IF(B39=2017,"",T-24)</f>
        <v/>
      </c>
      <c r="AG39" s="7" t="str">
        <f>IF(B39=2017,"",Y-24)</f>
        <v/>
      </c>
    </row>
    <row r="40" spans="1:33" x14ac:dyDescent="0.25">
      <c r="A40" s="4" t="s">
        <v>126</v>
      </c>
      <c r="B40" s="4">
        <v>2017</v>
      </c>
      <c r="C40" s="4" t="s">
        <v>92</v>
      </c>
      <c r="D40" s="5">
        <f t="shared" si="0"/>
        <v>0</v>
      </c>
      <c r="E40" s="4">
        <v>25.3</v>
      </c>
      <c r="F40" s="4">
        <v>10.8</v>
      </c>
      <c r="G40" s="4">
        <v>39.200000000000003</v>
      </c>
      <c r="H40" s="4">
        <v>18.899999999999999</v>
      </c>
      <c r="I40" s="4">
        <v>46</v>
      </c>
      <c r="J40" s="4">
        <v>585.4</v>
      </c>
      <c r="K40" s="4"/>
      <c r="L40" s="4">
        <v>3.3290000000000002</v>
      </c>
      <c r="M40" s="4">
        <v>35.82</v>
      </c>
      <c r="N40" s="4">
        <v>15.1</v>
      </c>
      <c r="O40" s="4"/>
      <c r="P40" s="4">
        <v>6053.3</v>
      </c>
      <c r="Q40" s="6">
        <f t="shared" si="1"/>
        <v>10.340450973693201</v>
      </c>
      <c r="R40" s="4">
        <v>4</v>
      </c>
      <c r="S40" s="4">
        <v>1</v>
      </c>
      <c r="T40" s="6">
        <f t="shared" si="2"/>
        <v>0.8541168431841476</v>
      </c>
      <c r="U40" s="4">
        <v>2225</v>
      </c>
      <c r="V40" s="7">
        <f t="shared" si="3"/>
        <v>3.2308043957334744</v>
      </c>
      <c r="W40" s="7" t="str">
        <f t="shared" si="4"/>
        <v/>
      </c>
      <c r="X40" s="7">
        <f t="shared" si="5"/>
        <v>2.3360634826062983</v>
      </c>
      <c r="Y40" s="7">
        <f t="shared" si="6"/>
        <v>7.7079615318354904</v>
      </c>
      <c r="Z40" s="7" t="str">
        <f>IF(B40=2017,"",W-23)</f>
        <v/>
      </c>
      <c r="AA40" s="7" t="str">
        <f>IF(B40=2017,"",L-23)</f>
        <v/>
      </c>
      <c r="AB40" s="7" t="str">
        <f>IF(B40=2017,"",M-23)</f>
        <v/>
      </c>
      <c r="AC40" s="7" t="str">
        <f>IF(B40=2017,"",N-23)</f>
        <v/>
      </c>
      <c r="AD40" s="7" t="str">
        <f>IF(B40=2017,"",O-23)</f>
        <v/>
      </c>
      <c r="AE40" s="7" t="str">
        <f>IF(B40=2017,"",X-23)</f>
        <v/>
      </c>
      <c r="AF40" s="7" t="str">
        <f>IF(B40=2017,"",T-23)</f>
        <v/>
      </c>
      <c r="AG40" s="7" t="str">
        <f>IF(B40=2017,"",Y-23)</f>
        <v/>
      </c>
    </row>
    <row r="41" spans="1:33" x14ac:dyDescent="0.25">
      <c r="A41" s="4" t="s">
        <v>127</v>
      </c>
      <c r="B41" s="4">
        <v>2017</v>
      </c>
      <c r="C41" s="4" t="s">
        <v>96</v>
      </c>
      <c r="D41" s="5">
        <f t="shared" si="0"/>
        <v>0</v>
      </c>
      <c r="E41" s="4">
        <v>28.5</v>
      </c>
      <c r="F41" s="4">
        <v>13.2</v>
      </c>
      <c r="G41" s="4">
        <v>38.200000000000003</v>
      </c>
      <c r="H41" s="4">
        <v>23.7</v>
      </c>
      <c r="I41" s="4">
        <v>60.1</v>
      </c>
      <c r="J41" s="4">
        <v>1430.5</v>
      </c>
      <c r="K41" s="4"/>
      <c r="L41" s="4">
        <v>2.9870000000000001</v>
      </c>
      <c r="M41" s="4">
        <v>18.32</v>
      </c>
      <c r="N41" s="4">
        <v>21.8</v>
      </c>
      <c r="O41" s="4"/>
      <c r="P41" s="4">
        <v>24416.5</v>
      </c>
      <c r="Q41" s="6">
        <f t="shared" si="1"/>
        <v>17.068507514854947</v>
      </c>
      <c r="R41" s="4">
        <v>14</v>
      </c>
      <c r="S41" s="4">
        <v>2</v>
      </c>
      <c r="T41" s="6">
        <f t="shared" si="2"/>
        <v>1.1184900384480949</v>
      </c>
      <c r="U41" s="4">
        <v>758.3</v>
      </c>
      <c r="V41" s="7">
        <f t="shared" si="3"/>
        <v>3.3499040872746049</v>
      </c>
      <c r="W41" s="7" t="str">
        <f t="shared" si="4"/>
        <v/>
      </c>
      <c r="X41" s="7">
        <f t="shared" si="5"/>
        <v>2.8372350997591758</v>
      </c>
      <c r="Y41" s="7">
        <f t="shared" si="6"/>
        <v>6.6323969562191882</v>
      </c>
      <c r="Z41" s="7" t="str">
        <f>IF(B41=2017,"",W-22)</f>
        <v/>
      </c>
      <c r="AA41" s="7" t="str">
        <f>IF(B41=2017,"",L-22)</f>
        <v/>
      </c>
      <c r="AB41" s="7" t="str">
        <f>IF(B41=2017,"",M-22)</f>
        <v/>
      </c>
      <c r="AC41" s="7" t="str">
        <f>IF(B41=2017,"",N-22)</f>
        <v/>
      </c>
      <c r="AD41" s="7" t="str">
        <f>IF(B41=2017,"",O-22)</f>
        <v/>
      </c>
      <c r="AE41" s="7" t="str">
        <f>IF(B41=2017,"",X-22)</f>
        <v/>
      </c>
      <c r="AF41" s="7" t="str">
        <f>IF(B41=2017,"",T-22)</f>
        <v/>
      </c>
      <c r="AG41" s="7" t="str">
        <f>IF(B41=2017,"",Y-22)</f>
        <v/>
      </c>
    </row>
    <row r="42" spans="1:33" x14ac:dyDescent="0.25">
      <c r="A42" s="4" t="s">
        <v>128</v>
      </c>
      <c r="B42" s="4">
        <v>2017</v>
      </c>
      <c r="C42" s="4" t="s">
        <v>92</v>
      </c>
      <c r="D42" s="5">
        <f t="shared" si="0"/>
        <v>0</v>
      </c>
      <c r="E42" s="4">
        <v>25.4</v>
      </c>
      <c r="F42" s="4">
        <v>12.5</v>
      </c>
      <c r="G42" s="4">
        <v>37</v>
      </c>
      <c r="H42" s="4">
        <v>18.600000000000001</v>
      </c>
      <c r="I42" s="4">
        <v>50</v>
      </c>
      <c r="J42" s="4">
        <v>870</v>
      </c>
      <c r="K42" s="4"/>
      <c r="L42" s="4">
        <v>2.823</v>
      </c>
      <c r="M42" s="4">
        <v>28.72</v>
      </c>
      <c r="N42" s="4">
        <v>18</v>
      </c>
      <c r="O42" s="4"/>
      <c r="P42" s="4">
        <v>11326.1</v>
      </c>
      <c r="Q42" s="6">
        <f t="shared" si="1"/>
        <v>13.018505747126436</v>
      </c>
      <c r="R42" s="4">
        <v>4</v>
      </c>
      <c r="S42" s="4">
        <v>1</v>
      </c>
      <c r="T42" s="6">
        <f t="shared" si="2"/>
        <v>0.57471264367816088</v>
      </c>
      <c r="U42" s="4">
        <v>5711.5</v>
      </c>
      <c r="V42" s="7">
        <f t="shared" si="3"/>
        <v>3.2347491740244907</v>
      </c>
      <c r="W42" s="7" t="str">
        <f t="shared" si="4"/>
        <v/>
      </c>
      <c r="X42" s="7">
        <f t="shared" si="5"/>
        <v>2.5663718642285942</v>
      </c>
      <c r="Y42" s="7">
        <f t="shared" si="6"/>
        <v>8.6504120352024607</v>
      </c>
      <c r="Z42" s="7" t="str">
        <f>IF(B42=2017,"",W-21)</f>
        <v/>
      </c>
      <c r="AA42" s="7" t="str">
        <f>IF(B42=2017,"",L-21)</f>
        <v/>
      </c>
      <c r="AB42" s="7" t="str">
        <f>IF(B42=2017,"",M-21)</f>
        <v/>
      </c>
      <c r="AC42" s="7" t="str">
        <f>IF(B42=2017,"",N-21)</f>
        <v/>
      </c>
      <c r="AD42" s="7" t="str">
        <f>IF(B42=2017,"",O-21)</f>
        <v/>
      </c>
      <c r="AE42" s="7" t="str">
        <f>IF(B42=2017,"",X-21)</f>
        <v/>
      </c>
      <c r="AF42" s="7" t="str">
        <f>IF(B42=2017,"",T-21)</f>
        <v/>
      </c>
      <c r="AG42" s="7" t="str">
        <f>IF(B42=2017,"",Y-21)</f>
        <v/>
      </c>
    </row>
    <row r="43" spans="1:33" x14ac:dyDescent="0.25">
      <c r="A43" s="4" t="s">
        <v>129</v>
      </c>
      <c r="B43" s="4">
        <v>2017</v>
      </c>
      <c r="C43" s="4" t="s">
        <v>92</v>
      </c>
      <c r="D43" s="5">
        <f t="shared" si="0"/>
        <v>0</v>
      </c>
      <c r="E43" s="4">
        <v>25.3</v>
      </c>
      <c r="F43" s="4">
        <v>14.5</v>
      </c>
      <c r="G43" s="4">
        <v>32.5</v>
      </c>
      <c r="H43" s="4">
        <v>20.6</v>
      </c>
      <c r="I43" s="4">
        <v>50.6</v>
      </c>
      <c r="J43" s="4">
        <v>885.7</v>
      </c>
      <c r="K43" s="4"/>
      <c r="L43" s="4">
        <v>4.3010000000000002</v>
      </c>
      <c r="M43" s="4">
        <v>20.58</v>
      </c>
      <c r="N43" s="4">
        <v>20.9</v>
      </c>
      <c r="O43" s="4"/>
      <c r="P43" s="4">
        <v>18773</v>
      </c>
      <c r="Q43" s="6">
        <f t="shared" si="1"/>
        <v>21.195664446200745</v>
      </c>
      <c r="R43" s="4">
        <v>8</v>
      </c>
      <c r="S43" s="4">
        <v>0</v>
      </c>
      <c r="T43" s="6">
        <f t="shared" si="2"/>
        <v>0.9032403748447555</v>
      </c>
      <c r="U43" s="4">
        <v>607.20000000000005</v>
      </c>
      <c r="V43" s="7">
        <f t="shared" si="3"/>
        <v>3.2308043957334744</v>
      </c>
      <c r="W43" s="7" t="str">
        <f t="shared" si="4"/>
        <v/>
      </c>
      <c r="X43" s="7">
        <f t="shared" si="5"/>
        <v>3.053796653508825</v>
      </c>
      <c r="Y43" s="7">
        <f t="shared" si="6"/>
        <v>6.4105037752432645</v>
      </c>
      <c r="Z43" s="7" t="str">
        <f>IF(B43=2017,"",W-20)</f>
        <v/>
      </c>
      <c r="AA43" s="7" t="str">
        <f>IF(B43=2017,"",L-20)</f>
        <v/>
      </c>
      <c r="AB43" s="7" t="str">
        <f>IF(B43=2017,"",M-20)</f>
        <v/>
      </c>
      <c r="AC43" s="7" t="str">
        <f>IF(B43=2017,"",N-20)</f>
        <v/>
      </c>
      <c r="AD43" s="7" t="str">
        <f>IF(B43=2017,"",O-20)</f>
        <v/>
      </c>
      <c r="AE43" s="7" t="str">
        <f>IF(B43=2017,"",X-20)</f>
        <v/>
      </c>
      <c r="AF43" s="7" t="str">
        <f>IF(B43=2017,"",T-20)</f>
        <v/>
      </c>
      <c r="AG43" s="7" t="str">
        <f>IF(B43=2017,"",Y-20)</f>
        <v/>
      </c>
    </row>
    <row r="44" spans="1:33" x14ac:dyDescent="0.25">
      <c r="A44" s="4" t="s">
        <v>130</v>
      </c>
      <c r="B44" s="4">
        <v>2017</v>
      </c>
      <c r="C44" s="4" t="s">
        <v>92</v>
      </c>
      <c r="D44" s="5">
        <f t="shared" si="0"/>
        <v>0</v>
      </c>
      <c r="E44" s="4">
        <v>29.2</v>
      </c>
      <c r="F44" s="4">
        <v>16.899999999999999</v>
      </c>
      <c r="G44" s="4">
        <v>36.700000000000003</v>
      </c>
      <c r="H44" s="4">
        <v>23.5</v>
      </c>
      <c r="I44" s="4">
        <v>60.2</v>
      </c>
      <c r="J44" s="4">
        <v>1483.3</v>
      </c>
      <c r="K44" s="4"/>
      <c r="L44" s="4">
        <v>4.0270000000000001</v>
      </c>
      <c r="M44" s="4">
        <v>24.84</v>
      </c>
      <c r="N44" s="4">
        <v>18.100000000000001</v>
      </c>
      <c r="O44" s="4"/>
      <c r="P44" s="4">
        <v>16321.7</v>
      </c>
      <c r="Q44" s="6">
        <f t="shared" si="1"/>
        <v>11.003640531247894</v>
      </c>
      <c r="R44" s="4">
        <v>1</v>
      </c>
      <c r="S44" s="4">
        <v>1</v>
      </c>
      <c r="T44" s="6">
        <f t="shared" si="2"/>
        <v>0.13483449066271153</v>
      </c>
      <c r="U44" s="4">
        <v>3921.2</v>
      </c>
      <c r="V44" s="7">
        <f t="shared" si="3"/>
        <v>3.3741687092742358</v>
      </c>
      <c r="W44" s="7" t="str">
        <f t="shared" si="4"/>
        <v/>
      </c>
      <c r="X44" s="7">
        <f t="shared" si="5"/>
        <v>2.3982261754302274</v>
      </c>
      <c r="Y44" s="7">
        <f t="shared" si="6"/>
        <v>8.2744079998467388</v>
      </c>
      <c r="Z44" s="7" t="str">
        <f>IF(B44=2017,"",W-19)</f>
        <v/>
      </c>
      <c r="AA44" s="7" t="str">
        <f>IF(B44=2017,"",L-19)</f>
        <v/>
      </c>
      <c r="AB44" s="7" t="str">
        <f>IF(B44=2017,"",M-19)</f>
        <v/>
      </c>
      <c r="AC44" s="7" t="str">
        <f>IF(B44=2017,"",N-19)</f>
        <v/>
      </c>
      <c r="AD44" s="7" t="str">
        <f>IF(B44=2017,"",O-19)</f>
        <v/>
      </c>
      <c r="AE44" s="7" t="str">
        <f>IF(B44=2017,"",X-19)</f>
        <v/>
      </c>
      <c r="AF44" s="7" t="str">
        <f>IF(B44=2017,"",T-19)</f>
        <v/>
      </c>
      <c r="AG44" s="7" t="str">
        <f>IF(B44=2017,"",Y-19)</f>
        <v/>
      </c>
    </row>
    <row r="45" spans="1:33" x14ac:dyDescent="0.25">
      <c r="A45" s="4" t="s">
        <v>131</v>
      </c>
      <c r="B45" s="4">
        <v>2017</v>
      </c>
      <c r="C45" s="4" t="s">
        <v>92</v>
      </c>
      <c r="D45" s="5">
        <f t="shared" si="0"/>
        <v>0</v>
      </c>
      <c r="E45" s="4">
        <v>25.6</v>
      </c>
      <c r="F45" s="4">
        <v>15.7</v>
      </c>
      <c r="G45" s="4">
        <v>30.1</v>
      </c>
      <c r="H45" s="4">
        <v>19.600000000000001</v>
      </c>
      <c r="I45" s="4">
        <v>60</v>
      </c>
      <c r="J45" s="4">
        <v>1228.9000000000001</v>
      </c>
      <c r="K45" s="4"/>
      <c r="L45" s="4">
        <v>3.504</v>
      </c>
      <c r="M45" s="4">
        <v>16</v>
      </c>
      <c r="N45" s="4">
        <v>18.3</v>
      </c>
      <c r="O45" s="4"/>
      <c r="P45" s="4">
        <v>11333.6</v>
      </c>
      <c r="Q45" s="6">
        <f t="shared" si="1"/>
        <v>9.2225567580763279</v>
      </c>
      <c r="R45" s="4">
        <v>7</v>
      </c>
      <c r="S45" s="4">
        <v>0</v>
      </c>
      <c r="T45" s="6">
        <f t="shared" si="2"/>
        <v>0.56961510293758644</v>
      </c>
      <c r="U45" s="4">
        <v>1179.5999999999999</v>
      </c>
      <c r="V45" s="7">
        <f t="shared" si="3"/>
        <v>3.2425923514855168</v>
      </c>
      <c r="W45" s="7" t="str">
        <f t="shared" si="4"/>
        <v/>
      </c>
      <c r="X45" s="7">
        <f t="shared" si="5"/>
        <v>2.2216523047745897</v>
      </c>
      <c r="Y45" s="7">
        <f t="shared" si="6"/>
        <v>7.0737780628065892</v>
      </c>
      <c r="Z45" s="7" t="str">
        <f>IF(B45=2017,"",W-18)</f>
        <v/>
      </c>
      <c r="AA45" s="7" t="str">
        <f>IF(B45=2017,"",L-18)</f>
        <v/>
      </c>
      <c r="AB45" s="7" t="str">
        <f>IF(B45=2017,"",M-18)</f>
        <v/>
      </c>
      <c r="AC45" s="7" t="str">
        <f>IF(B45=2017,"",N-18)</f>
        <v/>
      </c>
      <c r="AD45" s="7" t="str">
        <f>IF(B45=2017,"",O-18)</f>
        <v/>
      </c>
      <c r="AE45" s="7" t="str">
        <f>IF(B45=2017,"",X-18)</f>
        <v/>
      </c>
      <c r="AF45" s="7" t="str">
        <f>IF(B45=2017,"",T-18)</f>
        <v/>
      </c>
      <c r="AG45" s="7" t="str">
        <f>IF(B45=2017,"",Y-18)</f>
        <v/>
      </c>
    </row>
    <row r="46" spans="1:33" x14ac:dyDescent="0.25">
      <c r="A46" s="4" t="s">
        <v>132</v>
      </c>
      <c r="B46" s="4">
        <v>2017</v>
      </c>
      <c r="C46" s="4" t="s">
        <v>99</v>
      </c>
      <c r="D46" s="5">
        <f t="shared" si="0"/>
        <v>1</v>
      </c>
      <c r="E46" s="4">
        <v>32.700000000000003</v>
      </c>
      <c r="F46" s="4">
        <v>13.2</v>
      </c>
      <c r="G46" s="4">
        <v>47</v>
      </c>
      <c r="H46" s="4">
        <v>25.2</v>
      </c>
      <c r="I46" s="4">
        <v>70.5</v>
      </c>
      <c r="J46" s="4">
        <v>1285.2</v>
      </c>
      <c r="K46" s="4"/>
      <c r="L46" s="4">
        <v>6.0910000000000002</v>
      </c>
      <c r="M46" s="4">
        <v>61.69</v>
      </c>
      <c r="N46" s="4">
        <v>32.9</v>
      </c>
      <c r="O46" s="4"/>
      <c r="P46" s="4">
        <v>27502.400000000001</v>
      </c>
      <c r="Q46" s="6">
        <f t="shared" si="1"/>
        <v>21.399315281668223</v>
      </c>
      <c r="R46" s="4">
        <v>26</v>
      </c>
      <c r="S46" s="4">
        <v>5</v>
      </c>
      <c r="T46" s="6">
        <f t="shared" si="2"/>
        <v>2.4120759414877062</v>
      </c>
      <c r="U46" s="4">
        <v>4562.8</v>
      </c>
      <c r="V46" s="7">
        <f t="shared" si="3"/>
        <v>3.487375077903208</v>
      </c>
      <c r="W46" s="7" t="str">
        <f t="shared" si="4"/>
        <v/>
      </c>
      <c r="X46" s="7">
        <f t="shared" si="5"/>
        <v>3.0633589253321891</v>
      </c>
      <c r="Y46" s="7">
        <f t="shared" si="6"/>
        <v>8.4259108888123233</v>
      </c>
      <c r="Z46" s="7" t="str">
        <f>IF(B46=2017,"",W-17)</f>
        <v/>
      </c>
      <c r="AA46" s="7" t="str">
        <f>IF(B46=2017,"",L-17)</f>
        <v/>
      </c>
      <c r="AB46" s="7" t="str">
        <f>IF(B46=2017,"",M-17)</f>
        <v/>
      </c>
      <c r="AC46" s="7" t="str">
        <f>IF(B46=2017,"",N-17)</f>
        <v/>
      </c>
      <c r="AD46" s="7" t="str">
        <f>IF(B46=2017,"",O-17)</f>
        <v/>
      </c>
      <c r="AE46" s="7" t="str">
        <f>IF(B46=2017,"",X-17)</f>
        <v/>
      </c>
      <c r="AF46" s="7" t="str">
        <f>IF(B46=2017,"",T-17)</f>
        <v/>
      </c>
      <c r="AG46" s="7" t="str">
        <f>IF(B46=2017,"",Y-17)</f>
        <v/>
      </c>
    </row>
    <row r="47" spans="1:33" x14ac:dyDescent="0.25">
      <c r="A47" s="4" t="s">
        <v>133</v>
      </c>
      <c r="B47" s="4">
        <v>2017</v>
      </c>
      <c r="C47" s="4" t="s">
        <v>92</v>
      </c>
      <c r="D47" s="5">
        <f t="shared" si="0"/>
        <v>0</v>
      </c>
      <c r="E47" s="4">
        <v>25.7</v>
      </c>
      <c r="F47" s="4">
        <v>13.7</v>
      </c>
      <c r="G47" s="4">
        <v>31.1</v>
      </c>
      <c r="H47" s="4">
        <v>25.1</v>
      </c>
      <c r="I47" s="4">
        <v>47.5</v>
      </c>
      <c r="J47" s="4">
        <v>625.4</v>
      </c>
      <c r="K47" s="4"/>
      <c r="L47" s="4">
        <v>3.9889999999999999</v>
      </c>
      <c r="M47" s="4">
        <v>30.38</v>
      </c>
      <c r="N47" s="4">
        <v>24.7</v>
      </c>
      <c r="O47" s="4"/>
      <c r="P47" s="4">
        <v>8926.4</v>
      </c>
      <c r="Q47" s="6">
        <f t="shared" si="1"/>
        <v>14.273105212663895</v>
      </c>
      <c r="R47" s="4">
        <v>21</v>
      </c>
      <c r="S47" s="4">
        <v>2</v>
      </c>
      <c r="T47" s="6">
        <f t="shared" si="2"/>
        <v>3.6776463063639269</v>
      </c>
      <c r="U47" s="4">
        <v>96.7</v>
      </c>
      <c r="V47" s="7">
        <f t="shared" si="3"/>
        <v>3.2464909919011742</v>
      </c>
      <c r="W47" s="7" t="str">
        <f t="shared" si="4"/>
        <v/>
      </c>
      <c r="X47" s="7">
        <f t="shared" si="5"/>
        <v>2.6583770120675227</v>
      </c>
      <c r="Y47" s="7">
        <f t="shared" si="6"/>
        <v>4.5819015590487373</v>
      </c>
      <c r="Z47" s="7" t="str">
        <f>IF(B47=2017,"",W-16)</f>
        <v/>
      </c>
      <c r="AA47" s="7" t="str">
        <f>IF(B47=2017,"",L-16)</f>
        <v/>
      </c>
      <c r="AB47" s="7" t="str">
        <f>IF(B47=2017,"",M-16)</f>
        <v/>
      </c>
      <c r="AC47" s="7" t="str">
        <f>IF(B47=2017,"",N-16)</f>
        <v/>
      </c>
      <c r="AD47" s="7" t="str">
        <f>IF(B47=2017,"",O-16)</f>
        <v/>
      </c>
      <c r="AE47" s="7" t="str">
        <f>IF(B47=2017,"",X-16)</f>
        <v/>
      </c>
      <c r="AF47" s="7" t="str">
        <f>IF(B47=2017,"",T-16)</f>
        <v/>
      </c>
      <c r="AG47" s="7" t="str">
        <f>IF(B47=2017,"",Y-16)</f>
        <v/>
      </c>
    </row>
    <row r="48" spans="1:33" x14ac:dyDescent="0.25">
      <c r="A48" s="4" t="s">
        <v>134</v>
      </c>
      <c r="B48" s="4">
        <v>2017</v>
      </c>
      <c r="C48" s="4" t="s">
        <v>86</v>
      </c>
      <c r="D48" s="5">
        <f t="shared" si="0"/>
        <v>0</v>
      </c>
      <c r="E48" s="4"/>
      <c r="F48" s="4"/>
      <c r="G48" s="4"/>
      <c r="H48" s="4"/>
      <c r="I48" s="4"/>
      <c r="J48" s="4">
        <v>1218.3</v>
      </c>
      <c r="K48" s="4"/>
      <c r="L48" s="4">
        <v>1.7529999999999999</v>
      </c>
      <c r="M48" s="4">
        <v>31.4</v>
      </c>
      <c r="N48" s="4">
        <v>10.4</v>
      </c>
      <c r="O48" s="4"/>
      <c r="P48" s="4">
        <v>3537.9</v>
      </c>
      <c r="Q48" s="6">
        <f t="shared" si="1"/>
        <v>2.9039645407535093</v>
      </c>
      <c r="R48" s="4">
        <v>15</v>
      </c>
      <c r="S48" s="4">
        <v>1</v>
      </c>
      <c r="T48" s="6">
        <f t="shared" si="2"/>
        <v>1.3133054255930394</v>
      </c>
      <c r="U48" s="4">
        <v>103.7</v>
      </c>
      <c r="V48" s="7" t="str">
        <f t="shared" si="3"/>
        <v/>
      </c>
      <c r="W48" s="7" t="str">
        <f t="shared" si="4"/>
        <v/>
      </c>
      <c r="X48" s="7">
        <f t="shared" si="5"/>
        <v>1.0660768864036723</v>
      </c>
      <c r="Y48" s="7">
        <f t="shared" si="6"/>
        <v>4.6510991178764911</v>
      </c>
      <c r="Z48" s="7" t="str">
        <f>IF(B48=2017,"",W-15)</f>
        <v/>
      </c>
      <c r="AA48" s="7" t="str">
        <f>IF(B48=2017,"",L-15)</f>
        <v/>
      </c>
      <c r="AB48" s="7" t="str">
        <f>IF(B48=2017,"",M-15)</f>
        <v/>
      </c>
      <c r="AC48" s="7" t="str">
        <f>IF(B48=2017,"",N-15)</f>
        <v/>
      </c>
      <c r="AD48" s="7" t="str">
        <f>IF(B48=2017,"",O-15)</f>
        <v/>
      </c>
      <c r="AE48" s="7" t="str">
        <f>IF(B48=2017,"",X-15)</f>
        <v/>
      </c>
      <c r="AF48" s="7" t="str">
        <f>IF(B48=2017,"",T-15)</f>
        <v/>
      </c>
      <c r="AG48" s="7" t="str">
        <f>IF(B48=2017,"",Y-15)</f>
        <v/>
      </c>
    </row>
    <row r="49" spans="1:33" x14ac:dyDescent="0.25">
      <c r="A49" s="4" t="s">
        <v>135</v>
      </c>
      <c r="B49" s="4">
        <v>2017</v>
      </c>
      <c r="C49" s="4" t="s">
        <v>96</v>
      </c>
      <c r="D49" s="5">
        <f t="shared" si="0"/>
        <v>0</v>
      </c>
      <c r="E49" s="4"/>
      <c r="F49" s="4"/>
      <c r="G49" s="4"/>
      <c r="H49" s="4"/>
      <c r="I49" s="4"/>
      <c r="J49" s="4">
        <v>1213.4000000000001</v>
      </c>
      <c r="K49" s="4"/>
      <c r="L49" s="4">
        <v>1.3540000000000001</v>
      </c>
      <c r="M49" s="4">
        <v>13.84</v>
      </c>
      <c r="N49" s="4">
        <v>12.8</v>
      </c>
      <c r="O49" s="4"/>
      <c r="P49" s="4">
        <v>5201.3</v>
      </c>
      <c r="Q49" s="6">
        <f t="shared" si="1"/>
        <v>4.2865501895500246</v>
      </c>
      <c r="R49" s="4">
        <v>4</v>
      </c>
      <c r="S49" s="4">
        <v>0</v>
      </c>
      <c r="T49" s="6">
        <f t="shared" si="2"/>
        <v>0.3296522169111587</v>
      </c>
      <c r="U49" s="4">
        <v>122.1</v>
      </c>
      <c r="V49" s="7" t="str">
        <f t="shared" si="3"/>
        <v/>
      </c>
      <c r="W49" s="7" t="str">
        <f t="shared" si="4"/>
        <v/>
      </c>
      <c r="X49" s="7">
        <f t="shared" si="5"/>
        <v>1.4554822578165285</v>
      </c>
      <c r="Y49" s="7">
        <f t="shared" si="6"/>
        <v>4.8129970331904079</v>
      </c>
      <c r="Z49" s="7" t="str">
        <f>IF(B49=2017,"",W-14)</f>
        <v/>
      </c>
      <c r="AA49" s="7" t="str">
        <f>IF(B49=2017,"",L-14)</f>
        <v/>
      </c>
      <c r="AB49" s="7" t="str">
        <f>IF(B49=2017,"",M-14)</f>
        <v/>
      </c>
      <c r="AC49" s="7" t="str">
        <f>IF(B49=2017,"",N-14)</f>
        <v/>
      </c>
      <c r="AD49" s="7" t="str">
        <f>IF(B49=2017,"",O-14)</f>
        <v/>
      </c>
      <c r="AE49" s="7" t="str">
        <f>IF(B49=2017,"",X-14)</f>
        <v/>
      </c>
      <c r="AF49" s="7" t="str">
        <f>IF(B49=2017,"",T-14)</f>
        <v/>
      </c>
      <c r="AG49" s="7" t="str">
        <f>IF(B49=2017,"",Y-14)</f>
        <v/>
      </c>
    </row>
    <row r="50" spans="1:33" x14ac:dyDescent="0.25">
      <c r="A50" s="4" t="s">
        <v>136</v>
      </c>
      <c r="B50" s="4">
        <v>2017</v>
      </c>
      <c r="C50" s="4" t="s">
        <v>88</v>
      </c>
      <c r="D50" s="5">
        <f t="shared" si="0"/>
        <v>1</v>
      </c>
      <c r="E50" s="4">
        <v>78.599999999999994</v>
      </c>
      <c r="F50" s="4">
        <v>85.5</v>
      </c>
      <c r="G50" s="4">
        <v>72.400000000000006</v>
      </c>
      <c r="H50" s="4">
        <v>77</v>
      </c>
      <c r="I50" s="4">
        <v>80.8</v>
      </c>
      <c r="J50" s="4">
        <v>8649.6</v>
      </c>
      <c r="K50" s="4"/>
      <c r="L50" s="4">
        <v>23.690999999999999</v>
      </c>
      <c r="M50" s="4">
        <v>80.099999999999994</v>
      </c>
      <c r="N50" s="4">
        <v>36.6</v>
      </c>
      <c r="O50" s="4"/>
      <c r="P50" s="4">
        <v>93712.1</v>
      </c>
      <c r="Q50" s="6">
        <f t="shared" si="1"/>
        <v>10.83426979282279</v>
      </c>
      <c r="R50" s="4">
        <v>207</v>
      </c>
      <c r="S50" s="4">
        <v>43</v>
      </c>
      <c r="T50" s="6">
        <f t="shared" si="2"/>
        <v>2.8903070662227153</v>
      </c>
      <c r="U50" s="4">
        <v>5073</v>
      </c>
      <c r="V50" s="7">
        <f t="shared" si="3"/>
        <v>4.3643716994351607</v>
      </c>
      <c r="W50" s="7" t="str">
        <f t="shared" si="4"/>
        <v/>
      </c>
      <c r="X50" s="7">
        <f t="shared" si="5"/>
        <v>2.3827142393460634</v>
      </c>
      <c r="Y50" s="7">
        <f t="shared" si="6"/>
        <v>8.5318847401592279</v>
      </c>
      <c r="Z50" s="7" t="str">
        <f>IF(B50=2017,"",W-13)</f>
        <v/>
      </c>
      <c r="AA50" s="7" t="str">
        <f>IF(B50=2017,"",L-13)</f>
        <v/>
      </c>
      <c r="AB50" s="7" t="str">
        <f>IF(B50=2017,"",M-13)</f>
        <v/>
      </c>
      <c r="AC50" s="7" t="str">
        <f>IF(B50=2017,"",N-13)</f>
        <v/>
      </c>
      <c r="AD50" s="7" t="str">
        <f>IF(B50=2017,"",O-13)</f>
        <v/>
      </c>
      <c r="AE50" s="7" t="str">
        <f>IF(B50=2017,"",X-13)</f>
        <v/>
      </c>
      <c r="AF50" s="7" t="str">
        <f>IF(B50=2017,"",T-13)</f>
        <v/>
      </c>
      <c r="AG50" s="7" t="str">
        <f>IF(B50=2017,"",Y-13)</f>
        <v/>
      </c>
    </row>
    <row r="51" spans="1:33" x14ac:dyDescent="0.25">
      <c r="A51" s="4" t="s">
        <v>137</v>
      </c>
      <c r="B51" s="4">
        <v>2017</v>
      </c>
      <c r="C51" s="4" t="s">
        <v>92</v>
      </c>
      <c r="D51" s="5">
        <f t="shared" si="0"/>
        <v>0</v>
      </c>
      <c r="E51" s="4">
        <v>29.5</v>
      </c>
      <c r="F51" s="4">
        <v>14.1</v>
      </c>
      <c r="G51" s="4">
        <v>35</v>
      </c>
      <c r="H51" s="4">
        <v>27</v>
      </c>
      <c r="I51" s="4">
        <v>67</v>
      </c>
      <c r="J51" s="4">
        <v>3603.7</v>
      </c>
      <c r="K51" s="4"/>
      <c r="L51" s="4">
        <v>2.6520000000000001</v>
      </c>
      <c r="M51" s="4">
        <v>13.9</v>
      </c>
      <c r="N51" s="4">
        <v>19.899999999999999</v>
      </c>
      <c r="O51" s="4"/>
      <c r="P51" s="4">
        <v>46677.2</v>
      </c>
      <c r="Q51" s="6">
        <f t="shared" si="1"/>
        <v>12.952576518578129</v>
      </c>
      <c r="R51" s="4">
        <v>16</v>
      </c>
      <c r="S51" s="4">
        <v>1</v>
      </c>
      <c r="T51" s="6">
        <f t="shared" si="2"/>
        <v>0.47173738102505763</v>
      </c>
      <c r="U51" s="4">
        <v>3834.7</v>
      </c>
      <c r="V51" s="7">
        <f t="shared" si="3"/>
        <v>3.3843902633457743</v>
      </c>
      <c r="W51" s="7" t="str">
        <f t="shared" si="4"/>
        <v/>
      </c>
      <c r="X51" s="7">
        <f t="shared" si="5"/>
        <v>2.5612947273193991</v>
      </c>
      <c r="Y51" s="7">
        <f t="shared" si="6"/>
        <v>8.2521072264799766</v>
      </c>
      <c r="Z51" s="7" t="str">
        <f>IF(B51=2017,"",W-12)</f>
        <v/>
      </c>
      <c r="AA51" s="7" t="str">
        <f>IF(B51=2017,"",L-12)</f>
        <v/>
      </c>
      <c r="AB51" s="7" t="str">
        <f>IF(B51=2017,"",M-12)</f>
        <v/>
      </c>
      <c r="AC51" s="7" t="str">
        <f>IF(B51=2017,"",N-12)</f>
        <v/>
      </c>
      <c r="AD51" s="7" t="str">
        <f>IF(B51=2017,"",O-12)</f>
        <v/>
      </c>
      <c r="AE51" s="7" t="str">
        <f>IF(B51=2017,"",X-12)</f>
        <v/>
      </c>
      <c r="AF51" s="7" t="str">
        <f>IF(B51=2017,"",T-12)</f>
        <v/>
      </c>
      <c r="AG51" s="7" t="str">
        <f>IF(B51=2017,"",Y-12)</f>
        <v/>
      </c>
    </row>
    <row r="52" spans="1:33" x14ac:dyDescent="0.25">
      <c r="A52" s="4" t="s">
        <v>138</v>
      </c>
      <c r="B52" s="4">
        <v>2017</v>
      </c>
      <c r="C52" s="4" t="s">
        <v>99</v>
      </c>
      <c r="D52" s="5">
        <f t="shared" si="0"/>
        <v>1</v>
      </c>
      <c r="E52" s="4">
        <v>28.3</v>
      </c>
      <c r="F52" s="4">
        <v>15.8</v>
      </c>
      <c r="G52" s="4">
        <v>41.2</v>
      </c>
      <c r="H52" s="4">
        <v>15.2</v>
      </c>
      <c r="I52" s="4">
        <v>66.099999999999994</v>
      </c>
      <c r="J52" s="4">
        <v>1846.1</v>
      </c>
      <c r="K52" s="4"/>
      <c r="L52" s="4">
        <v>2.427</v>
      </c>
      <c r="M52" s="4">
        <v>10.4</v>
      </c>
      <c r="N52" s="4">
        <v>15.5</v>
      </c>
      <c r="O52" s="4"/>
      <c r="P52" s="4">
        <v>8244.4</v>
      </c>
      <c r="Q52" s="6">
        <f t="shared" si="1"/>
        <v>4.4658469205351823</v>
      </c>
      <c r="R52" s="4">
        <v>10</v>
      </c>
      <c r="S52" s="4">
        <v>1</v>
      </c>
      <c r="T52" s="6">
        <f t="shared" si="2"/>
        <v>0.59585071231244247</v>
      </c>
      <c r="U52" s="4">
        <v>328.1</v>
      </c>
      <c r="V52" s="7">
        <f t="shared" si="3"/>
        <v>3.3428618046491918</v>
      </c>
      <c r="W52" s="7" t="str">
        <f t="shared" si="4"/>
        <v/>
      </c>
      <c r="X52" s="7">
        <f t="shared" si="5"/>
        <v>1.4964588761926185</v>
      </c>
      <c r="Y52" s="7">
        <f t="shared" si="6"/>
        <v>5.7963616559492941</v>
      </c>
      <c r="Z52" s="7" t="str">
        <f>IF(B52=2017,"",W-11)</f>
        <v/>
      </c>
      <c r="AA52" s="7" t="str">
        <f>IF(B52=2017,"",L-11)</f>
        <v/>
      </c>
      <c r="AB52" s="7" t="str">
        <f>IF(B52=2017,"",M-11)</f>
        <v/>
      </c>
      <c r="AC52" s="7" t="str">
        <f>IF(B52=2017,"",N-11)</f>
        <v/>
      </c>
      <c r="AD52" s="7" t="str">
        <f>IF(B52=2017,"",O-11)</f>
        <v/>
      </c>
      <c r="AE52" s="7" t="str">
        <f>IF(B52=2017,"",X-11)</f>
        <v/>
      </c>
      <c r="AF52" s="7" t="str">
        <f>IF(B52=2017,"",T-11)</f>
        <v/>
      </c>
      <c r="AG52" s="7" t="str">
        <f>IF(B52=2017,"",Y-11)</f>
        <v/>
      </c>
    </row>
    <row r="53" spans="1:33" x14ac:dyDescent="0.25">
      <c r="A53" s="4" t="s">
        <v>139</v>
      </c>
      <c r="B53" s="4">
        <v>2017</v>
      </c>
      <c r="C53" s="4" t="s">
        <v>96</v>
      </c>
      <c r="D53" s="5">
        <f t="shared" si="0"/>
        <v>0</v>
      </c>
      <c r="E53" s="4">
        <v>25.2</v>
      </c>
      <c r="F53" s="4">
        <v>10.4</v>
      </c>
      <c r="G53" s="4">
        <v>33.4</v>
      </c>
      <c r="H53" s="4">
        <v>20</v>
      </c>
      <c r="I53" s="4">
        <v>60.3</v>
      </c>
      <c r="J53" s="4">
        <v>1256.0999999999999</v>
      </c>
      <c r="K53" s="4"/>
      <c r="L53" s="4">
        <v>3.22</v>
      </c>
      <c r="M53" s="4">
        <v>31.8</v>
      </c>
      <c r="N53" s="4">
        <v>26</v>
      </c>
      <c r="O53" s="4"/>
      <c r="P53" s="4">
        <v>30094.6</v>
      </c>
      <c r="Q53" s="6">
        <f t="shared" si="1"/>
        <v>23.958761245123796</v>
      </c>
      <c r="R53" s="4">
        <v>25</v>
      </c>
      <c r="S53" s="4">
        <v>5</v>
      </c>
      <c r="T53" s="6">
        <f t="shared" si="2"/>
        <v>2.3883448770002391</v>
      </c>
      <c r="U53" s="4">
        <v>5836.6</v>
      </c>
      <c r="V53" s="7">
        <f t="shared" si="3"/>
        <v>3.2268439945173775</v>
      </c>
      <c r="W53" s="7" t="str">
        <f t="shared" si="4"/>
        <v/>
      </c>
      <c r="X53" s="7">
        <f t="shared" si="5"/>
        <v>3.1763340709559418</v>
      </c>
      <c r="Y53" s="7">
        <f t="shared" si="6"/>
        <v>8.67207503245141</v>
      </c>
      <c r="Z53" s="7" t="str">
        <f>IF(B53=2017,"",W-10)</f>
        <v/>
      </c>
      <c r="AA53" s="7" t="str">
        <f>IF(B53=2017,"",L-10)</f>
        <v/>
      </c>
      <c r="AB53" s="7" t="str">
        <f>IF(B53=2017,"",M-10)</f>
        <v/>
      </c>
      <c r="AC53" s="7" t="str">
        <f>IF(B53=2017,"",N-10)</f>
        <v/>
      </c>
      <c r="AD53" s="7" t="str">
        <f>IF(B53=2017,"",O-10)</f>
        <v/>
      </c>
      <c r="AE53" s="7" t="str">
        <f>IF(B53=2017,"",X-10)</f>
        <v/>
      </c>
      <c r="AF53" s="7" t="str">
        <f>IF(B53=2017,"",T-10)</f>
        <v/>
      </c>
      <c r="AG53" s="7" t="str">
        <f>IF(B53=2017,"",Y-10)</f>
        <v/>
      </c>
    </row>
    <row r="54" spans="1:33" x14ac:dyDescent="0.25">
      <c r="A54" s="4" t="s">
        <v>140</v>
      </c>
      <c r="B54" s="4">
        <v>2017</v>
      </c>
      <c r="C54" s="4" t="s">
        <v>92</v>
      </c>
      <c r="D54" s="5">
        <f t="shared" si="0"/>
        <v>0</v>
      </c>
      <c r="E54" s="4">
        <v>32.299999999999997</v>
      </c>
      <c r="F54" s="4">
        <v>14.9</v>
      </c>
      <c r="G54" s="4">
        <v>43.2</v>
      </c>
      <c r="H54" s="4">
        <v>27.7</v>
      </c>
      <c r="I54" s="4">
        <v>65.599999999999994</v>
      </c>
      <c r="J54" s="4">
        <v>1123.4000000000001</v>
      </c>
      <c r="K54" s="4"/>
      <c r="L54" s="4">
        <v>3.7029999999999998</v>
      </c>
      <c r="M54" s="4">
        <v>48.81</v>
      </c>
      <c r="N54" s="4">
        <v>24.3</v>
      </c>
      <c r="O54" s="4"/>
      <c r="P54" s="4"/>
      <c r="Q54" s="6" t="str">
        <f t="shared" si="1"/>
        <v/>
      </c>
      <c r="R54" s="4">
        <v>0</v>
      </c>
      <c r="S54" s="4">
        <v>0</v>
      </c>
      <c r="T54" s="6">
        <f t="shared" si="2"/>
        <v>0</v>
      </c>
      <c r="U54" s="4">
        <v>2120.6</v>
      </c>
      <c r="V54" s="7">
        <f t="shared" si="3"/>
        <v>3.475067230228611</v>
      </c>
      <c r="W54" s="7" t="str">
        <f t="shared" si="4"/>
        <v/>
      </c>
      <c r="X54" s="7" t="str">
        <f t="shared" si="5"/>
        <v/>
      </c>
      <c r="Y54" s="7">
        <f t="shared" si="6"/>
        <v>7.6599257999915435</v>
      </c>
      <c r="Z54" s="7" t="str">
        <f>IF(B54=2017,"",W-9)</f>
        <v/>
      </c>
      <c r="AA54" s="7" t="str">
        <f>IF(B54=2017,"",L-9)</f>
        <v/>
      </c>
      <c r="AB54" s="7" t="str">
        <f>IF(B54=2017,"",M-9)</f>
        <v/>
      </c>
      <c r="AC54" s="7" t="str">
        <f>IF(B54=2017,"",N-9)</f>
        <v/>
      </c>
      <c r="AD54" s="7" t="str">
        <f>IF(B54=2017,"",O-9)</f>
        <v/>
      </c>
      <c r="AE54" s="7" t="str">
        <f>IF(B54=2017,"",X-9)</f>
        <v/>
      </c>
      <c r="AF54" s="7" t="str">
        <f>IF(B54=2017,"",T-9)</f>
        <v/>
      </c>
      <c r="AG54" s="7" t="str">
        <f>IF(B54=2017,"",Y-9)</f>
        <v/>
      </c>
    </row>
    <row r="55" spans="1:33" x14ac:dyDescent="0.25">
      <c r="A55" s="4" t="s">
        <v>141</v>
      </c>
      <c r="B55" s="4">
        <v>2017</v>
      </c>
      <c r="C55" s="4" t="s">
        <v>86</v>
      </c>
      <c r="D55" s="5">
        <f t="shared" si="0"/>
        <v>0</v>
      </c>
      <c r="E55" s="4">
        <v>27</v>
      </c>
      <c r="F55" s="4">
        <v>12</v>
      </c>
      <c r="G55" s="4">
        <v>36</v>
      </c>
      <c r="H55" s="4">
        <v>20.399999999999999</v>
      </c>
      <c r="I55" s="4">
        <v>65</v>
      </c>
      <c r="J55" s="4">
        <v>1751.8</v>
      </c>
      <c r="K55" s="4"/>
      <c r="L55" s="4">
        <v>2.3780000000000001</v>
      </c>
      <c r="M55" s="4">
        <v>14</v>
      </c>
      <c r="N55" s="4">
        <v>10.199999999999999</v>
      </c>
      <c r="O55" s="4"/>
      <c r="P55" s="4">
        <v>4640.3</v>
      </c>
      <c r="Q55" s="6">
        <f t="shared" si="1"/>
        <v>2.648875442402101</v>
      </c>
      <c r="R55" s="4">
        <v>9</v>
      </c>
      <c r="S55" s="4">
        <v>0</v>
      </c>
      <c r="T55" s="6">
        <f t="shared" si="2"/>
        <v>0.51375727822810824</v>
      </c>
      <c r="U55" s="4">
        <v>1256.8</v>
      </c>
      <c r="V55" s="7">
        <f t="shared" si="3"/>
        <v>3.2958368660043291</v>
      </c>
      <c r="W55" s="7" t="str">
        <f t="shared" si="4"/>
        <v/>
      </c>
      <c r="X55" s="7">
        <f t="shared" si="5"/>
        <v>0.97413518857367065</v>
      </c>
      <c r="Y55" s="7">
        <f t="shared" si="6"/>
        <v>7.1371194421094026</v>
      </c>
      <c r="Z55" s="7" t="str">
        <f>IF(B55=2017,"",W-8)</f>
        <v/>
      </c>
      <c r="AA55" s="7" t="str">
        <f>IF(B55=2017,"",L-8)</f>
        <v/>
      </c>
      <c r="AB55" s="7" t="str">
        <f>IF(B55=2017,"",M-8)</f>
        <v/>
      </c>
      <c r="AC55" s="7" t="str">
        <f>IF(B55=2017,"",N-8)</f>
        <v/>
      </c>
      <c r="AD55" s="7" t="str">
        <f>IF(B55=2017,"",O-8)</f>
        <v/>
      </c>
      <c r="AE55" s="7" t="str">
        <f>IF(B55=2017,"",X-8)</f>
        <v/>
      </c>
      <c r="AF55" s="7" t="str">
        <f>IF(B55=2017,"",T-8)</f>
        <v/>
      </c>
      <c r="AG55" s="7" t="str">
        <f>IF(B55=2017,"",Y-8)</f>
        <v/>
      </c>
    </row>
    <row r="56" spans="1:33" x14ac:dyDescent="0.25">
      <c r="A56" s="4" t="s">
        <v>142</v>
      </c>
      <c r="B56" s="4">
        <v>2017</v>
      </c>
      <c r="C56" s="4" t="s">
        <v>86</v>
      </c>
      <c r="D56" s="5">
        <f t="shared" si="0"/>
        <v>0</v>
      </c>
      <c r="E56" s="4">
        <v>26</v>
      </c>
      <c r="F56" s="4">
        <v>12.7</v>
      </c>
      <c r="G56" s="4">
        <v>37.799999999999997</v>
      </c>
      <c r="H56" s="4">
        <v>16.399999999999999</v>
      </c>
      <c r="I56" s="4">
        <v>58.8</v>
      </c>
      <c r="J56" s="4">
        <v>1008.1</v>
      </c>
      <c r="K56" s="4"/>
      <c r="L56" s="4">
        <v>1.7509999999999999</v>
      </c>
      <c r="M56" s="4">
        <v>16.84</v>
      </c>
      <c r="N56" s="4">
        <v>12.1</v>
      </c>
      <c r="O56" s="4"/>
      <c r="P56" s="4">
        <v>4560.6000000000004</v>
      </c>
      <c r="Q56" s="6">
        <f t="shared" si="1"/>
        <v>4.5239559567503225</v>
      </c>
      <c r="R56" s="4">
        <v>5</v>
      </c>
      <c r="S56" s="4">
        <v>1</v>
      </c>
      <c r="T56" s="6">
        <f t="shared" si="2"/>
        <v>0.59517904969745061</v>
      </c>
      <c r="U56" s="4">
        <v>3055.7</v>
      </c>
      <c r="V56" s="7">
        <f t="shared" si="3"/>
        <v>3.2580965380214821</v>
      </c>
      <c r="W56" s="7" t="str">
        <f t="shared" si="4"/>
        <v/>
      </c>
      <c r="X56" s="7">
        <f t="shared" si="5"/>
        <v>1.5093868227401539</v>
      </c>
      <c r="Y56" s="7">
        <f t="shared" si="6"/>
        <v>8.0250911816483494</v>
      </c>
      <c r="Z56" s="7" t="str">
        <f>IF(B56=2017,"",W-7)</f>
        <v/>
      </c>
      <c r="AA56" s="7" t="str">
        <f>IF(B56=2017,"",L-7)</f>
        <v/>
      </c>
      <c r="AB56" s="7" t="str">
        <f>IF(B56=2017,"",M-7)</f>
        <v/>
      </c>
      <c r="AC56" s="7" t="str">
        <f>IF(B56=2017,"",N-7)</f>
        <v/>
      </c>
      <c r="AD56" s="7" t="str">
        <f>IF(B56=2017,"",O-7)</f>
        <v/>
      </c>
      <c r="AE56" s="7" t="str">
        <f>IF(B56=2017,"",X-7)</f>
        <v/>
      </c>
      <c r="AF56" s="7" t="str">
        <f>IF(B56=2017,"",T-7)</f>
        <v/>
      </c>
      <c r="AG56" s="7" t="str">
        <f>IF(B56=2017,"",Y-7)</f>
        <v/>
      </c>
    </row>
    <row r="57" spans="1:33" x14ac:dyDescent="0.25">
      <c r="A57" s="4" t="s">
        <v>143</v>
      </c>
      <c r="B57" s="4">
        <v>2017</v>
      </c>
      <c r="C57" s="4" t="s">
        <v>96</v>
      </c>
      <c r="D57" s="5">
        <f t="shared" si="0"/>
        <v>0</v>
      </c>
      <c r="E57" s="4">
        <v>23.2</v>
      </c>
      <c r="F57" s="4">
        <v>12.1</v>
      </c>
      <c r="G57" s="4">
        <v>31.6</v>
      </c>
      <c r="H57" s="4">
        <v>13.9</v>
      </c>
      <c r="I57" s="4">
        <v>59.6</v>
      </c>
      <c r="J57" s="4">
        <v>770.5</v>
      </c>
      <c r="K57" s="4"/>
      <c r="L57" s="4">
        <v>1.516</v>
      </c>
      <c r="M57" s="4">
        <v>13.65</v>
      </c>
      <c r="N57" s="4">
        <v>16.100000000000001</v>
      </c>
      <c r="O57" s="4"/>
      <c r="P57" s="4">
        <v>10439.6</v>
      </c>
      <c r="Q57" s="6">
        <f t="shared" si="1"/>
        <v>13.549123945489942</v>
      </c>
      <c r="R57" s="4">
        <v>8</v>
      </c>
      <c r="S57" s="4">
        <v>1</v>
      </c>
      <c r="T57" s="6">
        <f t="shared" si="2"/>
        <v>1.1680726800778716</v>
      </c>
      <c r="U57" s="4">
        <v>210</v>
      </c>
      <c r="V57" s="7">
        <f t="shared" si="3"/>
        <v>3.1441522786722644</v>
      </c>
      <c r="W57" s="7" t="str">
        <f t="shared" si="4"/>
        <v/>
      </c>
      <c r="X57" s="7">
        <f t="shared" si="5"/>
        <v>2.6063218917662074</v>
      </c>
      <c r="Y57" s="7">
        <f t="shared" si="6"/>
        <v>5.3518581334760666</v>
      </c>
      <c r="Z57" s="7" t="str">
        <f>IF(B57=2017,"",W-6)</f>
        <v/>
      </c>
      <c r="AA57" s="7" t="str">
        <f>IF(B57=2017,"",L-6)</f>
        <v/>
      </c>
      <c r="AB57" s="7" t="str">
        <f>IF(B57=2017,"",M-6)</f>
        <v/>
      </c>
      <c r="AC57" s="7" t="str">
        <f>IF(B57=2017,"",N-6)</f>
        <v/>
      </c>
      <c r="AD57" s="7" t="str">
        <f>IF(B57=2017,"",O-6)</f>
        <v/>
      </c>
      <c r="AE57" s="7" t="str">
        <f>IF(B57=2017,"",X-6)</f>
        <v/>
      </c>
      <c r="AF57" s="7" t="str">
        <f>IF(B57=2017,"",T-6)</f>
        <v/>
      </c>
      <c r="AG57" s="7" t="str">
        <f>IF(B57=2017,"",Y-6)</f>
        <v/>
      </c>
    </row>
    <row r="58" spans="1:33" x14ac:dyDescent="0.25">
      <c r="A58" s="4" t="s">
        <v>144</v>
      </c>
      <c r="B58" s="4">
        <v>2017</v>
      </c>
      <c r="C58" s="4" t="s">
        <v>88</v>
      </c>
      <c r="D58" s="5">
        <f t="shared" si="0"/>
        <v>1</v>
      </c>
      <c r="E58" s="4">
        <v>30.8</v>
      </c>
      <c r="F58" s="4">
        <v>12.7</v>
      </c>
      <c r="G58" s="4">
        <v>45.6</v>
      </c>
      <c r="H58" s="4">
        <v>21.8</v>
      </c>
      <c r="I58" s="4">
        <v>67.400000000000006</v>
      </c>
      <c r="J58" s="4">
        <v>1151.0999999999999</v>
      </c>
      <c r="K58" s="4"/>
      <c r="L58" s="4">
        <v>3.1840000000000002</v>
      </c>
      <c r="M58" s="4">
        <v>18.03</v>
      </c>
      <c r="N58" s="4">
        <v>14.1</v>
      </c>
      <c r="O58" s="4"/>
      <c r="P58" s="4">
        <v>13290.6</v>
      </c>
      <c r="Q58" s="6">
        <f t="shared" si="1"/>
        <v>11.545999478759448</v>
      </c>
      <c r="R58" s="4">
        <v>5</v>
      </c>
      <c r="S58" s="4">
        <v>1</v>
      </c>
      <c r="T58" s="6">
        <f t="shared" si="2"/>
        <v>0.52124055251498569</v>
      </c>
      <c r="U58" s="4">
        <v>4388.8999999999996</v>
      </c>
      <c r="V58" s="7">
        <f t="shared" si="3"/>
        <v>3.427514689979529</v>
      </c>
      <c r="W58" s="7" t="str">
        <f t="shared" si="4"/>
        <v/>
      </c>
      <c r="X58" s="7">
        <f t="shared" si="5"/>
        <v>2.4463390114940542</v>
      </c>
      <c r="Y58" s="7">
        <f t="shared" si="6"/>
        <v>8.3870617267664898</v>
      </c>
      <c r="Z58" s="7" t="str">
        <f>IF(B58=2017,"",W-5)</f>
        <v/>
      </c>
      <c r="AA58" s="7" t="str">
        <f>IF(B58=2017,"",L-5)</f>
        <v/>
      </c>
      <c r="AB58" s="7" t="str">
        <f>IF(B58=2017,"",M-5)</f>
        <v/>
      </c>
      <c r="AC58" s="7" t="str">
        <f>IF(B58=2017,"",N-5)</f>
        <v/>
      </c>
      <c r="AD58" s="7" t="str">
        <f>IF(B58=2017,"",O-5)</f>
        <v/>
      </c>
      <c r="AE58" s="7" t="str">
        <f>IF(B58=2017,"",X-5)</f>
        <v/>
      </c>
      <c r="AF58" s="7" t="str">
        <f>IF(B58=2017,"",T-5)</f>
        <v/>
      </c>
      <c r="AG58" s="7" t="str">
        <f>IF(B58=2017,"",Y-5)</f>
        <v/>
      </c>
    </row>
    <row r="59" spans="1:33" x14ac:dyDescent="0.25">
      <c r="A59" s="4" t="s">
        <v>145</v>
      </c>
      <c r="B59" s="4">
        <v>2017</v>
      </c>
      <c r="C59" s="4" t="s">
        <v>86</v>
      </c>
      <c r="D59" s="5">
        <f t="shared" si="0"/>
        <v>0</v>
      </c>
      <c r="E59" s="4"/>
      <c r="F59" s="4"/>
      <c r="G59" s="4"/>
      <c r="H59" s="4"/>
      <c r="I59" s="4"/>
      <c r="J59" s="4">
        <v>1022.6</v>
      </c>
      <c r="K59" s="4"/>
      <c r="L59" s="4">
        <v>2.3660000000000001</v>
      </c>
      <c r="M59" s="4">
        <v>16.57</v>
      </c>
      <c r="N59" s="4">
        <v>15.7</v>
      </c>
      <c r="O59" s="4"/>
      <c r="P59" s="4">
        <v>1219.7</v>
      </c>
      <c r="Q59" s="6">
        <f t="shared" si="1"/>
        <v>1.1927439859182476</v>
      </c>
      <c r="R59" s="4">
        <v>8</v>
      </c>
      <c r="S59" s="4">
        <v>1</v>
      </c>
      <c r="T59" s="6">
        <f t="shared" si="2"/>
        <v>0.88010952474085657</v>
      </c>
      <c r="U59" s="4">
        <v>540.4</v>
      </c>
      <c r="V59" s="7" t="str">
        <f t="shared" si="3"/>
        <v/>
      </c>
      <c r="W59" s="7" t="str">
        <f t="shared" si="4"/>
        <v/>
      </c>
      <c r="X59" s="7">
        <f t="shared" si="5"/>
        <v>0.17625652320329371</v>
      </c>
      <c r="Y59" s="7">
        <f t="shared" si="6"/>
        <v>6.2941583771802003</v>
      </c>
      <c r="Z59" s="7" t="str">
        <f>IF(B59=2017,"",W-4)</f>
        <v/>
      </c>
      <c r="AA59" s="7" t="str">
        <f>IF(B59=2017,"",L-4)</f>
        <v/>
      </c>
      <c r="AB59" s="7" t="str">
        <f>IF(B59=2017,"",M-4)</f>
        <v/>
      </c>
      <c r="AC59" s="7" t="str">
        <f>IF(B59=2017,"",N-4)</f>
        <v/>
      </c>
      <c r="AD59" s="7" t="str">
        <f>IF(B59=2017,"",O-4)</f>
        <v/>
      </c>
      <c r="AE59" s="7" t="str">
        <f>IF(B59=2017,"",X-4)</f>
        <v/>
      </c>
      <c r="AF59" s="7" t="str">
        <f>IF(B59=2017,"",T-4)</f>
        <v/>
      </c>
      <c r="AG59" s="7" t="str">
        <f>IF(B59=2017,"",Y-4)</f>
        <v/>
      </c>
    </row>
    <row r="60" spans="1:33" x14ac:dyDescent="0.25">
      <c r="A60" s="4" t="s">
        <v>146</v>
      </c>
      <c r="B60" s="4">
        <v>2017</v>
      </c>
      <c r="C60" s="4" t="s">
        <v>99</v>
      </c>
      <c r="D60" s="5">
        <f t="shared" si="0"/>
        <v>1</v>
      </c>
      <c r="E60" s="4">
        <v>33.5</v>
      </c>
      <c r="F60" s="4">
        <v>15.3</v>
      </c>
      <c r="G60" s="4">
        <v>49.8</v>
      </c>
      <c r="H60" s="4">
        <v>22.6</v>
      </c>
      <c r="I60" s="4">
        <v>72</v>
      </c>
      <c r="J60" s="4">
        <v>1123.0999999999999</v>
      </c>
      <c r="K60" s="4"/>
      <c r="L60" s="4">
        <v>5.0519999999999996</v>
      </c>
      <c r="M60" s="4">
        <v>23.3</v>
      </c>
      <c r="N60" s="4">
        <v>22.1</v>
      </c>
      <c r="O60" s="4"/>
      <c r="P60" s="4">
        <v>18714</v>
      </c>
      <c r="Q60" s="6">
        <f t="shared" si="1"/>
        <v>16.662808298459623</v>
      </c>
      <c r="R60" s="4">
        <v>7</v>
      </c>
      <c r="S60" s="4">
        <v>2</v>
      </c>
      <c r="T60" s="6">
        <f t="shared" si="2"/>
        <v>0.80135339684800999</v>
      </c>
      <c r="U60" s="4">
        <v>3595.5</v>
      </c>
      <c r="V60" s="7">
        <f t="shared" si="3"/>
        <v>3.5115454388310208</v>
      </c>
      <c r="W60" s="7" t="str">
        <f t="shared" si="4"/>
        <v/>
      </c>
      <c r="X60" s="7">
        <f t="shared" si="5"/>
        <v>2.8131791878668682</v>
      </c>
      <c r="Y60" s="7">
        <f t="shared" si="6"/>
        <v>8.1877164293074109</v>
      </c>
      <c r="Z60" s="7" t="str">
        <f>IF(B60=2017,"",W-3)</f>
        <v/>
      </c>
      <c r="AA60" s="7" t="str">
        <f>IF(B60=2017,"",L-3)</f>
        <v/>
      </c>
      <c r="AB60" s="7" t="str">
        <f>IF(B60=2017,"",M-3)</f>
        <v/>
      </c>
      <c r="AC60" s="7" t="str">
        <f>IF(B60=2017,"",N-3)</f>
        <v/>
      </c>
      <c r="AD60" s="7" t="str">
        <f>IF(B60=2017,"",O-3)</f>
        <v/>
      </c>
      <c r="AE60" s="7" t="str">
        <f>IF(B60=2017,"",X-3)</f>
        <v/>
      </c>
      <c r="AF60" s="7" t="str">
        <f>IF(B60=2017,"",T-3)</f>
        <v/>
      </c>
      <c r="AG60" s="7" t="str">
        <f>IF(B60=2017,"",Y-3)</f>
        <v/>
      </c>
    </row>
    <row r="61" spans="1:33" x14ac:dyDescent="0.25">
      <c r="A61" s="4" t="s">
        <v>147</v>
      </c>
      <c r="B61" s="4">
        <v>2017</v>
      </c>
      <c r="C61" s="4" t="s">
        <v>96</v>
      </c>
      <c r="D61" s="5">
        <f t="shared" si="0"/>
        <v>0</v>
      </c>
      <c r="E61" s="4">
        <v>23.7</v>
      </c>
      <c r="F61" s="4">
        <v>11.5</v>
      </c>
      <c r="G61" s="4">
        <v>31.8</v>
      </c>
      <c r="H61" s="4">
        <v>19</v>
      </c>
      <c r="I61" s="4">
        <v>50</v>
      </c>
      <c r="J61" s="4">
        <v>807.3</v>
      </c>
      <c r="K61" s="4"/>
      <c r="L61" s="4">
        <v>1.7629999999999999</v>
      </c>
      <c r="M61" s="4">
        <v>19.88</v>
      </c>
      <c r="N61" s="4">
        <v>16.600000000000001</v>
      </c>
      <c r="O61" s="4"/>
      <c r="P61" s="4">
        <v>9326.9</v>
      </c>
      <c r="Q61" s="6">
        <f t="shared" si="1"/>
        <v>11.5532020314629</v>
      </c>
      <c r="R61" s="4">
        <v>3</v>
      </c>
      <c r="S61" s="4">
        <v>1</v>
      </c>
      <c r="T61" s="6">
        <f t="shared" si="2"/>
        <v>0.49547875634832161</v>
      </c>
      <c r="U61" s="4">
        <v>539.79999999999995</v>
      </c>
      <c r="V61" s="7">
        <f t="shared" si="3"/>
        <v>3.1654750481410856</v>
      </c>
      <c r="W61" s="7" t="str">
        <f t="shared" si="4"/>
        <v/>
      </c>
      <c r="X61" s="7">
        <f t="shared" si="5"/>
        <v>2.446962630707358</v>
      </c>
      <c r="Y61" s="7">
        <f t="shared" si="6"/>
        <v>6.2930495247287546</v>
      </c>
      <c r="Z61" s="7" t="str">
        <f>IF(B61=2017,"",W-2)</f>
        <v/>
      </c>
      <c r="AA61" s="7" t="str">
        <f>IF(B61=2017,"",L-2)</f>
        <v/>
      </c>
      <c r="AB61" s="7" t="str">
        <f>IF(B61=2017,"",M-2)</f>
        <v/>
      </c>
      <c r="AC61" s="7" t="str">
        <f>IF(B61=2017,"",N-2)</f>
        <v/>
      </c>
      <c r="AD61" s="7" t="str">
        <f>IF(B61=2017,"",O-2)</f>
        <v/>
      </c>
      <c r="AE61" s="7" t="str">
        <f>IF(B61=2017,"",X-2)</f>
        <v/>
      </c>
      <c r="AF61" s="7" t="str">
        <f>IF(B61=2017,"",T-2)</f>
        <v/>
      </c>
      <c r="AG61" s="7" t="str">
        <f>IF(B61=2017,"",Y-2)</f>
        <v/>
      </c>
    </row>
    <row r="62" spans="1:33" x14ac:dyDescent="0.25">
      <c r="A62" s="4" t="s">
        <v>148</v>
      </c>
      <c r="B62" s="4">
        <v>2017</v>
      </c>
      <c r="C62" s="4" t="s">
        <v>96</v>
      </c>
      <c r="D62" s="5">
        <f t="shared" si="0"/>
        <v>0</v>
      </c>
      <c r="E62" s="4"/>
      <c r="F62" s="4"/>
      <c r="G62" s="4"/>
      <c r="H62" s="4"/>
      <c r="I62" s="4"/>
      <c r="J62" s="4">
        <v>579.4</v>
      </c>
      <c r="K62" s="4"/>
      <c r="L62" s="4">
        <v>1.7430000000000001</v>
      </c>
      <c r="M62" s="4">
        <v>14.45</v>
      </c>
      <c r="N62" s="4">
        <v>21</v>
      </c>
      <c r="O62" s="4"/>
      <c r="P62" s="4">
        <v>1544.3</v>
      </c>
      <c r="Q62" s="6">
        <f t="shared" si="1"/>
        <v>2.6653434587504314</v>
      </c>
      <c r="R62" s="4">
        <v>1</v>
      </c>
      <c r="S62" s="4">
        <v>2</v>
      </c>
      <c r="T62" s="6">
        <f t="shared" si="2"/>
        <v>0.5177770107007249</v>
      </c>
      <c r="U62" s="4">
        <v>5.2</v>
      </c>
      <c r="V62" s="7" t="str">
        <f t="shared" si="3"/>
        <v/>
      </c>
      <c r="W62" s="7" t="str">
        <f t="shared" si="4"/>
        <v/>
      </c>
      <c r="X62" s="7">
        <f t="shared" si="5"/>
        <v>0.98033292689370521</v>
      </c>
      <c r="Y62" s="7">
        <f t="shared" si="6"/>
        <v>1.824549292051046</v>
      </c>
      <c r="Z62" s="7" t="str">
        <f>IF(B62=2017,"",W-1)</f>
        <v/>
      </c>
      <c r="AA62" s="7" t="str">
        <f>IF(B62=2017,"",L-1)</f>
        <v/>
      </c>
      <c r="AB62" s="7" t="str">
        <f>IF(B62=2017,"",M-1)</f>
        <v/>
      </c>
      <c r="AC62" s="7" t="str">
        <f>IF(B62=2017,"",N-1)</f>
        <v/>
      </c>
      <c r="AD62" s="7" t="str">
        <f>IF(B62=2017,"",O-1)</f>
        <v/>
      </c>
      <c r="AE62" s="7" t="str">
        <f>IF(B62=2017,"",X-1)</f>
        <v/>
      </c>
      <c r="AF62" s="7" t="str">
        <f>IF(B62=2017,"",T-1)</f>
        <v/>
      </c>
      <c r="AG62" s="7" t="str">
        <f>IF(B62=2017,"",Y-1)</f>
        <v/>
      </c>
    </row>
    <row r="63" spans="1:33" x14ac:dyDescent="0.25">
      <c r="A63" s="4" t="s">
        <v>149</v>
      </c>
      <c r="B63" s="4">
        <v>2017</v>
      </c>
      <c r="C63" s="4" t="s">
        <v>92</v>
      </c>
      <c r="D63" s="5">
        <f t="shared" si="0"/>
        <v>0</v>
      </c>
      <c r="E63" s="4">
        <v>52.8</v>
      </c>
      <c r="F63" s="4">
        <v>37.9</v>
      </c>
      <c r="G63" s="4">
        <v>60.6</v>
      </c>
      <c r="H63" s="4">
        <v>50.4</v>
      </c>
      <c r="I63" s="4">
        <v>81</v>
      </c>
      <c r="J63" s="4">
        <v>1097.8</v>
      </c>
      <c r="K63" s="4"/>
      <c r="L63" s="4">
        <v>16.776</v>
      </c>
      <c r="M63" s="4">
        <v>87.09</v>
      </c>
      <c r="N63" s="4">
        <v>40.9</v>
      </c>
      <c r="O63" s="4"/>
      <c r="P63" s="4">
        <v>32448.2</v>
      </c>
      <c r="Q63" s="6">
        <f t="shared" si="1"/>
        <v>29.557478593550741</v>
      </c>
      <c r="R63" s="4">
        <v>64</v>
      </c>
      <c r="S63" s="4">
        <v>8</v>
      </c>
      <c r="T63" s="6">
        <f t="shared" si="2"/>
        <v>6.5585716888322096</v>
      </c>
      <c r="U63" s="4">
        <v>4258.8</v>
      </c>
      <c r="V63" s="7">
        <f t="shared" si="3"/>
        <v>3.9665111907122159</v>
      </c>
      <c r="W63" s="7" t="str">
        <f t="shared" si="4"/>
        <v/>
      </c>
      <c r="X63" s="7">
        <f t="shared" si="5"/>
        <v>3.3863367945241576</v>
      </c>
      <c r="Y63" s="7">
        <f t="shared" si="6"/>
        <v>8.3569774898044997</v>
      </c>
      <c r="Z63" s="7" t="str">
        <f>IF(B63=2017,"",W0)</f>
        <v/>
      </c>
      <c r="AA63" s="7" t="str">
        <f>IF(B63=2017,"",L0)</f>
        <v/>
      </c>
      <c r="AB63" s="7" t="str">
        <f>IF(B63=2017,"",M0)</f>
        <v/>
      </c>
      <c r="AC63" s="7" t="str">
        <f>IF(B63=2017,"",N0)</f>
        <v/>
      </c>
      <c r="AD63" s="7" t="str">
        <f>IF(B63=2017,"",O0)</f>
        <v/>
      </c>
      <c r="AE63" s="7" t="str">
        <f>IF(B63=2017,"",X0)</f>
        <v/>
      </c>
      <c r="AF63" s="7" t="str">
        <f>IF(B63=2017,"",T0)</f>
        <v/>
      </c>
      <c r="AG63" s="7" t="str">
        <f>IF(B63=2017,"",Y0)</f>
        <v/>
      </c>
    </row>
    <row r="64" spans="1:33" x14ac:dyDescent="0.25">
      <c r="A64" s="4" t="s">
        <v>150</v>
      </c>
      <c r="B64" s="4">
        <v>2017</v>
      </c>
      <c r="C64" s="4" t="s">
        <v>105</v>
      </c>
      <c r="D64" s="5">
        <f t="shared" si="0"/>
        <v>0</v>
      </c>
      <c r="E64" s="4">
        <v>28.1</v>
      </c>
      <c r="F64" s="4">
        <v>11.9</v>
      </c>
      <c r="G64" s="4">
        <v>41.1</v>
      </c>
      <c r="H64" s="4">
        <v>16.2</v>
      </c>
      <c r="I64" s="4">
        <v>73.5</v>
      </c>
      <c r="J64" s="4">
        <v>1850.3</v>
      </c>
      <c r="K64" s="4"/>
      <c r="L64" s="4">
        <v>2.7719999999999998</v>
      </c>
      <c r="M64" s="4">
        <v>24.59</v>
      </c>
      <c r="N64" s="4">
        <v>14.1</v>
      </c>
      <c r="O64" s="4"/>
      <c r="P64" s="4">
        <v>13721.5</v>
      </c>
      <c r="Q64" s="6">
        <f t="shared" si="1"/>
        <v>7.4158244608982331</v>
      </c>
      <c r="R64" s="4">
        <v>6</v>
      </c>
      <c r="S64" s="4">
        <v>2</v>
      </c>
      <c r="T64" s="6">
        <f t="shared" si="2"/>
        <v>0.43236231962384475</v>
      </c>
      <c r="U64" s="4">
        <v>104.8</v>
      </c>
      <c r="V64" s="7">
        <f t="shared" si="3"/>
        <v>3.3357695763396999</v>
      </c>
      <c r="W64" s="7" t="str">
        <f t="shared" si="4"/>
        <v/>
      </c>
      <c r="X64" s="7">
        <f t="shared" si="5"/>
        <v>2.0036161576622415</v>
      </c>
      <c r="Y64" s="7">
        <f t="shared" si="6"/>
        <v>4.6615505194241988</v>
      </c>
      <c r="Z64" s="7" t="str">
        <f t="shared" ref="Z64:Z127" si="7">IF(B64=2017,"",W1)</f>
        <v/>
      </c>
      <c r="AA64" s="7" t="str">
        <f t="shared" ref="AA64:AA127" si="8">IF(B64=2017,"",L1)</f>
        <v/>
      </c>
      <c r="AB64" s="7" t="str">
        <f t="shared" ref="AB64:AB127" si="9">IF(B64=2017,"",M1)</f>
        <v/>
      </c>
      <c r="AC64" s="7" t="str">
        <f t="shared" ref="AC64:AC127" si="10">IF(B64=2017,"",N1)</f>
        <v/>
      </c>
      <c r="AD64" s="7" t="str">
        <f t="shared" ref="AD64:AD127" si="11">IF(B64=2017,"",O1)</f>
        <v/>
      </c>
      <c r="AE64" s="7" t="str">
        <f t="shared" ref="AE64:AE127" si="12">IF(B64=2017,"",X1)</f>
        <v/>
      </c>
      <c r="AF64" s="7" t="str">
        <f t="shared" ref="AF64:AF127" si="13">IF(B64=2017,"",T1)</f>
        <v/>
      </c>
      <c r="AG64" s="7" t="str">
        <f t="shared" ref="AG64:AG127" si="14">IF(B64=2017,"",Y1)</f>
        <v/>
      </c>
    </row>
    <row r="65" spans="1:33" x14ac:dyDescent="0.25">
      <c r="A65" s="4" t="s">
        <v>151</v>
      </c>
      <c r="B65" s="4">
        <v>2017</v>
      </c>
      <c r="C65" s="4" t="s">
        <v>105</v>
      </c>
      <c r="D65" s="5">
        <f t="shared" si="0"/>
        <v>0</v>
      </c>
      <c r="E65" s="4">
        <v>24.2</v>
      </c>
      <c r="F65" s="4">
        <v>12.4</v>
      </c>
      <c r="G65" s="4">
        <v>28</v>
      </c>
      <c r="H65" s="4">
        <v>20.3</v>
      </c>
      <c r="I65" s="4">
        <v>59.7</v>
      </c>
      <c r="J65" s="4">
        <v>604.9</v>
      </c>
      <c r="K65" s="4"/>
      <c r="L65" s="4">
        <v>3.0819999999999999</v>
      </c>
      <c r="M65" s="4">
        <v>15.14</v>
      </c>
      <c r="N65" s="4">
        <v>12.1</v>
      </c>
      <c r="O65" s="4"/>
      <c r="P65" s="4">
        <v>1235.8</v>
      </c>
      <c r="Q65" s="6">
        <f t="shared" si="1"/>
        <v>2.0429823111258059</v>
      </c>
      <c r="R65" s="4">
        <v>1</v>
      </c>
      <c r="S65" s="4">
        <v>1</v>
      </c>
      <c r="T65" s="6">
        <f t="shared" si="2"/>
        <v>0.3306331625061994</v>
      </c>
      <c r="U65" s="4">
        <v>158</v>
      </c>
      <c r="V65" s="7">
        <f t="shared" si="3"/>
        <v>3.1863526331626408</v>
      </c>
      <c r="W65" s="7" t="str">
        <f t="shared" si="4"/>
        <v/>
      </c>
      <c r="X65" s="7">
        <f t="shared" si="5"/>
        <v>0.71441065751401056</v>
      </c>
      <c r="Y65" s="7">
        <f t="shared" si="6"/>
        <v>5.0689042022202315</v>
      </c>
      <c r="Z65" s="7" t="str">
        <f t="shared" si="7"/>
        <v/>
      </c>
      <c r="AA65" s="7" t="str">
        <f t="shared" si="8"/>
        <v/>
      </c>
      <c r="AB65" s="7" t="str">
        <f t="shared" si="9"/>
        <v/>
      </c>
      <c r="AC65" s="7" t="str">
        <f t="shared" si="10"/>
        <v/>
      </c>
      <c r="AD65" s="7" t="str">
        <f t="shared" si="11"/>
        <v/>
      </c>
      <c r="AE65" s="7" t="str">
        <f t="shared" si="12"/>
        <v/>
      </c>
      <c r="AF65" s="7" t="str">
        <f t="shared" si="13"/>
        <v/>
      </c>
      <c r="AG65" s="7" t="str">
        <f t="shared" si="14"/>
        <v/>
      </c>
    </row>
    <row r="66" spans="1:33" x14ac:dyDescent="0.25">
      <c r="A66" s="4" t="s">
        <v>152</v>
      </c>
      <c r="B66" s="4">
        <v>2017</v>
      </c>
      <c r="C66" s="4" t="s">
        <v>88</v>
      </c>
      <c r="D66" s="5">
        <f t="shared" si="0"/>
        <v>1</v>
      </c>
      <c r="E66" s="4">
        <v>36.700000000000003</v>
      </c>
      <c r="F66" s="4">
        <v>18.3</v>
      </c>
      <c r="G66" s="4">
        <v>56.8</v>
      </c>
      <c r="H66" s="4">
        <v>23.4</v>
      </c>
      <c r="I66" s="4">
        <v>71</v>
      </c>
      <c r="J66" s="4">
        <v>3004.9</v>
      </c>
      <c r="K66" s="4"/>
      <c r="L66" s="4">
        <v>6.2779999999999996</v>
      </c>
      <c r="M66" s="4">
        <v>32.97</v>
      </c>
      <c r="N66" s="4">
        <v>21.5</v>
      </c>
      <c r="O66" s="4"/>
      <c r="P66" s="4">
        <v>48959.1</v>
      </c>
      <c r="Q66" s="6">
        <f t="shared" si="1"/>
        <v>16.293087956337981</v>
      </c>
      <c r="R66" s="4">
        <v>12</v>
      </c>
      <c r="S66" s="4">
        <v>5</v>
      </c>
      <c r="T66" s="6">
        <f t="shared" si="2"/>
        <v>0.56574262038670176</v>
      </c>
      <c r="U66" s="4">
        <v>9101.7000000000007</v>
      </c>
      <c r="V66" s="7">
        <f t="shared" si="3"/>
        <v>3.6027767550605247</v>
      </c>
      <c r="W66" s="7" t="str">
        <f t="shared" si="4"/>
        <v/>
      </c>
      <c r="X66" s="7">
        <f t="shared" si="5"/>
        <v>2.7907409661189377</v>
      </c>
      <c r="Y66" s="7">
        <f t="shared" si="6"/>
        <v>9.1163263517939264</v>
      </c>
      <c r="Z66" s="7" t="str">
        <f t="shared" si="7"/>
        <v/>
      </c>
      <c r="AA66" s="7" t="str">
        <f t="shared" si="8"/>
        <v/>
      </c>
      <c r="AB66" s="7" t="str">
        <f t="shared" si="9"/>
        <v/>
      </c>
      <c r="AC66" s="7" t="str">
        <f t="shared" si="10"/>
        <v/>
      </c>
      <c r="AD66" s="7" t="str">
        <f t="shared" si="11"/>
        <v/>
      </c>
      <c r="AE66" s="7" t="str">
        <f t="shared" si="12"/>
        <v/>
      </c>
      <c r="AF66" s="7" t="str">
        <f t="shared" si="13"/>
        <v/>
      </c>
      <c r="AG66" s="7" t="str">
        <f t="shared" si="14"/>
        <v/>
      </c>
    </row>
    <row r="67" spans="1:33" x14ac:dyDescent="0.25">
      <c r="A67" s="4" t="s">
        <v>153</v>
      </c>
      <c r="B67" s="4">
        <v>2017</v>
      </c>
      <c r="C67" s="4" t="s">
        <v>86</v>
      </c>
      <c r="D67" s="5">
        <f t="shared" si="0"/>
        <v>0</v>
      </c>
      <c r="E67" s="4">
        <v>26.9</v>
      </c>
      <c r="F67" s="4">
        <v>11.2</v>
      </c>
      <c r="G67" s="4">
        <v>38.9</v>
      </c>
      <c r="H67" s="4">
        <v>16.8</v>
      </c>
      <c r="I67" s="4">
        <v>68</v>
      </c>
      <c r="J67" s="4">
        <v>1612.5</v>
      </c>
      <c r="K67" s="4"/>
      <c r="L67" s="4">
        <v>1.887</v>
      </c>
      <c r="M67" s="4">
        <v>18.079999999999998</v>
      </c>
      <c r="N67" s="4">
        <v>15.3</v>
      </c>
      <c r="O67" s="4"/>
      <c r="P67" s="4">
        <v>1905.2</v>
      </c>
      <c r="Q67" s="6">
        <f t="shared" si="1"/>
        <v>1.1815193798449612</v>
      </c>
      <c r="R67" s="4">
        <v>8</v>
      </c>
      <c r="S67" s="4">
        <v>0</v>
      </c>
      <c r="T67" s="6">
        <f t="shared" si="2"/>
        <v>0.49612403100775199</v>
      </c>
      <c r="U67" s="4">
        <v>105.1</v>
      </c>
      <c r="V67" s="7">
        <f t="shared" si="3"/>
        <v>3.2921262866077932</v>
      </c>
      <c r="W67" s="7" t="str">
        <f t="shared" si="4"/>
        <v/>
      </c>
      <c r="X67" s="7">
        <f t="shared" si="5"/>
        <v>0.16680122025677777</v>
      </c>
      <c r="Y67" s="7">
        <f t="shared" si="6"/>
        <v>4.664382045619937</v>
      </c>
      <c r="Z67" s="7" t="str">
        <f t="shared" si="7"/>
        <v/>
      </c>
      <c r="AA67" s="7" t="str">
        <f t="shared" si="8"/>
        <v/>
      </c>
      <c r="AB67" s="7" t="str">
        <f t="shared" si="9"/>
        <v/>
      </c>
      <c r="AC67" s="7" t="str">
        <f t="shared" si="10"/>
        <v/>
      </c>
      <c r="AD67" s="7" t="str">
        <f t="shared" si="11"/>
        <v/>
      </c>
      <c r="AE67" s="7" t="str">
        <f t="shared" si="12"/>
        <v/>
      </c>
      <c r="AF67" s="7" t="str">
        <f t="shared" si="13"/>
        <v/>
      </c>
      <c r="AG67" s="7" t="str">
        <f t="shared" si="14"/>
        <v/>
      </c>
    </row>
    <row r="68" spans="1:33" x14ac:dyDescent="0.25">
      <c r="A68" s="4" t="s">
        <v>85</v>
      </c>
      <c r="B68" s="4">
        <v>2018</v>
      </c>
      <c r="C68" s="4" t="s">
        <v>86</v>
      </c>
      <c r="D68" s="5">
        <f t="shared" si="0"/>
        <v>0</v>
      </c>
      <c r="E68" s="4">
        <v>32.5</v>
      </c>
      <c r="F68" s="4">
        <v>29.5</v>
      </c>
      <c r="G68" s="4">
        <v>43.4</v>
      </c>
      <c r="H68" s="4">
        <v>15.9</v>
      </c>
      <c r="I68" s="4">
        <v>58.3</v>
      </c>
      <c r="J68" s="4">
        <v>1931</v>
      </c>
      <c r="K68" s="4">
        <v>40.4</v>
      </c>
      <c r="L68" s="4">
        <v>2.3149999999999999</v>
      </c>
      <c r="M68" s="4">
        <v>31.33</v>
      </c>
      <c r="N68" s="4">
        <v>13.6</v>
      </c>
      <c r="O68" s="4"/>
      <c r="P68" s="4">
        <v>6182.6</v>
      </c>
      <c r="Q68" s="6">
        <f t="shared" si="1"/>
        <v>3.2017607457276025</v>
      </c>
      <c r="R68" s="4">
        <v>6</v>
      </c>
      <c r="S68" s="4">
        <v>2</v>
      </c>
      <c r="T68" s="6">
        <f t="shared" si="2"/>
        <v>0.41429311237700672</v>
      </c>
      <c r="U68" s="4">
        <v>107.8</v>
      </c>
      <c r="V68" s="7">
        <f t="shared" si="3"/>
        <v>3.4812400893356918</v>
      </c>
      <c r="W68" s="7">
        <f t="shared" si="4"/>
        <v>3.6988297849671046</v>
      </c>
      <c r="X68" s="7">
        <f t="shared" si="5"/>
        <v>1.1637008915228635</v>
      </c>
      <c r="Y68" s="7">
        <f t="shared" si="6"/>
        <v>4.6895113344218426</v>
      </c>
      <c r="Z68" s="7" t="str">
        <f t="shared" si="7"/>
        <v/>
      </c>
      <c r="AA68" s="7">
        <f t="shared" si="8"/>
        <v>2.2589999999999999</v>
      </c>
      <c r="AB68" s="7">
        <f t="shared" si="9"/>
        <v>30.99</v>
      </c>
      <c r="AC68" s="7">
        <f t="shared" si="10"/>
        <v>12.5</v>
      </c>
      <c r="AD68" s="7">
        <f t="shared" si="11"/>
        <v>0</v>
      </c>
      <c r="AE68" s="7">
        <f t="shared" si="12"/>
        <v>1.0375451457967129</v>
      </c>
      <c r="AF68" s="7">
        <f t="shared" si="13"/>
        <v>0.40937468017603112</v>
      </c>
      <c r="AG68" s="7">
        <f t="shared" si="14"/>
        <v>4.6288867126054072</v>
      </c>
    </row>
    <row r="69" spans="1:33" x14ac:dyDescent="0.25">
      <c r="A69" s="4" t="s">
        <v>87</v>
      </c>
      <c r="B69" s="4">
        <v>2018</v>
      </c>
      <c r="C69" s="4" t="s">
        <v>88</v>
      </c>
      <c r="D69" s="5">
        <f t="shared" ref="D69:D132" si="15">IF(OR(C69="ĐNB",C69="ĐBSH"),1,0)</f>
        <v>1</v>
      </c>
      <c r="E69" s="4">
        <v>44.4</v>
      </c>
      <c r="F69" s="4">
        <v>35</v>
      </c>
      <c r="G69" s="4">
        <v>58</v>
      </c>
      <c r="H69" s="4">
        <v>31.8</v>
      </c>
      <c r="I69" s="4">
        <v>59.8</v>
      </c>
      <c r="J69" s="4">
        <v>1138.3</v>
      </c>
      <c r="K69" s="4">
        <v>309.60000000000002</v>
      </c>
      <c r="L69" s="4">
        <v>8.4429999999999996</v>
      </c>
      <c r="M69" s="4">
        <v>57.69</v>
      </c>
      <c r="N69" s="4">
        <v>25.9</v>
      </c>
      <c r="O69" s="4"/>
      <c r="P69" s="4">
        <v>7657</v>
      </c>
      <c r="Q69" s="6">
        <f t="shared" ref="Q69:Q132" si="16">IF(P69="","",P69/J69)</f>
        <v>6.7266977071070899</v>
      </c>
      <c r="R69" s="4">
        <v>9</v>
      </c>
      <c r="S69" s="4">
        <v>3</v>
      </c>
      <c r="T69" s="6">
        <f t="shared" ref="T69:T132" si="17">(R69+S69)/J69*100</f>
        <v>1.0542036370025476</v>
      </c>
      <c r="U69" s="4">
        <v>26251.7</v>
      </c>
      <c r="V69" s="7">
        <f t="shared" ref="V69:V132" si="18">IF(E69="","",LN(E69))</f>
        <v>3.7932394694381792</v>
      </c>
      <c r="W69" s="7">
        <f t="shared" ref="W69:W132" si="19">IF(K69="","",LN(K69))</f>
        <v>5.7352811417155722</v>
      </c>
      <c r="X69" s="7">
        <f t="shared" ref="X69:X132" si="20">IF(Q69="","",LN(Q69))</f>
        <v>1.9060843407819525</v>
      </c>
      <c r="Y69" s="7">
        <f t="shared" ref="Y69:Y132" si="21">LN(1+U69)</f>
        <v>10.175524119873193</v>
      </c>
      <c r="Z69" s="7" t="str">
        <f t="shared" si="7"/>
        <v/>
      </c>
      <c r="AA69" s="7">
        <f t="shared" si="8"/>
        <v>7.9450000000000003</v>
      </c>
      <c r="AB69" s="7">
        <f t="shared" si="9"/>
        <v>56.76</v>
      </c>
      <c r="AC69" s="7">
        <f t="shared" si="10"/>
        <v>26.5</v>
      </c>
      <c r="AD69" s="7">
        <f t="shared" si="11"/>
        <v>0</v>
      </c>
      <c r="AE69" s="7">
        <f t="shared" si="12"/>
        <v>1.6565876091253138</v>
      </c>
      <c r="AF69" s="7">
        <f t="shared" si="13"/>
        <v>0.97586941092973734</v>
      </c>
      <c r="AG69" s="7">
        <f t="shared" si="14"/>
        <v>10.077881938840429</v>
      </c>
    </row>
    <row r="70" spans="1:33" x14ac:dyDescent="0.25">
      <c r="A70" s="4" t="s">
        <v>89</v>
      </c>
      <c r="B70" s="4">
        <v>2018</v>
      </c>
      <c r="C70" s="4" t="s">
        <v>88</v>
      </c>
      <c r="D70" s="5">
        <f t="shared" si="15"/>
        <v>1</v>
      </c>
      <c r="E70" s="4">
        <v>50.4</v>
      </c>
      <c r="F70" s="4">
        <v>39</v>
      </c>
      <c r="G70" s="4">
        <v>69.099999999999994</v>
      </c>
      <c r="H70" s="4">
        <v>36.299999999999997</v>
      </c>
      <c r="I70" s="4">
        <v>57.4</v>
      </c>
      <c r="J70" s="4">
        <v>2345.1999999999998</v>
      </c>
      <c r="K70" s="4">
        <v>137.69999999999999</v>
      </c>
      <c r="L70" s="4">
        <v>11.754</v>
      </c>
      <c r="M70" s="4">
        <v>79.98</v>
      </c>
      <c r="N70" s="4">
        <v>20.6</v>
      </c>
      <c r="O70" s="4"/>
      <c r="P70" s="4">
        <v>51798.400000000001</v>
      </c>
      <c r="Q70" s="6">
        <f t="shared" si="16"/>
        <v>22.086986184547161</v>
      </c>
      <c r="R70" s="4">
        <v>11</v>
      </c>
      <c r="S70" s="4">
        <v>3</v>
      </c>
      <c r="T70" s="6">
        <f t="shared" si="17"/>
        <v>0.59696401159815804</v>
      </c>
      <c r="U70" s="4">
        <v>13541.9</v>
      </c>
      <c r="V70" s="7">
        <f t="shared" si="18"/>
        <v>3.9199911750773229</v>
      </c>
      <c r="W70" s="7">
        <f t="shared" si="19"/>
        <v>4.9250774057346094</v>
      </c>
      <c r="X70" s="7">
        <f t="shared" si="20"/>
        <v>3.0949885746495815</v>
      </c>
      <c r="Y70" s="7">
        <f t="shared" si="21"/>
        <v>9.5136177037397545</v>
      </c>
      <c r="Z70" s="7" t="str">
        <f t="shared" si="7"/>
        <v/>
      </c>
      <c r="AA70" s="7">
        <f t="shared" si="8"/>
        <v>10.316000000000001</v>
      </c>
      <c r="AB70" s="7">
        <f t="shared" si="9"/>
        <v>76.19</v>
      </c>
      <c r="AC70" s="7">
        <f t="shared" si="10"/>
        <v>18.7</v>
      </c>
      <c r="AD70" s="7">
        <f t="shared" si="11"/>
        <v>0</v>
      </c>
      <c r="AE70" s="7">
        <f t="shared" si="12"/>
        <v>3.0503955342627269</v>
      </c>
      <c r="AF70" s="7">
        <f t="shared" si="13"/>
        <v>0.62859195402298851</v>
      </c>
      <c r="AG70" s="7">
        <f t="shared" si="14"/>
        <v>9.5195148197660604</v>
      </c>
    </row>
    <row r="71" spans="1:33" x14ac:dyDescent="0.25">
      <c r="A71" s="4" t="s">
        <v>90</v>
      </c>
      <c r="B71" s="4">
        <v>2018</v>
      </c>
      <c r="C71" s="4" t="s">
        <v>88</v>
      </c>
      <c r="D71" s="5">
        <f t="shared" si="15"/>
        <v>1</v>
      </c>
      <c r="E71" s="4">
        <v>27.8</v>
      </c>
      <c r="F71" s="4">
        <v>24.4</v>
      </c>
      <c r="G71" s="4">
        <v>28.6</v>
      </c>
      <c r="H71" s="4">
        <v>18.2</v>
      </c>
      <c r="I71" s="4">
        <v>65.5</v>
      </c>
      <c r="J71" s="4">
        <v>984.9</v>
      </c>
      <c r="K71" s="4">
        <v>56.1</v>
      </c>
      <c r="L71" s="4">
        <v>4.54</v>
      </c>
      <c r="M71" s="4">
        <v>23.08</v>
      </c>
      <c r="N71" s="4">
        <v>16.8</v>
      </c>
      <c r="O71" s="4"/>
      <c r="P71" s="4">
        <v>2776.9</v>
      </c>
      <c r="Q71" s="6">
        <f t="shared" si="16"/>
        <v>2.8194740582800284</v>
      </c>
      <c r="R71" s="4">
        <v>6</v>
      </c>
      <c r="S71" s="4">
        <v>3</v>
      </c>
      <c r="T71" s="6">
        <f t="shared" si="17"/>
        <v>0.91379835516296071</v>
      </c>
      <c r="U71" s="4">
        <v>2425.3000000000002</v>
      </c>
      <c r="V71" s="7">
        <f t="shared" si="18"/>
        <v>3.3250360206965914</v>
      </c>
      <c r="W71" s="7">
        <f t="shared" si="19"/>
        <v>4.0271358125286509</v>
      </c>
      <c r="X71" s="7">
        <f t="shared" si="20"/>
        <v>1.0365503633999411</v>
      </c>
      <c r="Y71" s="7">
        <f t="shared" si="21"/>
        <v>7.7941227422049337</v>
      </c>
      <c r="Z71" s="7" t="str">
        <f t="shared" si="7"/>
        <v/>
      </c>
      <c r="AA71" s="7">
        <f t="shared" si="8"/>
        <v>4.16</v>
      </c>
      <c r="AB71" s="7">
        <f t="shared" si="9"/>
        <v>22.27</v>
      </c>
      <c r="AC71" s="7">
        <f t="shared" si="10"/>
        <v>14</v>
      </c>
      <c r="AD71" s="7">
        <f t="shared" si="11"/>
        <v>0</v>
      </c>
      <c r="AE71" s="7">
        <f t="shared" si="12"/>
        <v>0.92072259927835631</v>
      </c>
      <c r="AF71" s="7">
        <f t="shared" si="13"/>
        <v>0.51408595517170474</v>
      </c>
      <c r="AG71" s="7">
        <f t="shared" si="14"/>
        <v>7.6093665379542115</v>
      </c>
    </row>
    <row r="72" spans="1:33" x14ac:dyDescent="0.25">
      <c r="A72" s="4" t="s">
        <v>91</v>
      </c>
      <c r="B72" s="4">
        <v>2018</v>
      </c>
      <c r="C72" s="4" t="s">
        <v>92</v>
      </c>
      <c r="D72" s="5">
        <f t="shared" si="15"/>
        <v>0</v>
      </c>
      <c r="E72" s="4">
        <v>34.4</v>
      </c>
      <c r="F72" s="4">
        <v>31.6</v>
      </c>
      <c r="G72" s="4">
        <v>39.799999999999997</v>
      </c>
      <c r="H72" s="4">
        <v>22.7</v>
      </c>
      <c r="I72" s="4">
        <v>62.1</v>
      </c>
      <c r="J72" s="4">
        <v>1227.3</v>
      </c>
      <c r="K72" s="4">
        <v>53.4</v>
      </c>
      <c r="L72" s="4">
        <v>3.63</v>
      </c>
      <c r="M72" s="4">
        <v>38.200000000000003</v>
      </c>
      <c r="N72" s="4">
        <v>14</v>
      </c>
      <c r="O72" s="4"/>
      <c r="P72" s="4">
        <v>8146.8</v>
      </c>
      <c r="Q72" s="6">
        <f t="shared" si="16"/>
        <v>6.637985822537277</v>
      </c>
      <c r="R72" s="4">
        <v>3</v>
      </c>
      <c r="S72" s="4">
        <v>1</v>
      </c>
      <c r="T72" s="6">
        <f t="shared" si="17"/>
        <v>0.32591868328851953</v>
      </c>
      <c r="U72" s="4">
        <v>2910.2</v>
      </c>
      <c r="V72" s="7">
        <f t="shared" si="18"/>
        <v>3.5380565643793527</v>
      </c>
      <c r="W72" s="7">
        <f t="shared" si="19"/>
        <v>3.9778107459661491</v>
      </c>
      <c r="X72" s="7">
        <f t="shared" si="20"/>
        <v>1.892808577492139</v>
      </c>
      <c r="Y72" s="7">
        <f t="shared" si="21"/>
        <v>7.9763206462979497</v>
      </c>
      <c r="Z72" s="7" t="str">
        <f t="shared" si="7"/>
        <v/>
      </c>
      <c r="AA72" s="7">
        <f t="shared" si="8"/>
        <v>3.4260000000000002</v>
      </c>
      <c r="AB72" s="7">
        <f t="shared" si="9"/>
        <v>38.32</v>
      </c>
      <c r="AC72" s="7">
        <f t="shared" si="10"/>
        <v>15.6</v>
      </c>
      <c r="AD72" s="7">
        <f t="shared" si="11"/>
        <v>0</v>
      </c>
      <c r="AE72" s="7">
        <f t="shared" si="12"/>
        <v>1.784963246746772</v>
      </c>
      <c r="AF72" s="7">
        <f t="shared" si="13"/>
        <v>0.24580090126997134</v>
      </c>
      <c r="AG72" s="7">
        <f t="shared" si="14"/>
        <v>7.9805026014551927</v>
      </c>
    </row>
    <row r="73" spans="1:33" x14ac:dyDescent="0.25">
      <c r="A73" s="4" t="s">
        <v>93</v>
      </c>
      <c r="B73" s="4">
        <v>2018</v>
      </c>
      <c r="C73" s="4" t="s">
        <v>92</v>
      </c>
      <c r="D73" s="5">
        <f t="shared" si="15"/>
        <v>0</v>
      </c>
      <c r="E73" s="4">
        <v>36.799999999999997</v>
      </c>
      <c r="F73" s="4">
        <v>33</v>
      </c>
      <c r="G73" s="4">
        <v>40.1</v>
      </c>
      <c r="H73" s="4">
        <v>26.1</v>
      </c>
      <c r="I73" s="4">
        <v>70.7</v>
      </c>
      <c r="J73" s="4">
        <v>1487.8</v>
      </c>
      <c r="K73" s="4">
        <v>50.2</v>
      </c>
      <c r="L73" s="4">
        <v>4.1669999999999998</v>
      </c>
      <c r="M73" s="4">
        <v>31.96</v>
      </c>
      <c r="N73" s="4">
        <v>21.2</v>
      </c>
      <c r="O73" s="4"/>
      <c r="P73" s="4">
        <v>20012.3</v>
      </c>
      <c r="Q73" s="6">
        <f t="shared" si="16"/>
        <v>13.450934265358248</v>
      </c>
      <c r="R73" s="4">
        <v>7</v>
      </c>
      <c r="S73" s="4">
        <v>4</v>
      </c>
      <c r="T73" s="6">
        <f t="shared" si="17"/>
        <v>0.73934668638257828</v>
      </c>
      <c r="U73" s="4">
        <v>541.9</v>
      </c>
      <c r="V73" s="7">
        <f t="shared" si="18"/>
        <v>3.6054978451748854</v>
      </c>
      <c r="W73" s="7">
        <f t="shared" si="19"/>
        <v>3.9160150266976834</v>
      </c>
      <c r="X73" s="7">
        <f t="shared" si="20"/>
        <v>2.5990485657438875</v>
      </c>
      <c r="Y73" s="7">
        <f t="shared" si="21"/>
        <v>6.2969251409114051</v>
      </c>
      <c r="Z73" s="7" t="str">
        <f t="shared" si="7"/>
        <v/>
      </c>
      <c r="AA73" s="7">
        <f t="shared" si="8"/>
        <v>3.96</v>
      </c>
      <c r="AB73" s="7">
        <f t="shared" si="9"/>
        <v>31.87</v>
      </c>
      <c r="AC73" s="7">
        <f t="shared" si="10"/>
        <v>16.899999999999999</v>
      </c>
      <c r="AD73" s="7">
        <f t="shared" si="11"/>
        <v>0</v>
      </c>
      <c r="AE73" s="7">
        <f t="shared" si="12"/>
        <v>2.4387663962516539</v>
      </c>
      <c r="AF73" s="7">
        <f t="shared" si="13"/>
        <v>0.73939638367950522</v>
      </c>
      <c r="AG73" s="7">
        <f t="shared" si="14"/>
        <v>6.1150087331994367</v>
      </c>
    </row>
    <row r="74" spans="1:33" x14ac:dyDescent="0.25">
      <c r="A74" s="4" t="s">
        <v>94</v>
      </c>
      <c r="B74" s="4">
        <v>2018</v>
      </c>
      <c r="C74" s="4" t="s">
        <v>86</v>
      </c>
      <c r="D74" s="5">
        <f t="shared" si="15"/>
        <v>0</v>
      </c>
      <c r="E74" s="4"/>
      <c r="F74" s="4"/>
      <c r="G74" s="4"/>
      <c r="H74" s="4"/>
      <c r="I74" s="4"/>
      <c r="J74" s="4">
        <v>903</v>
      </c>
      <c r="K74" s="4">
        <v>43.9</v>
      </c>
      <c r="L74" s="4">
        <v>1.97</v>
      </c>
      <c r="M74" s="4">
        <v>27.63</v>
      </c>
      <c r="N74" s="4">
        <v>8.1999999999999993</v>
      </c>
      <c r="O74" s="4"/>
      <c r="P74" s="4">
        <v>2202.6</v>
      </c>
      <c r="Q74" s="6">
        <f t="shared" si="16"/>
        <v>2.4392026578073089</v>
      </c>
      <c r="R74" s="4">
        <v>5</v>
      </c>
      <c r="S74" s="4">
        <v>1</v>
      </c>
      <c r="T74" s="6">
        <f t="shared" si="17"/>
        <v>0.66445182724252494</v>
      </c>
      <c r="U74" s="4">
        <v>487.2</v>
      </c>
      <c r="V74" s="7" t="str">
        <f t="shared" si="18"/>
        <v/>
      </c>
      <c r="W74" s="7">
        <f t="shared" si="19"/>
        <v>3.7819143200811256</v>
      </c>
      <c r="X74" s="7">
        <f t="shared" si="20"/>
        <v>0.89167120631385821</v>
      </c>
      <c r="Y74" s="7">
        <f t="shared" si="21"/>
        <v>6.1907251579588598</v>
      </c>
      <c r="Z74" s="7" t="str">
        <f t="shared" si="7"/>
        <v/>
      </c>
      <c r="AA74" s="7">
        <f t="shared" si="8"/>
        <v>1.768</v>
      </c>
      <c r="AB74" s="7">
        <f t="shared" si="9"/>
        <v>27.48</v>
      </c>
      <c r="AC74" s="7">
        <f t="shared" si="10"/>
        <v>11.3</v>
      </c>
      <c r="AD74" s="7">
        <f t="shared" si="11"/>
        <v>0</v>
      </c>
      <c r="AE74" s="7">
        <f t="shared" si="12"/>
        <v>0.80972889585809227</v>
      </c>
      <c r="AF74" s="7">
        <f t="shared" si="13"/>
        <v>0.66837473543500059</v>
      </c>
      <c r="AG74" s="7">
        <f t="shared" si="14"/>
        <v>4.389498649512583</v>
      </c>
    </row>
    <row r="75" spans="1:33" x14ac:dyDescent="0.25">
      <c r="A75" s="4" t="s">
        <v>95</v>
      </c>
      <c r="B75" s="4">
        <v>2018</v>
      </c>
      <c r="C75" s="4" t="s">
        <v>96</v>
      </c>
      <c r="D75" s="5">
        <f t="shared" si="15"/>
        <v>0</v>
      </c>
      <c r="E75" s="4">
        <v>40.799999999999997</v>
      </c>
      <c r="F75" s="4">
        <v>35</v>
      </c>
      <c r="G75" s="4">
        <v>42.6</v>
      </c>
      <c r="H75" s="4">
        <v>35.6</v>
      </c>
      <c r="I75" s="4">
        <v>63.9</v>
      </c>
      <c r="J75" s="4">
        <v>1777.5</v>
      </c>
      <c r="K75" s="4">
        <v>50.8</v>
      </c>
      <c r="L75" s="4">
        <v>3.0670000000000002</v>
      </c>
      <c r="M75" s="4">
        <v>11.41</v>
      </c>
      <c r="N75" s="4">
        <v>16.7</v>
      </c>
      <c r="O75" s="4"/>
      <c r="P75" s="4">
        <v>19143.2</v>
      </c>
      <c r="Q75" s="6">
        <f t="shared" si="16"/>
        <v>10.76973277074543</v>
      </c>
      <c r="R75" s="4">
        <v>9</v>
      </c>
      <c r="S75" s="4">
        <v>8</v>
      </c>
      <c r="T75" s="6">
        <f t="shared" si="17"/>
        <v>0.95639943741209554</v>
      </c>
      <c r="U75" s="4">
        <v>2723.1</v>
      </c>
      <c r="V75" s="7">
        <f t="shared" si="18"/>
        <v>3.708682081410116</v>
      </c>
      <c r="W75" s="7">
        <f t="shared" si="19"/>
        <v>3.9278963545844361</v>
      </c>
      <c r="X75" s="7">
        <f t="shared" si="20"/>
        <v>2.3767396784877102</v>
      </c>
      <c r="Y75" s="7">
        <f t="shared" si="21"/>
        <v>7.909893377315111</v>
      </c>
      <c r="Z75" s="7" t="str">
        <f t="shared" si="7"/>
        <v/>
      </c>
      <c r="AA75" s="7">
        <f t="shared" si="8"/>
        <v>2.7149999999999999</v>
      </c>
      <c r="AB75" s="7">
        <f t="shared" si="9"/>
        <v>11.41</v>
      </c>
      <c r="AC75" s="7">
        <f t="shared" si="10"/>
        <v>17.899999999999999</v>
      </c>
      <c r="AD75" s="7">
        <f t="shared" si="11"/>
        <v>0</v>
      </c>
      <c r="AE75" s="7">
        <f t="shared" si="12"/>
        <v>2.2523458139570085</v>
      </c>
      <c r="AF75" s="7">
        <f t="shared" si="13"/>
        <v>0.86365730078304925</v>
      </c>
      <c r="AG75" s="7">
        <f t="shared" si="14"/>
        <v>7.8565132009937937</v>
      </c>
    </row>
    <row r="76" spans="1:33" x14ac:dyDescent="0.25">
      <c r="A76" s="4" t="s">
        <v>97</v>
      </c>
      <c r="B76" s="4">
        <v>2018</v>
      </c>
      <c r="C76" s="4" t="s">
        <v>96</v>
      </c>
      <c r="D76" s="5">
        <f t="shared" si="15"/>
        <v>0</v>
      </c>
      <c r="E76" s="4">
        <v>26</v>
      </c>
      <c r="F76" s="4">
        <v>22.6</v>
      </c>
      <c r="G76" s="4">
        <v>23.5</v>
      </c>
      <c r="H76" s="4">
        <v>19.899999999999999</v>
      </c>
      <c r="I76" s="4">
        <v>63.2</v>
      </c>
      <c r="J76" s="4">
        <v>312</v>
      </c>
      <c r="K76" s="4">
        <v>35.4</v>
      </c>
      <c r="L76" s="4">
        <v>2.1219999999999999</v>
      </c>
      <c r="M76" s="4">
        <v>20.350000000000001</v>
      </c>
      <c r="N76" s="4">
        <v>17.7</v>
      </c>
      <c r="O76" s="4"/>
      <c r="P76" s="4">
        <v>1336.6</v>
      </c>
      <c r="Q76" s="6">
        <f t="shared" si="16"/>
        <v>4.2839743589743584</v>
      </c>
      <c r="R76" s="4">
        <v>2</v>
      </c>
      <c r="S76" s="4">
        <v>0</v>
      </c>
      <c r="T76" s="6">
        <f t="shared" si="17"/>
        <v>0.64102564102564097</v>
      </c>
      <c r="U76" s="4">
        <v>42.3</v>
      </c>
      <c r="V76" s="7">
        <f t="shared" si="18"/>
        <v>3.2580965380214821</v>
      </c>
      <c r="W76" s="7">
        <f t="shared" si="19"/>
        <v>3.5667118201397288</v>
      </c>
      <c r="X76" s="7">
        <f t="shared" si="20"/>
        <v>1.4548811672674873</v>
      </c>
      <c r="Y76" s="7">
        <f t="shared" si="21"/>
        <v>3.7681526350084442</v>
      </c>
      <c r="Z76" s="7" t="str">
        <f t="shared" si="7"/>
        <v/>
      </c>
      <c r="AA76" s="7">
        <f t="shared" si="8"/>
        <v>2.13</v>
      </c>
      <c r="AB76" s="7">
        <f t="shared" si="9"/>
        <v>19.809999999999999</v>
      </c>
      <c r="AC76" s="7">
        <f t="shared" si="10"/>
        <v>17.2</v>
      </c>
      <c r="AD76" s="7">
        <f t="shared" si="11"/>
        <v>0</v>
      </c>
      <c r="AE76" s="7">
        <f t="shared" si="12"/>
        <v>1.6600856290071055</v>
      </c>
      <c r="AF76" s="7">
        <f t="shared" si="13"/>
        <v>0.32268473701193934</v>
      </c>
      <c r="AG76" s="7">
        <f t="shared" si="14"/>
        <v>3.7588718259339711</v>
      </c>
    </row>
    <row r="77" spans="1:33" x14ac:dyDescent="0.25">
      <c r="A77" s="4" t="s">
        <v>98</v>
      </c>
      <c r="B77" s="4">
        <v>2018</v>
      </c>
      <c r="C77" s="4" t="s">
        <v>99</v>
      </c>
      <c r="D77" s="5">
        <f t="shared" si="15"/>
        <v>1</v>
      </c>
      <c r="E77" s="4">
        <v>46.3</v>
      </c>
      <c r="F77" s="4">
        <v>40</v>
      </c>
      <c r="G77" s="4">
        <v>63</v>
      </c>
      <c r="H77" s="4">
        <v>25.5</v>
      </c>
      <c r="I77" s="4">
        <v>73.2</v>
      </c>
      <c r="J77" s="4">
        <v>1337.3</v>
      </c>
      <c r="K77" s="4">
        <v>144.9</v>
      </c>
      <c r="L77" s="4">
        <v>7.4139999999999997</v>
      </c>
      <c r="M77" s="4">
        <v>27.34</v>
      </c>
      <c r="N77" s="4">
        <v>28</v>
      </c>
      <c r="O77" s="4"/>
      <c r="P77" s="4">
        <v>19538.7</v>
      </c>
      <c r="Q77" s="6">
        <f t="shared" si="16"/>
        <v>14.610558588200107</v>
      </c>
      <c r="R77" s="4">
        <v>23</v>
      </c>
      <c r="S77" s="4">
        <v>3</v>
      </c>
      <c r="T77" s="6">
        <f t="shared" si="17"/>
        <v>1.9442159575263591</v>
      </c>
      <c r="U77" s="4">
        <v>12928.3</v>
      </c>
      <c r="V77" s="7">
        <f t="shared" si="18"/>
        <v>3.8351419610921882</v>
      </c>
      <c r="W77" s="7">
        <f t="shared" si="19"/>
        <v>4.9760438493266363</v>
      </c>
      <c r="X77" s="7">
        <f t="shared" si="20"/>
        <v>2.6817444583103187</v>
      </c>
      <c r="Y77" s="7">
        <f t="shared" si="21"/>
        <v>9.4672513326360601</v>
      </c>
      <c r="Z77" s="7" t="str">
        <f t="shared" si="7"/>
        <v/>
      </c>
      <c r="AA77" s="7">
        <f t="shared" si="8"/>
        <v>6.6440000000000001</v>
      </c>
      <c r="AB77" s="7">
        <f t="shared" si="9"/>
        <v>27.38</v>
      </c>
      <c r="AC77" s="7">
        <f t="shared" si="10"/>
        <v>22.4</v>
      </c>
      <c r="AD77" s="7">
        <f t="shared" si="11"/>
        <v>0</v>
      </c>
      <c r="AE77" s="7">
        <f t="shared" si="12"/>
        <v>2.6889863977416697</v>
      </c>
      <c r="AF77" s="7">
        <f t="shared" si="13"/>
        <v>1.9263368777931884</v>
      </c>
      <c r="AG77" s="7">
        <f t="shared" si="14"/>
        <v>9.4308404323449757</v>
      </c>
    </row>
    <row r="78" spans="1:33" x14ac:dyDescent="0.25">
      <c r="A78" s="4" t="s">
        <v>100</v>
      </c>
      <c r="B78" s="4">
        <v>2018</v>
      </c>
      <c r="C78" s="4" t="s">
        <v>86</v>
      </c>
      <c r="D78" s="5">
        <f t="shared" si="15"/>
        <v>0</v>
      </c>
      <c r="E78" s="4">
        <v>35.6</v>
      </c>
      <c r="F78" s="4">
        <v>33.200000000000003</v>
      </c>
      <c r="G78" s="4">
        <v>39.1</v>
      </c>
      <c r="H78" s="4">
        <v>25.2</v>
      </c>
      <c r="I78" s="4">
        <v>64.8</v>
      </c>
      <c r="J78" s="4">
        <v>1286</v>
      </c>
      <c r="K78" s="4">
        <v>36.799999999999997</v>
      </c>
      <c r="L78" s="4">
        <v>2.464</v>
      </c>
      <c r="M78" s="4">
        <v>9.82</v>
      </c>
      <c r="N78" s="4">
        <v>9.1999999999999993</v>
      </c>
      <c r="O78" s="4"/>
      <c r="P78" s="4">
        <v>3345.6</v>
      </c>
      <c r="Q78" s="6">
        <f t="shared" si="16"/>
        <v>2.6015552099533434</v>
      </c>
      <c r="R78" s="4">
        <v>2</v>
      </c>
      <c r="S78" s="4">
        <v>1</v>
      </c>
      <c r="T78" s="6">
        <f t="shared" si="17"/>
        <v>0.23328149300155523</v>
      </c>
      <c r="U78" s="4">
        <v>819.3</v>
      </c>
      <c r="V78" s="7">
        <f t="shared" si="18"/>
        <v>3.572345637857985</v>
      </c>
      <c r="W78" s="7">
        <f t="shared" si="19"/>
        <v>3.6054978451748854</v>
      </c>
      <c r="X78" s="7">
        <f t="shared" si="20"/>
        <v>0.95610942387680431</v>
      </c>
      <c r="Y78" s="7">
        <f t="shared" si="21"/>
        <v>6.709670127008704</v>
      </c>
      <c r="Z78" s="7" t="str">
        <f t="shared" si="7"/>
        <v/>
      </c>
      <c r="AA78" s="7">
        <f t="shared" si="8"/>
        <v>2.2810000000000001</v>
      </c>
      <c r="AB78" s="7">
        <f t="shared" si="9"/>
        <v>9.84</v>
      </c>
      <c r="AC78" s="7">
        <f t="shared" si="10"/>
        <v>12.9</v>
      </c>
      <c r="AD78" s="7">
        <f t="shared" si="11"/>
        <v>0</v>
      </c>
      <c r="AE78" s="7">
        <f t="shared" si="12"/>
        <v>0.83800879378441606</v>
      </c>
      <c r="AF78" s="7">
        <f t="shared" si="13"/>
        <v>0.23393636930754835</v>
      </c>
      <c r="AG78" s="7">
        <f t="shared" si="14"/>
        <v>6.5158971742801892</v>
      </c>
    </row>
    <row r="79" spans="1:33" x14ac:dyDescent="0.25">
      <c r="A79" s="4" t="s">
        <v>101</v>
      </c>
      <c r="B79" s="4">
        <v>2018</v>
      </c>
      <c r="C79" s="4" t="s">
        <v>96</v>
      </c>
      <c r="D79" s="5">
        <f t="shared" si="15"/>
        <v>0</v>
      </c>
      <c r="E79" s="4"/>
      <c r="F79" s="4"/>
      <c r="G79" s="4"/>
      <c r="H79" s="4"/>
      <c r="I79" s="4"/>
      <c r="J79" s="4">
        <v>528.70000000000005</v>
      </c>
      <c r="K79" s="4">
        <v>30.6</v>
      </c>
      <c r="L79" s="4">
        <v>1.8879999999999999</v>
      </c>
      <c r="M79" s="4">
        <v>22.68</v>
      </c>
      <c r="N79" s="4">
        <v>20.6</v>
      </c>
      <c r="O79" s="4"/>
      <c r="P79" s="4">
        <v>3166.1</v>
      </c>
      <c r="Q79" s="6">
        <f t="shared" si="16"/>
        <v>5.9884622659353122</v>
      </c>
      <c r="R79" s="4">
        <v>4</v>
      </c>
      <c r="S79" s="4">
        <v>0</v>
      </c>
      <c r="T79" s="6">
        <f t="shared" si="17"/>
        <v>0.75657272555324373</v>
      </c>
      <c r="U79" s="4">
        <v>113.9</v>
      </c>
      <c r="V79" s="7" t="str">
        <f t="shared" si="18"/>
        <v/>
      </c>
      <c r="W79" s="7">
        <f t="shared" si="19"/>
        <v>3.4210000089583352</v>
      </c>
      <c r="X79" s="7">
        <f t="shared" si="20"/>
        <v>1.7898346622977062</v>
      </c>
      <c r="Y79" s="7">
        <f t="shared" si="21"/>
        <v>4.7440621848547098</v>
      </c>
      <c r="Z79" s="7" t="str">
        <f t="shared" si="7"/>
        <v/>
      </c>
      <c r="AA79" s="7">
        <f t="shared" si="8"/>
        <v>1.7949999999999999</v>
      </c>
      <c r="AB79" s="7">
        <f t="shared" si="9"/>
        <v>21.94</v>
      </c>
      <c r="AC79" s="7">
        <f t="shared" si="10"/>
        <v>21</v>
      </c>
      <c r="AD79" s="7">
        <f t="shared" si="11"/>
        <v>0</v>
      </c>
      <c r="AE79" s="7">
        <f t="shared" si="12"/>
        <v>1.725598558766865</v>
      </c>
      <c r="AF79" s="7">
        <f t="shared" si="13"/>
        <v>0.75987841945288759</v>
      </c>
      <c r="AG79" s="7">
        <f t="shared" si="14"/>
        <v>5.0291298767324202</v>
      </c>
    </row>
    <row r="80" spans="1:33" x14ac:dyDescent="0.25">
      <c r="A80" s="4" t="s">
        <v>102</v>
      </c>
      <c r="B80" s="4">
        <v>2018</v>
      </c>
      <c r="C80" s="4" t="s">
        <v>86</v>
      </c>
      <c r="D80" s="5">
        <f t="shared" si="15"/>
        <v>0</v>
      </c>
      <c r="E80" s="4"/>
      <c r="F80" s="4"/>
      <c r="G80" s="4"/>
      <c r="H80" s="4"/>
      <c r="I80" s="4"/>
      <c r="J80" s="4">
        <v>1195.5999999999999</v>
      </c>
      <c r="K80" s="4">
        <v>48.2</v>
      </c>
      <c r="L80" s="4">
        <v>2.8490000000000002</v>
      </c>
      <c r="M80" s="4">
        <v>22.61</v>
      </c>
      <c r="N80" s="4">
        <v>12.5</v>
      </c>
      <c r="O80" s="4"/>
      <c r="P80" s="4">
        <v>499.5</v>
      </c>
      <c r="Q80" s="6">
        <f t="shared" si="16"/>
        <v>0.41778186684509871</v>
      </c>
      <c r="R80" s="4">
        <v>4</v>
      </c>
      <c r="S80" s="4">
        <v>4</v>
      </c>
      <c r="T80" s="6">
        <f t="shared" si="17"/>
        <v>0.66912010705921721</v>
      </c>
      <c r="U80" s="4">
        <v>58.7</v>
      </c>
      <c r="V80" s="7" t="str">
        <f t="shared" si="18"/>
        <v/>
      </c>
      <c r="W80" s="7">
        <f t="shared" si="19"/>
        <v>3.8753590210565547</v>
      </c>
      <c r="X80" s="7">
        <f t="shared" si="20"/>
        <v>-0.87279583232117453</v>
      </c>
      <c r="Y80" s="7">
        <f t="shared" si="21"/>
        <v>4.0893320203985564</v>
      </c>
      <c r="Z80" s="7" t="str">
        <f t="shared" si="7"/>
        <v/>
      </c>
      <c r="AA80" s="7">
        <f t="shared" si="8"/>
        <v>2.84</v>
      </c>
      <c r="AB80" s="7">
        <f t="shared" si="9"/>
        <v>22.46</v>
      </c>
      <c r="AC80" s="7">
        <f t="shared" si="10"/>
        <v>10.4</v>
      </c>
      <c r="AD80" s="7">
        <f t="shared" si="11"/>
        <v>0</v>
      </c>
      <c r="AE80" s="7">
        <f t="shared" si="12"/>
        <v>-0.97013751888805488</v>
      </c>
      <c r="AF80" s="7">
        <f t="shared" si="13"/>
        <v>0.58479532163742687</v>
      </c>
      <c r="AG80" s="7">
        <f t="shared" si="14"/>
        <v>3.5467396869528134</v>
      </c>
    </row>
    <row r="81" spans="1:33" x14ac:dyDescent="0.25">
      <c r="A81" s="4" t="s">
        <v>103</v>
      </c>
      <c r="B81" s="4">
        <v>2018</v>
      </c>
      <c r="C81" s="4" t="s">
        <v>86</v>
      </c>
      <c r="D81" s="5">
        <f t="shared" si="15"/>
        <v>0</v>
      </c>
      <c r="E81" s="4">
        <v>41.1</v>
      </c>
      <c r="F81" s="4">
        <v>38</v>
      </c>
      <c r="G81" s="4">
        <v>49.1</v>
      </c>
      <c r="H81" s="4">
        <v>26.2</v>
      </c>
      <c r="I81" s="4">
        <v>71.5</v>
      </c>
      <c r="J81" s="4">
        <v>1227.7</v>
      </c>
      <c r="K81" s="4">
        <v>67.8</v>
      </c>
      <c r="L81" s="4">
        <v>6.3730000000000002</v>
      </c>
      <c r="M81" s="4">
        <v>69.28</v>
      </c>
      <c r="N81" s="4">
        <v>24.2</v>
      </c>
      <c r="O81" s="4"/>
      <c r="P81" s="4">
        <v>4063.4</v>
      </c>
      <c r="Q81" s="6">
        <f t="shared" si="16"/>
        <v>3.3097662295349024</v>
      </c>
      <c r="R81" s="4">
        <v>13</v>
      </c>
      <c r="S81" s="4">
        <v>6</v>
      </c>
      <c r="T81" s="6">
        <f t="shared" si="17"/>
        <v>1.5476093508186037</v>
      </c>
      <c r="U81" s="4">
        <v>564.5</v>
      </c>
      <c r="V81" s="7">
        <f t="shared" si="18"/>
        <v>3.7160081215021892</v>
      </c>
      <c r="W81" s="7">
        <f t="shared" si="19"/>
        <v>4.2165621949463494</v>
      </c>
      <c r="X81" s="7">
        <f t="shared" si="20"/>
        <v>1.1968775613767157</v>
      </c>
      <c r="Y81" s="7">
        <f t="shared" si="21"/>
        <v>6.3377102955561755</v>
      </c>
      <c r="Z81" s="7" t="str">
        <f t="shared" si="7"/>
        <v/>
      </c>
      <c r="AA81" s="7">
        <f t="shared" si="8"/>
        <v>6.1070000000000002</v>
      </c>
      <c r="AB81" s="7">
        <f t="shared" si="9"/>
        <v>68.94</v>
      </c>
      <c r="AC81" s="7">
        <f t="shared" si="10"/>
        <v>21.1</v>
      </c>
      <c r="AD81" s="7">
        <f t="shared" si="11"/>
        <v>0</v>
      </c>
      <c r="AE81" s="7">
        <f t="shared" si="12"/>
        <v>1.0963737466069507</v>
      </c>
      <c r="AF81" s="7">
        <f t="shared" si="13"/>
        <v>1.4725130890052354</v>
      </c>
      <c r="AG81" s="7">
        <f t="shared" si="14"/>
        <v>6.2681488653502218</v>
      </c>
    </row>
    <row r="82" spans="1:33" x14ac:dyDescent="0.25">
      <c r="A82" s="4" t="s">
        <v>104</v>
      </c>
      <c r="B82" s="4">
        <v>2018</v>
      </c>
      <c r="C82" s="4" t="s">
        <v>105</v>
      </c>
      <c r="D82" s="5">
        <f t="shared" si="15"/>
        <v>0</v>
      </c>
      <c r="E82" s="4">
        <v>30.1</v>
      </c>
      <c r="F82" s="4">
        <v>20.8</v>
      </c>
      <c r="G82" s="4">
        <v>35.799999999999997</v>
      </c>
      <c r="H82" s="4">
        <v>20</v>
      </c>
      <c r="I82" s="4">
        <v>63.6</v>
      </c>
      <c r="J82" s="4">
        <v>1495.7</v>
      </c>
      <c r="K82" s="4">
        <v>39.299999999999997</v>
      </c>
      <c r="L82" s="4">
        <v>2.4140000000000001</v>
      </c>
      <c r="M82" s="4">
        <v>28.92</v>
      </c>
      <c r="N82" s="4">
        <v>10.4</v>
      </c>
      <c r="O82" s="4"/>
      <c r="P82" s="4">
        <v>18552.5</v>
      </c>
      <c r="Q82" s="6">
        <f t="shared" si="16"/>
        <v>12.403891154643311</v>
      </c>
      <c r="R82" s="4">
        <v>14</v>
      </c>
      <c r="S82" s="4">
        <v>1</v>
      </c>
      <c r="T82" s="6">
        <f t="shared" si="17"/>
        <v>1.0028749080698001</v>
      </c>
      <c r="U82" s="4">
        <v>8.1999999999999993</v>
      </c>
      <c r="V82" s="7">
        <f t="shared" si="18"/>
        <v>3.4045251717548299</v>
      </c>
      <c r="W82" s="7">
        <f t="shared" si="19"/>
        <v>3.6712245188752153</v>
      </c>
      <c r="X82" s="7">
        <f t="shared" si="20"/>
        <v>2.5180102261790078</v>
      </c>
      <c r="Y82" s="7">
        <f t="shared" si="21"/>
        <v>2.2192034840549946</v>
      </c>
      <c r="Z82" s="7" t="str">
        <f t="shared" si="7"/>
        <v/>
      </c>
      <c r="AA82" s="7">
        <f t="shared" si="8"/>
        <v>2.37</v>
      </c>
      <c r="AB82" s="7">
        <f t="shared" si="9"/>
        <v>28.89</v>
      </c>
      <c r="AC82" s="7">
        <f t="shared" si="10"/>
        <v>11</v>
      </c>
      <c r="AD82" s="7">
        <f t="shared" si="11"/>
        <v>0</v>
      </c>
      <c r="AE82" s="7">
        <f t="shared" si="12"/>
        <v>2.4453409478207369</v>
      </c>
      <c r="AF82" s="7">
        <f t="shared" si="13"/>
        <v>1.2254067669684798</v>
      </c>
      <c r="AG82" s="7">
        <f t="shared" si="14"/>
        <v>2.2300144001592104</v>
      </c>
    </row>
    <row r="83" spans="1:33" x14ac:dyDescent="0.25">
      <c r="A83" s="4" t="s">
        <v>106</v>
      </c>
      <c r="B83" s="4">
        <v>2018</v>
      </c>
      <c r="C83" s="4" t="s">
        <v>96</v>
      </c>
      <c r="D83" s="5">
        <f t="shared" si="15"/>
        <v>0</v>
      </c>
      <c r="E83" s="4"/>
      <c r="F83" s="4"/>
      <c r="G83" s="4"/>
      <c r="H83" s="4"/>
      <c r="I83" s="4"/>
      <c r="J83" s="4">
        <v>846.5</v>
      </c>
      <c r="K83" s="4">
        <v>26.1</v>
      </c>
      <c r="L83" s="4">
        <v>1.3440000000000001</v>
      </c>
      <c r="M83" s="4">
        <v>15.07</v>
      </c>
      <c r="N83" s="4">
        <v>13.8</v>
      </c>
      <c r="O83" s="4"/>
      <c r="P83" s="4">
        <v>2277.6999999999998</v>
      </c>
      <c r="Q83" s="6">
        <f t="shared" si="16"/>
        <v>2.6907265209686946</v>
      </c>
      <c r="R83" s="4">
        <v>0</v>
      </c>
      <c r="S83" s="4">
        <v>0</v>
      </c>
      <c r="T83" s="6">
        <f t="shared" si="17"/>
        <v>0</v>
      </c>
      <c r="U83" s="4">
        <v>7.8</v>
      </c>
      <c r="V83" s="7" t="str">
        <f t="shared" si="18"/>
        <v/>
      </c>
      <c r="W83" s="7">
        <f t="shared" si="19"/>
        <v>3.2619353143286478</v>
      </c>
      <c r="X83" s="7">
        <f t="shared" si="20"/>
        <v>0.98981123929262715</v>
      </c>
      <c r="Y83" s="7">
        <f t="shared" si="21"/>
        <v>2.174751721484161</v>
      </c>
      <c r="Z83" s="7" t="str">
        <f t="shared" si="7"/>
        <v/>
      </c>
      <c r="AA83" s="7">
        <f t="shared" si="8"/>
        <v>1.363</v>
      </c>
      <c r="AB83" s="7">
        <f t="shared" si="9"/>
        <v>15.02</v>
      </c>
      <c r="AC83" s="7">
        <f t="shared" si="10"/>
        <v>12.5</v>
      </c>
      <c r="AD83" s="7">
        <f t="shared" si="11"/>
        <v>0</v>
      </c>
      <c r="AE83" s="7">
        <f t="shared" si="12"/>
        <v>0.93762797588203439</v>
      </c>
      <c r="AF83" s="7">
        <f t="shared" si="13"/>
        <v>0</v>
      </c>
      <c r="AG83" s="7">
        <f t="shared" si="14"/>
        <v>2.6602595372658615</v>
      </c>
    </row>
    <row r="84" spans="1:33" x14ac:dyDescent="0.25">
      <c r="A84" s="4" t="s">
        <v>107</v>
      </c>
      <c r="B84" s="4">
        <v>2018</v>
      </c>
      <c r="C84" s="4" t="s">
        <v>99</v>
      </c>
      <c r="D84" s="5">
        <f t="shared" si="15"/>
        <v>1</v>
      </c>
      <c r="E84" s="4">
        <v>35</v>
      </c>
      <c r="F84" s="4">
        <v>35.4</v>
      </c>
      <c r="G84" s="4">
        <v>42.2</v>
      </c>
      <c r="H84" s="4">
        <v>25</v>
      </c>
      <c r="I84" s="4">
        <v>43.7</v>
      </c>
      <c r="J84" s="4">
        <v>847.1</v>
      </c>
      <c r="K84" s="4">
        <v>56.3</v>
      </c>
      <c r="L84" s="4">
        <v>4.4279999999999999</v>
      </c>
      <c r="M84" s="4">
        <v>16.62</v>
      </c>
      <c r="N84" s="4">
        <v>20.8</v>
      </c>
      <c r="O84" s="4"/>
      <c r="P84" s="4">
        <v>12763</v>
      </c>
      <c r="Q84" s="6">
        <f t="shared" si="16"/>
        <v>15.066698146617872</v>
      </c>
      <c r="R84" s="4">
        <v>10</v>
      </c>
      <c r="S84" s="4">
        <v>3</v>
      </c>
      <c r="T84" s="6">
        <f t="shared" si="17"/>
        <v>1.534647621296187</v>
      </c>
      <c r="U84" s="4">
        <v>3307.2</v>
      </c>
      <c r="V84" s="7">
        <f t="shared" si="18"/>
        <v>3.5553480614894135</v>
      </c>
      <c r="W84" s="7">
        <f t="shared" si="19"/>
        <v>4.0306945351456447</v>
      </c>
      <c r="X84" s="7">
        <f t="shared" si="20"/>
        <v>2.7124868875451855</v>
      </c>
      <c r="Y84" s="7">
        <f t="shared" si="21"/>
        <v>8.1041595138081206</v>
      </c>
      <c r="Z84" s="7" t="str">
        <f t="shared" si="7"/>
        <v/>
      </c>
      <c r="AA84" s="7">
        <f t="shared" si="8"/>
        <v>3.9910000000000001</v>
      </c>
      <c r="AB84" s="7">
        <f t="shared" si="9"/>
        <v>16.46</v>
      </c>
      <c r="AC84" s="7">
        <f t="shared" si="10"/>
        <v>18.100000000000001</v>
      </c>
      <c r="AD84" s="7">
        <f t="shared" si="11"/>
        <v>0</v>
      </c>
      <c r="AE84" s="7">
        <f t="shared" si="12"/>
        <v>2.5305182987079129</v>
      </c>
      <c r="AF84" s="7">
        <f t="shared" si="13"/>
        <v>1.1907597046915934</v>
      </c>
      <c r="AG84" s="7">
        <f t="shared" si="14"/>
        <v>7.9737066254106859</v>
      </c>
    </row>
    <row r="85" spans="1:33" x14ac:dyDescent="0.25">
      <c r="A85" s="4" t="s">
        <v>108</v>
      </c>
      <c r="B85" s="4">
        <v>2018</v>
      </c>
      <c r="C85" s="4" t="s">
        <v>99</v>
      </c>
      <c r="D85" s="5">
        <f t="shared" si="15"/>
        <v>1</v>
      </c>
      <c r="E85" s="4">
        <v>79.8</v>
      </c>
      <c r="F85" s="4">
        <v>84.2</v>
      </c>
      <c r="G85" s="4">
        <v>79.400000000000006</v>
      </c>
      <c r="H85" s="4">
        <v>78.599999999999994</v>
      </c>
      <c r="I85" s="4">
        <v>76.2</v>
      </c>
      <c r="J85" s="4">
        <v>7914.5</v>
      </c>
      <c r="K85" s="4">
        <v>111.6</v>
      </c>
      <c r="L85" s="4">
        <v>18.082999999999998</v>
      </c>
      <c r="M85" s="4">
        <v>49.34</v>
      </c>
      <c r="N85" s="4">
        <v>42</v>
      </c>
      <c r="O85" s="4"/>
      <c r="P85" s="4">
        <v>110704.5</v>
      </c>
      <c r="Q85" s="6">
        <f t="shared" si="16"/>
        <v>13.98755448859688</v>
      </c>
      <c r="R85" s="4">
        <v>134</v>
      </c>
      <c r="S85" s="4">
        <v>22</v>
      </c>
      <c r="T85" s="6">
        <f t="shared" si="17"/>
        <v>1.9710657653673636</v>
      </c>
      <c r="U85" s="4">
        <v>4186.6000000000004</v>
      </c>
      <c r="V85" s="7">
        <f t="shared" si="18"/>
        <v>4.3795235044557632</v>
      </c>
      <c r="W85" s="7">
        <f t="shared" si="19"/>
        <v>4.7149210499472103</v>
      </c>
      <c r="X85" s="7">
        <f t="shared" si="20"/>
        <v>2.6381679691512341</v>
      </c>
      <c r="Y85" s="7">
        <f t="shared" si="21"/>
        <v>8.3398830564451991</v>
      </c>
      <c r="Z85" s="7" t="str">
        <f t="shared" si="7"/>
        <v/>
      </c>
      <c r="AA85" s="7">
        <f t="shared" si="8"/>
        <v>17.305</v>
      </c>
      <c r="AB85" s="7">
        <f t="shared" si="9"/>
        <v>49.21</v>
      </c>
      <c r="AC85" s="7">
        <f t="shared" si="10"/>
        <v>44.2</v>
      </c>
      <c r="AD85" s="7">
        <f t="shared" si="11"/>
        <v>0</v>
      </c>
      <c r="AE85" s="7">
        <f t="shared" si="12"/>
        <v>2.5813674727092595</v>
      </c>
      <c r="AF85" s="7">
        <f t="shared" si="13"/>
        <v>1.8857689028958176</v>
      </c>
      <c r="AG85" s="7">
        <f t="shared" si="14"/>
        <v>8.1805449393052072</v>
      </c>
    </row>
    <row r="86" spans="1:33" x14ac:dyDescent="0.25">
      <c r="A86" s="4" t="s">
        <v>109</v>
      </c>
      <c r="B86" s="4">
        <v>2018</v>
      </c>
      <c r="C86" s="4" t="s">
        <v>92</v>
      </c>
      <c r="D86" s="5">
        <f t="shared" si="15"/>
        <v>0</v>
      </c>
      <c r="E86" s="4">
        <v>33.700000000000003</v>
      </c>
      <c r="F86" s="4">
        <v>32.4</v>
      </c>
      <c r="G86" s="4">
        <v>32.799999999999997</v>
      </c>
      <c r="H86" s="4">
        <v>28.7</v>
      </c>
      <c r="I86" s="4">
        <v>57.5</v>
      </c>
      <c r="J86" s="4">
        <v>1280.5</v>
      </c>
      <c r="K86" s="4">
        <v>54.7</v>
      </c>
      <c r="L86" s="4">
        <v>3.4740000000000002</v>
      </c>
      <c r="M86" s="4">
        <v>19.14</v>
      </c>
      <c r="N86" s="4">
        <v>24.2</v>
      </c>
      <c r="O86" s="4"/>
      <c r="P86" s="4">
        <v>34098.199999999997</v>
      </c>
      <c r="Q86" s="6">
        <f t="shared" si="16"/>
        <v>26.628816868410773</v>
      </c>
      <c r="R86" s="4">
        <v>6</v>
      </c>
      <c r="S86" s="4">
        <v>1</v>
      </c>
      <c r="T86" s="6">
        <f t="shared" si="17"/>
        <v>0.54666146036704411</v>
      </c>
      <c r="U86" s="4">
        <v>9148.5</v>
      </c>
      <c r="V86" s="7">
        <f t="shared" si="18"/>
        <v>3.5174978373583161</v>
      </c>
      <c r="W86" s="7">
        <f t="shared" si="19"/>
        <v>4.0018637094279352</v>
      </c>
      <c r="X86" s="7">
        <f t="shared" si="20"/>
        <v>3.2819939703150487</v>
      </c>
      <c r="Y86" s="7">
        <f t="shared" si="21"/>
        <v>9.121454511967741</v>
      </c>
      <c r="Z86" s="7" t="str">
        <f t="shared" si="7"/>
        <v/>
      </c>
      <c r="AA86" s="7">
        <f t="shared" si="8"/>
        <v>3.27</v>
      </c>
      <c r="AB86" s="7">
        <f t="shared" si="9"/>
        <v>18.62</v>
      </c>
      <c r="AC86" s="7">
        <f t="shared" si="10"/>
        <v>21.5</v>
      </c>
      <c r="AD86" s="7">
        <f t="shared" si="11"/>
        <v>0</v>
      </c>
      <c r="AE86" s="7">
        <f t="shared" si="12"/>
        <v>3.2195881750733517</v>
      </c>
      <c r="AF86" s="7">
        <f t="shared" si="13"/>
        <v>0.47088369172814315</v>
      </c>
      <c r="AG86" s="7">
        <f t="shared" si="14"/>
        <v>9.1176876579796264</v>
      </c>
    </row>
    <row r="87" spans="1:33" x14ac:dyDescent="0.25">
      <c r="A87" s="4" t="s">
        <v>110</v>
      </c>
      <c r="B87" s="4">
        <v>2018</v>
      </c>
      <c r="C87" s="4" t="s">
        <v>96</v>
      </c>
      <c r="D87" s="5">
        <f t="shared" si="15"/>
        <v>0</v>
      </c>
      <c r="E87" s="4">
        <v>31.1</v>
      </c>
      <c r="F87" s="4">
        <v>28.3</v>
      </c>
      <c r="G87" s="4">
        <v>32.1</v>
      </c>
      <c r="H87" s="4">
        <v>21.9</v>
      </c>
      <c r="I87" s="4">
        <v>65.900000000000006</v>
      </c>
      <c r="J87" s="4">
        <v>850.4</v>
      </c>
      <c r="K87" s="4">
        <v>54.4</v>
      </c>
      <c r="L87" s="4">
        <v>2.5510000000000002</v>
      </c>
      <c r="M87" s="4">
        <v>15.66</v>
      </c>
      <c r="N87" s="4">
        <v>17.399999999999999</v>
      </c>
      <c r="O87" s="4"/>
      <c r="P87" s="4">
        <v>7633.4</v>
      </c>
      <c r="Q87" s="6">
        <f t="shared" si="16"/>
        <v>8.9762464722483539</v>
      </c>
      <c r="R87" s="4">
        <v>4</v>
      </c>
      <c r="S87" s="4">
        <v>2</v>
      </c>
      <c r="T87" s="6">
        <f t="shared" si="17"/>
        <v>0.70555032925682037</v>
      </c>
      <c r="U87" s="4">
        <v>843.8</v>
      </c>
      <c r="V87" s="7">
        <f t="shared" si="18"/>
        <v>3.4372078191851885</v>
      </c>
      <c r="W87" s="7">
        <f t="shared" si="19"/>
        <v>3.9963641538618968</v>
      </c>
      <c r="X87" s="7">
        <f t="shared" si="20"/>
        <v>2.1945818074327996</v>
      </c>
      <c r="Y87" s="7">
        <f t="shared" si="21"/>
        <v>6.7390999129519971</v>
      </c>
      <c r="Z87" s="7" t="str">
        <f t="shared" si="7"/>
        <v/>
      </c>
      <c r="AA87" s="7">
        <f t="shared" si="8"/>
        <v>2.3679999999999999</v>
      </c>
      <c r="AB87" s="7">
        <f t="shared" si="9"/>
        <v>15.59</v>
      </c>
      <c r="AC87" s="7">
        <f t="shared" si="10"/>
        <v>17.8</v>
      </c>
      <c r="AD87" s="7">
        <f t="shared" si="11"/>
        <v>0</v>
      </c>
      <c r="AE87" s="7">
        <f t="shared" si="12"/>
        <v>2.1782153235989101</v>
      </c>
      <c r="AF87" s="7">
        <f t="shared" si="13"/>
        <v>0.7100591715976331</v>
      </c>
      <c r="AG87" s="7">
        <f t="shared" si="14"/>
        <v>6.4999374052903756</v>
      </c>
    </row>
    <row r="88" spans="1:33" x14ac:dyDescent="0.25">
      <c r="A88" s="4" t="s">
        <v>111</v>
      </c>
      <c r="B88" s="4">
        <v>2018</v>
      </c>
      <c r="C88" s="4" t="s">
        <v>99</v>
      </c>
      <c r="D88" s="5">
        <f t="shared" si="15"/>
        <v>1</v>
      </c>
      <c r="E88" s="4">
        <v>34.700000000000003</v>
      </c>
      <c r="F88" s="4">
        <v>32.200000000000003</v>
      </c>
      <c r="G88" s="4">
        <v>38.299999999999997</v>
      </c>
      <c r="H88" s="4">
        <v>24</v>
      </c>
      <c r="I88" s="4">
        <v>65</v>
      </c>
      <c r="J88" s="4">
        <v>1242.4000000000001</v>
      </c>
      <c r="K88" s="4">
        <v>66.900000000000006</v>
      </c>
      <c r="L88" s="4">
        <v>5.3140000000000001</v>
      </c>
      <c r="M88" s="4">
        <v>12.19</v>
      </c>
      <c r="N88" s="4">
        <v>20.399999999999999</v>
      </c>
      <c r="O88" s="4"/>
      <c r="P88" s="4">
        <v>27200.5</v>
      </c>
      <c r="Q88" s="6">
        <f t="shared" si="16"/>
        <v>21.893512556342561</v>
      </c>
      <c r="R88" s="4">
        <v>11</v>
      </c>
      <c r="S88" s="4">
        <v>0</v>
      </c>
      <c r="T88" s="6">
        <f t="shared" si="17"/>
        <v>0.88538312942691555</v>
      </c>
      <c r="U88" s="4">
        <v>3580.9</v>
      </c>
      <c r="V88" s="7">
        <f t="shared" si="18"/>
        <v>3.5467396869528134</v>
      </c>
      <c r="W88" s="7">
        <f t="shared" si="19"/>
        <v>4.203198967134183</v>
      </c>
      <c r="X88" s="7">
        <f t="shared" si="20"/>
        <v>3.0861903626335989</v>
      </c>
      <c r="Y88" s="7">
        <f t="shared" si="21"/>
        <v>8.1836486648663591</v>
      </c>
      <c r="Z88" s="7" t="str">
        <f t="shared" si="7"/>
        <v/>
      </c>
      <c r="AA88" s="7">
        <f t="shared" si="8"/>
        <v>4.7359999999999998</v>
      </c>
      <c r="AB88" s="7">
        <f t="shared" si="9"/>
        <v>12.17</v>
      </c>
      <c r="AC88" s="7">
        <f t="shared" si="10"/>
        <v>19.899999999999999</v>
      </c>
      <c r="AD88" s="7">
        <f t="shared" si="11"/>
        <v>0</v>
      </c>
      <c r="AE88" s="7">
        <f t="shared" si="12"/>
        <v>2.9705646946693602</v>
      </c>
      <c r="AF88" s="7">
        <f t="shared" si="13"/>
        <v>0.81380208333333337</v>
      </c>
      <c r="AG88" s="7">
        <f t="shared" si="14"/>
        <v>8.1471434885290268</v>
      </c>
    </row>
    <row r="89" spans="1:33" x14ac:dyDescent="0.25">
      <c r="A89" s="4" t="s">
        <v>112</v>
      </c>
      <c r="B89" s="4">
        <v>2018</v>
      </c>
      <c r="C89" s="4" t="s">
        <v>99</v>
      </c>
      <c r="D89" s="5">
        <f t="shared" si="15"/>
        <v>1</v>
      </c>
      <c r="E89" s="4">
        <v>43.1</v>
      </c>
      <c r="F89" s="4">
        <v>35.1</v>
      </c>
      <c r="G89" s="4">
        <v>56.5</v>
      </c>
      <c r="H89" s="4">
        <v>26</v>
      </c>
      <c r="I89" s="4">
        <v>71.8</v>
      </c>
      <c r="J89" s="4">
        <v>1877.7</v>
      </c>
      <c r="K89" s="4">
        <v>61.2</v>
      </c>
      <c r="L89" s="4">
        <v>4.3710000000000004</v>
      </c>
      <c r="M89" s="4">
        <v>24.68</v>
      </c>
      <c r="N89" s="4">
        <v>17.5</v>
      </c>
      <c r="O89" s="4"/>
      <c r="P89" s="4">
        <v>36320.300000000003</v>
      </c>
      <c r="Q89" s="6">
        <f t="shared" si="16"/>
        <v>19.342972785855036</v>
      </c>
      <c r="R89" s="4">
        <v>8</v>
      </c>
      <c r="S89" s="4">
        <v>3</v>
      </c>
      <c r="T89" s="6">
        <f t="shared" si="17"/>
        <v>0.58582308142940831</v>
      </c>
      <c r="U89" s="4">
        <v>4131.8</v>
      </c>
      <c r="V89" s="7">
        <f t="shared" si="18"/>
        <v>3.763522997109702</v>
      </c>
      <c r="W89" s="7">
        <f t="shared" si="19"/>
        <v>4.1141471895182802</v>
      </c>
      <c r="X89" s="7">
        <f t="shared" si="20"/>
        <v>2.9623291899942457</v>
      </c>
      <c r="Y89" s="7">
        <f t="shared" si="21"/>
        <v>8.3267104223415753</v>
      </c>
      <c r="Z89" s="7" t="str">
        <f t="shared" si="7"/>
        <v/>
      </c>
      <c r="AA89" s="7">
        <f t="shared" si="8"/>
        <v>4.0129999999999999</v>
      </c>
      <c r="AB89" s="7">
        <f t="shared" si="9"/>
        <v>23.97</v>
      </c>
      <c r="AC89" s="7">
        <f t="shared" si="10"/>
        <v>20.8</v>
      </c>
      <c r="AD89" s="7">
        <f t="shared" si="11"/>
        <v>0</v>
      </c>
      <c r="AE89" s="7">
        <f t="shared" si="12"/>
        <v>2.8698080066946563</v>
      </c>
      <c r="AF89" s="7">
        <f t="shared" si="13"/>
        <v>2.1074246190424728</v>
      </c>
      <c r="AG89" s="7">
        <f t="shared" si="14"/>
        <v>8.3526251050062559</v>
      </c>
    </row>
    <row r="90" spans="1:33" x14ac:dyDescent="0.25">
      <c r="A90" s="4" t="s">
        <v>113</v>
      </c>
      <c r="B90" s="4">
        <v>2018</v>
      </c>
      <c r="C90" s="4" t="s">
        <v>99</v>
      </c>
      <c r="D90" s="5">
        <f t="shared" si="15"/>
        <v>1</v>
      </c>
      <c r="E90" s="4">
        <v>54.9</v>
      </c>
      <c r="F90" s="4">
        <v>41</v>
      </c>
      <c r="G90" s="4">
        <v>67.2</v>
      </c>
      <c r="H90" s="4">
        <v>45.1</v>
      </c>
      <c r="I90" s="4">
        <v>74</v>
      </c>
      <c r="J90" s="4">
        <v>2016.4</v>
      </c>
      <c r="K90" s="4">
        <v>104.4</v>
      </c>
      <c r="L90" s="4">
        <v>10.718999999999999</v>
      </c>
      <c r="M90" s="4">
        <v>45.64</v>
      </c>
      <c r="N90" s="4">
        <v>31.3</v>
      </c>
      <c r="O90" s="4"/>
      <c r="P90" s="4">
        <v>76010.5</v>
      </c>
      <c r="Q90" s="6">
        <f t="shared" si="16"/>
        <v>37.696141638563773</v>
      </c>
      <c r="R90" s="4">
        <v>24</v>
      </c>
      <c r="S90" s="4">
        <v>10</v>
      </c>
      <c r="T90" s="6">
        <f t="shared" si="17"/>
        <v>1.6861733782979567</v>
      </c>
      <c r="U90" s="4">
        <v>8764.2000000000007</v>
      </c>
      <c r="V90" s="7">
        <f t="shared" si="18"/>
        <v>4.0055133485154846</v>
      </c>
      <c r="W90" s="7">
        <f t="shared" si="19"/>
        <v>4.6482296754485386</v>
      </c>
      <c r="X90" s="7">
        <f t="shared" si="20"/>
        <v>3.6295577454118062</v>
      </c>
      <c r="Y90" s="7">
        <f t="shared" si="21"/>
        <v>9.078544615121249</v>
      </c>
      <c r="Z90" s="7" t="str">
        <f t="shared" si="7"/>
        <v/>
      </c>
      <c r="AA90" s="7">
        <f t="shared" si="8"/>
        <v>10.791</v>
      </c>
      <c r="AB90" s="7">
        <f t="shared" si="9"/>
        <v>45.69</v>
      </c>
      <c r="AC90" s="7">
        <f t="shared" si="10"/>
        <v>33.799999999999997</v>
      </c>
      <c r="AD90" s="7">
        <f t="shared" si="11"/>
        <v>0</v>
      </c>
      <c r="AE90" s="7">
        <f t="shared" si="12"/>
        <v>3.4783132407040549</v>
      </c>
      <c r="AF90" s="7">
        <f t="shared" si="13"/>
        <v>1.7487758569001699</v>
      </c>
      <c r="AG90" s="7">
        <f t="shared" si="14"/>
        <v>8.9359166840825957</v>
      </c>
    </row>
    <row r="91" spans="1:33" x14ac:dyDescent="0.25">
      <c r="A91" s="4" t="s">
        <v>114</v>
      </c>
      <c r="B91" s="4">
        <v>2018</v>
      </c>
      <c r="C91" s="4" t="s">
        <v>86</v>
      </c>
      <c r="D91" s="5">
        <f t="shared" si="15"/>
        <v>0</v>
      </c>
      <c r="E91" s="4"/>
      <c r="F91" s="4"/>
      <c r="G91" s="4"/>
      <c r="H91" s="4"/>
      <c r="I91" s="4"/>
      <c r="J91" s="4">
        <v>734.9</v>
      </c>
      <c r="K91" s="4">
        <v>44.3</v>
      </c>
      <c r="L91" s="4">
        <v>2.5840000000000001</v>
      </c>
      <c r="M91" s="4">
        <v>24.9</v>
      </c>
      <c r="N91" s="4">
        <v>9.6999999999999993</v>
      </c>
      <c r="O91" s="4"/>
      <c r="P91" s="4">
        <v>1988.8</v>
      </c>
      <c r="Q91" s="6">
        <f t="shared" si="16"/>
        <v>2.7062185331337596</v>
      </c>
      <c r="R91" s="4">
        <v>6</v>
      </c>
      <c r="S91" s="4">
        <v>1</v>
      </c>
      <c r="T91" s="6">
        <f t="shared" si="17"/>
        <v>0.95251054565246973</v>
      </c>
      <c r="U91" s="4">
        <v>612.5</v>
      </c>
      <c r="V91" s="7" t="str">
        <f t="shared" si="18"/>
        <v/>
      </c>
      <c r="W91" s="7">
        <f t="shared" si="19"/>
        <v>3.7909846770510898</v>
      </c>
      <c r="X91" s="7">
        <f t="shared" si="20"/>
        <v>0.99555228522162109</v>
      </c>
      <c r="Y91" s="7">
        <f t="shared" si="21"/>
        <v>6.4191802641509659</v>
      </c>
      <c r="Z91" s="7" t="str">
        <f t="shared" si="7"/>
        <v/>
      </c>
      <c r="AA91" s="7">
        <f t="shared" si="8"/>
        <v>2.5</v>
      </c>
      <c r="AB91" s="7">
        <f t="shared" si="9"/>
        <v>24.26</v>
      </c>
      <c r="AC91" s="7">
        <f t="shared" si="10"/>
        <v>9</v>
      </c>
      <c r="AD91" s="7">
        <f t="shared" si="11"/>
        <v>0</v>
      </c>
      <c r="AE91" s="7">
        <f t="shared" si="12"/>
        <v>0.95895884440790269</v>
      </c>
      <c r="AF91" s="7">
        <f t="shared" si="13"/>
        <v>0.81378000813780016</v>
      </c>
      <c r="AG91" s="7">
        <f t="shared" si="14"/>
        <v>6.9823060102464334</v>
      </c>
    </row>
    <row r="92" spans="1:33" x14ac:dyDescent="0.25">
      <c r="A92" s="4" t="s">
        <v>115</v>
      </c>
      <c r="B92" s="4">
        <v>2018</v>
      </c>
      <c r="C92" s="4" t="s">
        <v>92</v>
      </c>
      <c r="D92" s="5">
        <f t="shared" si="15"/>
        <v>0</v>
      </c>
      <c r="E92" s="4">
        <v>40.299999999999997</v>
      </c>
      <c r="F92" s="4">
        <v>36</v>
      </c>
      <c r="G92" s="4">
        <v>48.5</v>
      </c>
      <c r="H92" s="4">
        <v>32.5</v>
      </c>
      <c r="I92" s="4">
        <v>47.2</v>
      </c>
      <c r="J92" s="4">
        <v>1224.5</v>
      </c>
      <c r="K92" s="4">
        <v>63.9</v>
      </c>
      <c r="L92" s="4">
        <v>8.4939999999999998</v>
      </c>
      <c r="M92" s="4">
        <v>42.03</v>
      </c>
      <c r="N92" s="4">
        <v>18.8</v>
      </c>
      <c r="O92" s="4"/>
      <c r="P92" s="4">
        <v>23183.1</v>
      </c>
      <c r="Q92" s="6">
        <f t="shared" si="16"/>
        <v>18.932707227439771</v>
      </c>
      <c r="R92" s="4">
        <v>25</v>
      </c>
      <c r="S92" s="4">
        <v>6</v>
      </c>
      <c r="T92" s="6">
        <f t="shared" si="17"/>
        <v>2.5316455696202533</v>
      </c>
      <c r="U92" s="4">
        <v>3465.1</v>
      </c>
      <c r="V92" s="7">
        <f t="shared" si="18"/>
        <v>3.6963514689526371</v>
      </c>
      <c r="W92" s="7">
        <f t="shared" si="19"/>
        <v>4.1573193613834887</v>
      </c>
      <c r="X92" s="7">
        <f t="shared" si="20"/>
        <v>2.9408909675389538</v>
      </c>
      <c r="Y92" s="7">
        <f t="shared" si="21"/>
        <v>8.1507853215615995</v>
      </c>
      <c r="Z92" s="7" t="str">
        <f t="shared" si="7"/>
        <v/>
      </c>
      <c r="AA92" s="7">
        <f t="shared" si="8"/>
        <v>7.7320000000000002</v>
      </c>
      <c r="AB92" s="7">
        <f t="shared" si="9"/>
        <v>41.78</v>
      </c>
      <c r="AC92" s="7">
        <f t="shared" si="10"/>
        <v>18.7</v>
      </c>
      <c r="AD92" s="7">
        <f t="shared" si="11"/>
        <v>0</v>
      </c>
      <c r="AE92" s="7">
        <f t="shared" si="12"/>
        <v>2.8836991393512039</v>
      </c>
      <c r="AF92" s="7">
        <f t="shared" si="13"/>
        <v>2.302063635616213</v>
      </c>
      <c r="AG92" s="7">
        <f t="shared" si="14"/>
        <v>8.1413645524363787</v>
      </c>
    </row>
    <row r="93" spans="1:33" x14ac:dyDescent="0.25">
      <c r="A93" s="4" t="s">
        <v>116</v>
      </c>
      <c r="B93" s="4">
        <v>2018</v>
      </c>
      <c r="C93" s="4" t="s">
        <v>86</v>
      </c>
      <c r="D93" s="5">
        <f t="shared" si="15"/>
        <v>0</v>
      </c>
      <c r="E93" s="4">
        <v>35.299999999999997</v>
      </c>
      <c r="F93" s="4">
        <v>30</v>
      </c>
      <c r="G93" s="4">
        <v>45.2</v>
      </c>
      <c r="H93" s="4">
        <v>23.7</v>
      </c>
      <c r="I93" s="4">
        <v>51.9</v>
      </c>
      <c r="J93" s="4">
        <v>1718.1</v>
      </c>
      <c r="K93" s="4">
        <v>52</v>
      </c>
      <c r="L93" s="4">
        <v>4.2930000000000001</v>
      </c>
      <c r="M93" s="4">
        <v>28.21</v>
      </c>
      <c r="N93" s="4">
        <v>15.4</v>
      </c>
      <c r="O93" s="4"/>
      <c r="P93" s="4">
        <v>3494.8</v>
      </c>
      <c r="Q93" s="6">
        <f t="shared" si="16"/>
        <v>2.034107444269833</v>
      </c>
      <c r="R93" s="4">
        <v>9</v>
      </c>
      <c r="S93" s="4">
        <v>1</v>
      </c>
      <c r="T93" s="6">
        <f t="shared" si="17"/>
        <v>0.5820382981200164</v>
      </c>
      <c r="U93" s="4">
        <v>2749.8</v>
      </c>
      <c r="V93" s="7">
        <f t="shared" si="18"/>
        <v>3.5638829639392511</v>
      </c>
      <c r="W93" s="7">
        <f t="shared" si="19"/>
        <v>3.9512437185814275</v>
      </c>
      <c r="X93" s="7">
        <f t="shared" si="20"/>
        <v>0.71005712035601831</v>
      </c>
      <c r="Y93" s="7">
        <f t="shared" si="21"/>
        <v>7.9196470574456814</v>
      </c>
      <c r="Z93" s="7" t="str">
        <f t="shared" si="7"/>
        <v/>
      </c>
      <c r="AA93" s="7">
        <f t="shared" si="8"/>
        <v>3.9590000000000001</v>
      </c>
      <c r="AB93" s="7">
        <f t="shared" si="9"/>
        <v>28.06</v>
      </c>
      <c r="AC93" s="7">
        <f t="shared" si="10"/>
        <v>10.8</v>
      </c>
      <c r="AD93" s="7">
        <f t="shared" si="11"/>
        <v>0</v>
      </c>
      <c r="AE93" s="7">
        <f t="shared" si="12"/>
        <v>0.6305722080483892</v>
      </c>
      <c r="AF93" s="7">
        <f t="shared" si="13"/>
        <v>0.46704419405686265</v>
      </c>
      <c r="AG93" s="7">
        <f t="shared" si="14"/>
        <v>7.8450244172414836</v>
      </c>
    </row>
    <row r="94" spans="1:33" x14ac:dyDescent="0.25">
      <c r="A94" s="4" t="s">
        <v>117</v>
      </c>
      <c r="B94" s="4">
        <v>2018</v>
      </c>
      <c r="C94" s="4" t="s">
        <v>105</v>
      </c>
      <c r="D94" s="5">
        <f t="shared" si="15"/>
        <v>0</v>
      </c>
      <c r="E94" s="4">
        <v>29</v>
      </c>
      <c r="F94" s="4">
        <v>26.2</v>
      </c>
      <c r="G94" s="4">
        <v>28.7</v>
      </c>
      <c r="H94" s="4">
        <v>21</v>
      </c>
      <c r="I94" s="4">
        <v>64.099999999999994</v>
      </c>
      <c r="J94" s="4">
        <v>532.4</v>
      </c>
      <c r="K94" s="4">
        <v>37.799999999999997</v>
      </c>
      <c r="L94" s="4">
        <v>2.9510000000000001</v>
      </c>
      <c r="M94" s="4">
        <v>32.119999999999997</v>
      </c>
      <c r="N94" s="4">
        <v>18</v>
      </c>
      <c r="O94" s="4"/>
      <c r="P94" s="4">
        <v>5332.8</v>
      </c>
      <c r="Q94" s="6">
        <f t="shared" si="16"/>
        <v>10.016528925619836</v>
      </c>
      <c r="R94" s="4">
        <v>2</v>
      </c>
      <c r="S94" s="4">
        <v>0</v>
      </c>
      <c r="T94" s="6">
        <f t="shared" si="17"/>
        <v>0.37565740045078888</v>
      </c>
      <c r="U94" s="4">
        <v>165.9</v>
      </c>
      <c r="V94" s="7">
        <f t="shared" si="18"/>
        <v>3.3672958299864741</v>
      </c>
      <c r="W94" s="7">
        <f t="shared" si="19"/>
        <v>3.6323091026255421</v>
      </c>
      <c r="X94" s="7">
        <f t="shared" si="20"/>
        <v>2.3042366210325187</v>
      </c>
      <c r="Y94" s="7">
        <f t="shared" si="21"/>
        <v>5.1173948306677897</v>
      </c>
      <c r="Z94" s="7" t="str">
        <f t="shared" si="7"/>
        <v/>
      </c>
      <c r="AA94" s="7">
        <f t="shared" si="8"/>
        <v>2.9820000000000002</v>
      </c>
      <c r="AB94" s="7">
        <f t="shared" si="9"/>
        <v>32.26</v>
      </c>
      <c r="AC94" s="7">
        <f t="shared" si="10"/>
        <v>16.600000000000001</v>
      </c>
      <c r="AD94" s="7">
        <f t="shared" si="11"/>
        <v>0</v>
      </c>
      <c r="AE94" s="7">
        <f t="shared" si="12"/>
        <v>2.2341345525139165</v>
      </c>
      <c r="AF94" s="7">
        <f t="shared" si="13"/>
        <v>0.38454143433955007</v>
      </c>
      <c r="AG94" s="7">
        <f t="shared" si="14"/>
        <v>5.0701612734102826</v>
      </c>
    </row>
    <row r="95" spans="1:33" x14ac:dyDescent="0.25">
      <c r="A95" s="4" t="s">
        <v>118</v>
      </c>
      <c r="B95" s="4">
        <v>2018</v>
      </c>
      <c r="C95" s="4" t="s">
        <v>96</v>
      </c>
      <c r="D95" s="5">
        <f t="shared" si="15"/>
        <v>0</v>
      </c>
      <c r="E95" s="4"/>
      <c r="F95" s="4"/>
      <c r="G95" s="4"/>
      <c r="H95" s="4"/>
      <c r="I95" s="4"/>
      <c r="J95" s="4">
        <v>453.4</v>
      </c>
      <c r="K95" s="4">
        <v>40.5</v>
      </c>
      <c r="L95" s="4">
        <v>2.4809999999999999</v>
      </c>
      <c r="M95" s="4">
        <v>14.67</v>
      </c>
      <c r="N95" s="4">
        <v>14.2</v>
      </c>
      <c r="O95" s="4"/>
      <c r="P95" s="4">
        <v>1468.6</v>
      </c>
      <c r="Q95" s="6">
        <f t="shared" si="16"/>
        <v>3.2390824878694309</v>
      </c>
      <c r="R95" s="4">
        <v>3</v>
      </c>
      <c r="S95" s="4">
        <v>2</v>
      </c>
      <c r="T95" s="6">
        <f t="shared" si="17"/>
        <v>1.1027790030877813</v>
      </c>
      <c r="U95" s="4">
        <v>3.3</v>
      </c>
      <c r="V95" s="7" t="str">
        <f t="shared" si="18"/>
        <v/>
      </c>
      <c r="W95" s="7">
        <f t="shared" si="19"/>
        <v>3.7013019741124933</v>
      </c>
      <c r="X95" s="7">
        <f t="shared" si="20"/>
        <v>1.1752901069440815</v>
      </c>
      <c r="Y95" s="7">
        <f t="shared" si="21"/>
        <v>1.4586150226995167</v>
      </c>
      <c r="Z95" s="7" t="str">
        <f t="shared" si="7"/>
        <v/>
      </c>
      <c r="AA95" s="7">
        <f t="shared" si="8"/>
        <v>2.468</v>
      </c>
      <c r="AB95" s="7">
        <f t="shared" si="9"/>
        <v>14.67</v>
      </c>
      <c r="AC95" s="7">
        <f t="shared" si="10"/>
        <v>14.4</v>
      </c>
      <c r="AD95" s="7">
        <f t="shared" si="11"/>
        <v>0</v>
      </c>
      <c r="AE95" s="7">
        <f t="shared" si="12"/>
        <v>0.98761160013402227</v>
      </c>
      <c r="AF95" s="7">
        <f t="shared" si="13"/>
        <v>1.5748031496062991</v>
      </c>
      <c r="AG95" s="7">
        <f t="shared" si="14"/>
        <v>2.3025850929940459</v>
      </c>
    </row>
    <row r="96" spans="1:33" x14ac:dyDescent="0.25">
      <c r="A96" s="4" t="s">
        <v>119</v>
      </c>
      <c r="B96" s="4">
        <v>2018</v>
      </c>
      <c r="C96" s="4" t="s">
        <v>86</v>
      </c>
      <c r="D96" s="5">
        <f t="shared" si="15"/>
        <v>0</v>
      </c>
      <c r="E96" s="4">
        <v>34.200000000000003</v>
      </c>
      <c r="F96" s="4">
        <v>28.4</v>
      </c>
      <c r="G96" s="4">
        <v>44.3</v>
      </c>
      <c r="H96" s="4">
        <v>20</v>
      </c>
      <c r="I96" s="4">
        <v>60</v>
      </c>
      <c r="J96" s="4">
        <v>1678.9</v>
      </c>
      <c r="K96" s="4">
        <v>65.7</v>
      </c>
      <c r="L96" s="4">
        <v>5.2910000000000004</v>
      </c>
      <c r="M96" s="4">
        <v>16.21</v>
      </c>
      <c r="N96" s="4">
        <v>16.100000000000001</v>
      </c>
      <c r="O96" s="4"/>
      <c r="P96" s="4">
        <v>5617.5</v>
      </c>
      <c r="Q96" s="6">
        <f t="shared" si="16"/>
        <v>3.3459407945678716</v>
      </c>
      <c r="R96" s="4">
        <v>7</v>
      </c>
      <c r="S96" s="4">
        <v>1</v>
      </c>
      <c r="T96" s="6">
        <f t="shared" si="17"/>
        <v>0.47650247185657274</v>
      </c>
      <c r="U96" s="4">
        <v>4405.5</v>
      </c>
      <c r="V96" s="7">
        <f t="shared" si="18"/>
        <v>3.5322256440685598</v>
      </c>
      <c r="W96" s="7">
        <f t="shared" si="19"/>
        <v>4.1850989254905651</v>
      </c>
      <c r="X96" s="7">
        <f t="shared" si="20"/>
        <v>1.2077479080171318</v>
      </c>
      <c r="Y96" s="7">
        <f t="shared" si="21"/>
        <v>8.3908360025397144</v>
      </c>
      <c r="Z96" s="7" t="str">
        <f t="shared" si="7"/>
        <v/>
      </c>
      <c r="AA96" s="7">
        <f t="shared" si="8"/>
        <v>4.7110000000000003</v>
      </c>
      <c r="AB96" s="7">
        <f t="shared" si="9"/>
        <v>16.350000000000001</v>
      </c>
      <c r="AC96" s="7">
        <f t="shared" si="10"/>
        <v>14.6</v>
      </c>
      <c r="AD96" s="7">
        <f t="shared" si="11"/>
        <v>0</v>
      </c>
      <c r="AE96" s="7">
        <f t="shared" si="12"/>
        <v>1.1666113975049563</v>
      </c>
      <c r="AF96" s="7">
        <f t="shared" si="13"/>
        <v>0.30078806472959152</v>
      </c>
      <c r="AG96" s="7">
        <f t="shared" si="14"/>
        <v>8.341505581258323</v>
      </c>
    </row>
    <row r="97" spans="1:33" x14ac:dyDescent="0.25">
      <c r="A97" s="4" t="s">
        <v>120</v>
      </c>
      <c r="B97" s="4">
        <v>2018</v>
      </c>
      <c r="C97" s="4" t="s">
        <v>96</v>
      </c>
      <c r="D97" s="5">
        <f t="shared" si="15"/>
        <v>0</v>
      </c>
      <c r="E97" s="4">
        <v>33.700000000000003</v>
      </c>
      <c r="F97" s="4">
        <v>37</v>
      </c>
      <c r="G97" s="4">
        <v>30.7</v>
      </c>
      <c r="H97" s="4">
        <v>25.3</v>
      </c>
      <c r="I97" s="4">
        <v>67</v>
      </c>
      <c r="J97" s="4">
        <v>720.8</v>
      </c>
      <c r="K97" s="4">
        <v>62.2</v>
      </c>
      <c r="L97" s="4">
        <v>3.5819999999999999</v>
      </c>
      <c r="M97" s="4">
        <v>23.17</v>
      </c>
      <c r="N97" s="4">
        <v>17.100000000000001</v>
      </c>
      <c r="O97" s="4"/>
      <c r="P97" s="4">
        <v>5252.7</v>
      </c>
      <c r="Q97" s="6">
        <f t="shared" si="16"/>
        <v>7.2873196448390676</v>
      </c>
      <c r="R97" s="4">
        <v>13</v>
      </c>
      <c r="S97" s="4">
        <v>1</v>
      </c>
      <c r="T97" s="6">
        <f t="shared" si="17"/>
        <v>1.942286348501665</v>
      </c>
      <c r="U97" s="4">
        <v>805.5</v>
      </c>
      <c r="V97" s="7">
        <f t="shared" si="18"/>
        <v>3.5174978373583161</v>
      </c>
      <c r="W97" s="7">
        <f t="shared" si="19"/>
        <v>4.1303549997451334</v>
      </c>
      <c r="X97" s="7">
        <f t="shared" si="20"/>
        <v>1.9861358028062526</v>
      </c>
      <c r="Y97" s="7">
        <f t="shared" si="21"/>
        <v>6.6927038975652637</v>
      </c>
      <c r="Z97" s="7" t="str">
        <f t="shared" si="7"/>
        <v/>
      </c>
      <c r="AA97" s="7">
        <f t="shared" si="8"/>
        <v>3.6379999999999999</v>
      </c>
      <c r="AB97" s="7">
        <f t="shared" si="9"/>
        <v>22.86</v>
      </c>
      <c r="AC97" s="7">
        <f t="shared" si="10"/>
        <v>19.100000000000001</v>
      </c>
      <c r="AD97" s="7">
        <f t="shared" si="11"/>
        <v>0</v>
      </c>
      <c r="AE97" s="7">
        <f t="shared" si="12"/>
        <v>1.7195205382438523</v>
      </c>
      <c r="AF97" s="7">
        <f t="shared" si="13"/>
        <v>1.9757267852102738</v>
      </c>
      <c r="AG97" s="7">
        <f t="shared" si="14"/>
        <v>6.7097920261982251</v>
      </c>
    </row>
    <row r="98" spans="1:33" x14ac:dyDescent="0.25">
      <c r="A98" s="4" t="s">
        <v>121</v>
      </c>
      <c r="B98" s="4">
        <v>2018</v>
      </c>
      <c r="C98" s="4" t="s">
        <v>105</v>
      </c>
      <c r="D98" s="5">
        <f t="shared" si="15"/>
        <v>0</v>
      </c>
      <c r="E98" s="4">
        <v>35.9</v>
      </c>
      <c r="F98" s="4">
        <v>31.6</v>
      </c>
      <c r="G98" s="4">
        <v>44.9</v>
      </c>
      <c r="H98" s="4">
        <v>21.8</v>
      </c>
      <c r="I98" s="4">
        <v>62.5</v>
      </c>
      <c r="J98" s="4">
        <v>1291.4000000000001</v>
      </c>
      <c r="K98" s="4">
        <v>56</v>
      </c>
      <c r="L98" s="4">
        <v>4.5519999999999996</v>
      </c>
      <c r="M98" s="4">
        <v>39.07</v>
      </c>
      <c r="N98" s="4">
        <v>16.600000000000001</v>
      </c>
      <c r="O98" s="4"/>
      <c r="P98" s="4">
        <v>12648</v>
      </c>
      <c r="Q98" s="6">
        <f t="shared" si="16"/>
        <v>9.7940219916369831</v>
      </c>
      <c r="R98" s="4">
        <v>5</v>
      </c>
      <c r="S98" s="4">
        <v>2</v>
      </c>
      <c r="T98" s="6">
        <f t="shared" si="17"/>
        <v>0.54204739042899175</v>
      </c>
      <c r="U98" s="4">
        <v>395.5</v>
      </c>
      <c r="V98" s="7">
        <f t="shared" si="18"/>
        <v>3.5807372954942331</v>
      </c>
      <c r="W98" s="7">
        <f t="shared" si="19"/>
        <v>4.0253516907351496</v>
      </c>
      <c r="X98" s="7">
        <f t="shared" si="20"/>
        <v>2.2817721986969413</v>
      </c>
      <c r="Y98" s="7">
        <f t="shared" si="21"/>
        <v>5.9826760410749023</v>
      </c>
      <c r="Z98" s="7" t="str">
        <f t="shared" si="7"/>
        <v/>
      </c>
      <c r="AA98" s="7">
        <f t="shared" si="8"/>
        <v>4.298</v>
      </c>
      <c r="AB98" s="7">
        <f t="shared" si="9"/>
        <v>38.99</v>
      </c>
      <c r="AC98" s="7">
        <f t="shared" si="10"/>
        <v>15</v>
      </c>
      <c r="AD98" s="7">
        <f t="shared" si="11"/>
        <v>0</v>
      </c>
      <c r="AE98" s="7">
        <f t="shared" si="12"/>
        <v>2.176175042741828</v>
      </c>
      <c r="AF98" s="7">
        <f t="shared" si="13"/>
        <v>0.31218293920237261</v>
      </c>
      <c r="AG98" s="7">
        <f t="shared" si="14"/>
        <v>6.019565977218857</v>
      </c>
    </row>
    <row r="99" spans="1:33" x14ac:dyDescent="0.25">
      <c r="A99" s="4" t="s">
        <v>122</v>
      </c>
      <c r="B99" s="4">
        <v>2018</v>
      </c>
      <c r="C99" s="4" t="s">
        <v>96</v>
      </c>
      <c r="D99" s="5">
        <f t="shared" si="15"/>
        <v>0</v>
      </c>
      <c r="E99" s="4">
        <v>27.3</v>
      </c>
      <c r="F99" s="4">
        <v>24.3</v>
      </c>
      <c r="G99" s="4">
        <v>25.1</v>
      </c>
      <c r="H99" s="4">
        <v>23.3</v>
      </c>
      <c r="I99" s="4">
        <v>55.2</v>
      </c>
      <c r="J99" s="4">
        <v>775.9</v>
      </c>
      <c r="K99" s="4">
        <v>38.299999999999997</v>
      </c>
      <c r="L99" s="4">
        <v>2.25</v>
      </c>
      <c r="M99" s="4">
        <v>20.34</v>
      </c>
      <c r="N99" s="4">
        <v>19.8</v>
      </c>
      <c r="O99" s="4"/>
      <c r="P99" s="4">
        <v>5861.5</v>
      </c>
      <c r="Q99" s="6">
        <f t="shared" si="16"/>
        <v>7.5544528934140995</v>
      </c>
      <c r="R99" s="4">
        <v>4</v>
      </c>
      <c r="S99" s="4">
        <v>2</v>
      </c>
      <c r="T99" s="6">
        <f t="shared" si="17"/>
        <v>0.77329552777419774</v>
      </c>
      <c r="U99" s="4">
        <v>305.7</v>
      </c>
      <c r="V99" s="7">
        <f t="shared" si="18"/>
        <v>3.3068867021909143</v>
      </c>
      <c r="W99" s="7">
        <f t="shared" si="19"/>
        <v>3.6454498961866002</v>
      </c>
      <c r="X99" s="7">
        <f t="shared" si="20"/>
        <v>2.0221371766119796</v>
      </c>
      <c r="Y99" s="7">
        <f t="shared" si="21"/>
        <v>5.7258700711202062</v>
      </c>
      <c r="Z99" s="7" t="str">
        <f t="shared" si="7"/>
        <v/>
      </c>
      <c r="AA99" s="7">
        <f t="shared" si="8"/>
        <v>2.0920000000000001</v>
      </c>
      <c r="AB99" s="7">
        <f t="shared" si="9"/>
        <v>20.22</v>
      </c>
      <c r="AC99" s="7">
        <f t="shared" si="10"/>
        <v>15.5</v>
      </c>
      <c r="AD99" s="7">
        <f t="shared" si="11"/>
        <v>0</v>
      </c>
      <c r="AE99" s="7">
        <f t="shared" si="12"/>
        <v>2.0053785995836853</v>
      </c>
      <c r="AF99" s="7">
        <f t="shared" si="13"/>
        <v>0.39026928580720699</v>
      </c>
      <c r="AG99" s="7">
        <f t="shared" si="14"/>
        <v>5.6883303700972796</v>
      </c>
    </row>
    <row r="100" spans="1:33" x14ac:dyDescent="0.25">
      <c r="A100" s="4" t="s">
        <v>123</v>
      </c>
      <c r="B100" s="4">
        <v>2018</v>
      </c>
      <c r="C100" s="4" t="s">
        <v>99</v>
      </c>
      <c r="D100" s="5">
        <f t="shared" si="15"/>
        <v>1</v>
      </c>
      <c r="E100" s="4">
        <v>37.799999999999997</v>
      </c>
      <c r="F100" s="4">
        <v>34</v>
      </c>
      <c r="G100" s="4">
        <v>46.1</v>
      </c>
      <c r="H100" s="4">
        <v>23.4</v>
      </c>
      <c r="I100" s="4">
        <v>66.7</v>
      </c>
      <c r="J100" s="4">
        <v>1784.2</v>
      </c>
      <c r="K100" s="4">
        <v>34.9</v>
      </c>
      <c r="L100" s="4">
        <v>3.069</v>
      </c>
      <c r="M100" s="4">
        <v>18.170000000000002</v>
      </c>
      <c r="N100" s="4">
        <v>15.9</v>
      </c>
      <c r="O100" s="4"/>
      <c r="P100" s="4">
        <v>11607.3</v>
      </c>
      <c r="Q100" s="6">
        <f t="shared" si="16"/>
        <v>6.5056047528303997</v>
      </c>
      <c r="R100" s="4">
        <v>14</v>
      </c>
      <c r="S100" s="4">
        <v>0</v>
      </c>
      <c r="T100" s="6">
        <f t="shared" si="17"/>
        <v>0.78466539625602505</v>
      </c>
      <c r="U100" s="4">
        <v>1839.3</v>
      </c>
      <c r="V100" s="7">
        <f t="shared" si="18"/>
        <v>3.6323091026255421</v>
      </c>
      <c r="W100" s="7">
        <f t="shared" si="19"/>
        <v>3.5524868292083815</v>
      </c>
      <c r="X100" s="7">
        <f t="shared" si="20"/>
        <v>1.8726640750268817</v>
      </c>
      <c r="Y100" s="7">
        <f t="shared" si="21"/>
        <v>7.5176838807911492</v>
      </c>
      <c r="Z100" s="7" t="str">
        <f t="shared" si="7"/>
        <v/>
      </c>
      <c r="AA100" s="7">
        <f t="shared" si="8"/>
        <v>2.8210000000000002</v>
      </c>
      <c r="AB100" s="7">
        <f t="shared" si="9"/>
        <v>17.7</v>
      </c>
      <c r="AC100" s="7">
        <f t="shared" si="10"/>
        <v>15.3</v>
      </c>
      <c r="AD100" s="7">
        <f t="shared" si="11"/>
        <v>0</v>
      </c>
      <c r="AE100" s="7">
        <f t="shared" si="12"/>
        <v>1.7570997886090696</v>
      </c>
      <c r="AF100" s="7">
        <f t="shared" si="13"/>
        <v>0.6710658763001901</v>
      </c>
      <c r="AG100" s="7">
        <f t="shared" si="14"/>
        <v>7.4645098346365275</v>
      </c>
    </row>
    <row r="101" spans="1:33" x14ac:dyDescent="0.25">
      <c r="A101" s="4" t="s">
        <v>124</v>
      </c>
      <c r="B101" s="4">
        <v>2018</v>
      </c>
      <c r="C101" s="4" t="s">
        <v>92</v>
      </c>
      <c r="D101" s="5">
        <f t="shared" si="15"/>
        <v>0</v>
      </c>
      <c r="E101" s="4">
        <v>38</v>
      </c>
      <c r="F101" s="4">
        <v>36.1</v>
      </c>
      <c r="G101" s="4">
        <v>39.5</v>
      </c>
      <c r="H101" s="4">
        <v>28.2</v>
      </c>
      <c r="I101" s="4">
        <v>71.2</v>
      </c>
      <c r="J101" s="4">
        <v>3291.4</v>
      </c>
      <c r="K101" s="4">
        <v>36.5</v>
      </c>
      <c r="L101" s="4">
        <v>3.5569999999999999</v>
      </c>
      <c r="M101" s="4">
        <v>14.7</v>
      </c>
      <c r="N101" s="4">
        <v>20.8</v>
      </c>
      <c r="O101" s="4"/>
      <c r="P101" s="4">
        <v>86956</v>
      </c>
      <c r="Q101" s="6">
        <f t="shared" si="16"/>
        <v>26.419152944035972</v>
      </c>
      <c r="R101" s="4">
        <v>75</v>
      </c>
      <c r="S101" s="4">
        <v>13</v>
      </c>
      <c r="T101" s="6">
        <f t="shared" si="17"/>
        <v>2.6736343197423587</v>
      </c>
      <c r="U101" s="4">
        <v>560.70000000000005</v>
      </c>
      <c r="V101" s="7">
        <f t="shared" si="18"/>
        <v>3.6375861597263857</v>
      </c>
      <c r="W101" s="7">
        <f t="shared" si="19"/>
        <v>3.597312260588446</v>
      </c>
      <c r="X101" s="7">
        <f t="shared" si="20"/>
        <v>3.2740892374157871</v>
      </c>
      <c r="Y101" s="7">
        <f t="shared" si="21"/>
        <v>6.3309678995383871</v>
      </c>
      <c r="Z101" s="7" t="str">
        <f t="shared" si="7"/>
        <v/>
      </c>
      <c r="AA101" s="7">
        <f t="shared" si="8"/>
        <v>3.5289999999999999</v>
      </c>
      <c r="AB101" s="7">
        <f t="shared" si="9"/>
        <v>14.73</v>
      </c>
      <c r="AC101" s="7">
        <f t="shared" si="10"/>
        <v>19.899999999999999</v>
      </c>
      <c r="AD101" s="7">
        <f t="shared" si="11"/>
        <v>0</v>
      </c>
      <c r="AE101" s="7">
        <f t="shared" si="12"/>
        <v>2.9707658454896251</v>
      </c>
      <c r="AF101" s="7">
        <f t="shared" si="13"/>
        <v>1.5708257615424894</v>
      </c>
      <c r="AG101" s="7">
        <f t="shared" si="14"/>
        <v>6.3311459146701434</v>
      </c>
    </row>
    <row r="102" spans="1:33" x14ac:dyDescent="0.25">
      <c r="A102" s="4" t="s">
        <v>125</v>
      </c>
      <c r="B102" s="4">
        <v>2018</v>
      </c>
      <c r="C102" s="4" t="s">
        <v>99</v>
      </c>
      <c r="D102" s="5">
        <f t="shared" si="15"/>
        <v>1</v>
      </c>
      <c r="E102" s="4">
        <v>36</v>
      </c>
      <c r="F102" s="4">
        <v>32</v>
      </c>
      <c r="G102" s="4">
        <v>43</v>
      </c>
      <c r="H102" s="4">
        <v>22.7</v>
      </c>
      <c r="I102" s="4">
        <v>66</v>
      </c>
      <c r="J102" s="4">
        <v>974.7</v>
      </c>
      <c r="K102" s="4">
        <v>54.3</v>
      </c>
      <c r="L102" s="4">
        <v>4.0529999999999999</v>
      </c>
      <c r="M102" s="4">
        <v>20.64</v>
      </c>
      <c r="N102" s="4">
        <v>27.4</v>
      </c>
      <c r="O102" s="4"/>
      <c r="P102" s="4">
        <v>24025.8</v>
      </c>
      <c r="Q102" s="6">
        <f t="shared" si="16"/>
        <v>24.649430594028932</v>
      </c>
      <c r="R102" s="4">
        <v>9</v>
      </c>
      <c r="S102" s="4">
        <v>3</v>
      </c>
      <c r="T102" s="6">
        <f t="shared" si="17"/>
        <v>1.2311480455524775</v>
      </c>
      <c r="U102" s="4">
        <v>1282.7</v>
      </c>
      <c r="V102" s="7">
        <f t="shared" si="18"/>
        <v>3.5835189384561099</v>
      </c>
      <c r="W102" s="7">
        <f t="shared" si="19"/>
        <v>3.9945242269398897</v>
      </c>
      <c r="X102" s="7">
        <f t="shared" si="20"/>
        <v>3.2047538005881839</v>
      </c>
      <c r="Y102" s="7">
        <f t="shared" si="21"/>
        <v>7.1575018120908807</v>
      </c>
      <c r="Z102" s="7" t="str">
        <f t="shared" si="7"/>
        <v/>
      </c>
      <c r="AA102" s="7">
        <f t="shared" si="8"/>
        <v>3.677</v>
      </c>
      <c r="AB102" s="7">
        <f t="shared" si="9"/>
        <v>20.21</v>
      </c>
      <c r="AC102" s="7">
        <f t="shared" si="10"/>
        <v>26.4</v>
      </c>
      <c r="AD102" s="7">
        <f t="shared" si="11"/>
        <v>0</v>
      </c>
      <c r="AE102" s="7">
        <f t="shared" si="12"/>
        <v>3.2541205801119562</v>
      </c>
      <c r="AF102" s="7">
        <f t="shared" si="13"/>
        <v>1.2430080795525171</v>
      </c>
      <c r="AG102" s="7">
        <f t="shared" si="14"/>
        <v>7.1798413638093619</v>
      </c>
    </row>
    <row r="103" spans="1:33" x14ac:dyDescent="0.25">
      <c r="A103" s="4" t="s">
        <v>126</v>
      </c>
      <c r="B103" s="4">
        <v>2018</v>
      </c>
      <c r="C103" s="4" t="s">
        <v>92</v>
      </c>
      <c r="D103" s="5">
        <f t="shared" si="15"/>
        <v>0</v>
      </c>
      <c r="E103" s="4">
        <v>31.6</v>
      </c>
      <c r="F103" s="4">
        <v>29.7</v>
      </c>
      <c r="G103" s="4">
        <v>40.5</v>
      </c>
      <c r="H103" s="4">
        <v>19.399999999999999</v>
      </c>
      <c r="I103" s="4">
        <v>47.1</v>
      </c>
      <c r="J103" s="4">
        <v>588.9</v>
      </c>
      <c r="K103" s="4">
        <v>43.7</v>
      </c>
      <c r="L103" s="4">
        <v>3.53</v>
      </c>
      <c r="M103" s="4">
        <v>35.78</v>
      </c>
      <c r="N103" s="4">
        <v>19.3</v>
      </c>
      <c r="O103" s="4"/>
      <c r="P103" s="4">
        <v>5312.1</v>
      </c>
      <c r="Q103" s="6">
        <f t="shared" si="16"/>
        <v>9.0203769740193582</v>
      </c>
      <c r="R103" s="4">
        <v>5</v>
      </c>
      <c r="S103" s="4">
        <v>1</v>
      </c>
      <c r="T103" s="6">
        <f t="shared" si="17"/>
        <v>1.0188487009679064</v>
      </c>
      <c r="U103" s="4">
        <v>2875</v>
      </c>
      <c r="V103" s="7">
        <f t="shared" si="18"/>
        <v>3.4531571205928664</v>
      </c>
      <c r="W103" s="7">
        <f t="shared" si="19"/>
        <v>3.7773481021015445</v>
      </c>
      <c r="X103" s="7">
        <f t="shared" si="20"/>
        <v>2.1994861263297558</v>
      </c>
      <c r="Y103" s="7">
        <f t="shared" si="21"/>
        <v>7.9641557188409369</v>
      </c>
      <c r="Z103" s="7" t="str">
        <f t="shared" si="7"/>
        <v/>
      </c>
      <c r="AA103" s="7">
        <f t="shared" si="8"/>
        <v>3.3290000000000002</v>
      </c>
      <c r="AB103" s="7">
        <f t="shared" si="9"/>
        <v>35.82</v>
      </c>
      <c r="AC103" s="7">
        <f t="shared" si="10"/>
        <v>15.1</v>
      </c>
      <c r="AD103" s="7">
        <f t="shared" si="11"/>
        <v>0</v>
      </c>
      <c r="AE103" s="7">
        <f t="shared" si="12"/>
        <v>2.3360634826062983</v>
      </c>
      <c r="AF103" s="7">
        <f t="shared" si="13"/>
        <v>0.8541168431841476</v>
      </c>
      <c r="AG103" s="7">
        <f t="shared" si="14"/>
        <v>7.7079615318354904</v>
      </c>
    </row>
    <row r="104" spans="1:33" x14ac:dyDescent="0.25">
      <c r="A104" s="4" t="s">
        <v>127</v>
      </c>
      <c r="B104" s="4">
        <v>2018</v>
      </c>
      <c r="C104" s="4" t="s">
        <v>96</v>
      </c>
      <c r="D104" s="5">
        <f t="shared" si="15"/>
        <v>0</v>
      </c>
      <c r="E104" s="4">
        <v>36.700000000000003</v>
      </c>
      <c r="F104" s="4">
        <v>32</v>
      </c>
      <c r="G104" s="4">
        <v>38.200000000000003</v>
      </c>
      <c r="H104" s="4">
        <v>30</v>
      </c>
      <c r="I104" s="4">
        <v>64.400000000000006</v>
      </c>
      <c r="J104" s="4">
        <v>1449.6</v>
      </c>
      <c r="K104" s="4">
        <v>42.5</v>
      </c>
      <c r="L104" s="4">
        <v>3.2570000000000001</v>
      </c>
      <c r="M104" s="4">
        <v>18.309999999999999</v>
      </c>
      <c r="N104" s="4">
        <v>21.8</v>
      </c>
      <c r="O104" s="4"/>
      <c r="P104" s="4">
        <v>28445.200000000001</v>
      </c>
      <c r="Q104" s="6">
        <f t="shared" si="16"/>
        <v>19.622792494481239</v>
      </c>
      <c r="R104" s="4">
        <v>15</v>
      </c>
      <c r="S104" s="4">
        <v>2</v>
      </c>
      <c r="T104" s="6">
        <f t="shared" si="17"/>
        <v>1.1727373068432672</v>
      </c>
      <c r="U104" s="4">
        <v>876.8</v>
      </c>
      <c r="V104" s="7">
        <f t="shared" si="18"/>
        <v>3.6027767550605247</v>
      </c>
      <c r="W104" s="7">
        <f t="shared" si="19"/>
        <v>3.7495040759303713</v>
      </c>
      <c r="X104" s="7">
        <f t="shared" si="20"/>
        <v>2.9766917729839886</v>
      </c>
      <c r="Y104" s="7">
        <f t="shared" si="21"/>
        <v>6.7774187772541339</v>
      </c>
      <c r="Z104" s="7" t="str">
        <f t="shared" si="7"/>
        <v/>
      </c>
      <c r="AA104" s="7">
        <f t="shared" si="8"/>
        <v>2.9870000000000001</v>
      </c>
      <c r="AB104" s="7">
        <f t="shared" si="9"/>
        <v>18.32</v>
      </c>
      <c r="AC104" s="7">
        <f t="shared" si="10"/>
        <v>21.8</v>
      </c>
      <c r="AD104" s="7">
        <f t="shared" si="11"/>
        <v>0</v>
      </c>
      <c r="AE104" s="7">
        <f t="shared" si="12"/>
        <v>2.8372350997591758</v>
      </c>
      <c r="AF104" s="7">
        <f t="shared" si="13"/>
        <v>1.1184900384480949</v>
      </c>
      <c r="AG104" s="7">
        <f t="shared" si="14"/>
        <v>6.6323969562191882</v>
      </c>
    </row>
    <row r="105" spans="1:33" x14ac:dyDescent="0.25">
      <c r="A105" s="4" t="s">
        <v>128</v>
      </c>
      <c r="B105" s="4">
        <v>2018</v>
      </c>
      <c r="C105" s="4" t="s">
        <v>92</v>
      </c>
      <c r="D105" s="5">
        <f t="shared" si="15"/>
        <v>0</v>
      </c>
      <c r="E105" s="4">
        <v>33.1</v>
      </c>
      <c r="F105" s="4">
        <v>36.4</v>
      </c>
      <c r="G105" s="4">
        <v>31.4</v>
      </c>
      <c r="H105" s="4">
        <v>24</v>
      </c>
      <c r="I105" s="4">
        <v>64.7</v>
      </c>
      <c r="J105" s="4">
        <v>871.5</v>
      </c>
      <c r="K105" s="4">
        <v>44.3</v>
      </c>
      <c r="L105" s="4">
        <v>2.9910000000000001</v>
      </c>
      <c r="M105" s="4">
        <v>28.74</v>
      </c>
      <c r="N105" s="4">
        <v>14.8</v>
      </c>
      <c r="O105" s="4"/>
      <c r="P105" s="4">
        <v>12037.1</v>
      </c>
      <c r="Q105" s="6">
        <f t="shared" si="16"/>
        <v>13.811933448078026</v>
      </c>
      <c r="R105" s="4">
        <v>4</v>
      </c>
      <c r="S105" s="4">
        <v>1</v>
      </c>
      <c r="T105" s="6">
        <f t="shared" si="17"/>
        <v>0.57372346528973039</v>
      </c>
      <c r="U105" s="4">
        <v>2034.7</v>
      </c>
      <c r="V105" s="7">
        <f t="shared" si="18"/>
        <v>3.4995332823830174</v>
      </c>
      <c r="W105" s="7">
        <f t="shared" si="19"/>
        <v>3.7909846770510898</v>
      </c>
      <c r="X105" s="7">
        <f t="shared" si="20"/>
        <v>2.62553296110302</v>
      </c>
      <c r="Y105" s="7">
        <f t="shared" si="21"/>
        <v>7.618595019073001</v>
      </c>
      <c r="Z105" s="7" t="str">
        <f t="shared" si="7"/>
        <v/>
      </c>
      <c r="AA105" s="7">
        <f t="shared" si="8"/>
        <v>2.823</v>
      </c>
      <c r="AB105" s="7">
        <f t="shared" si="9"/>
        <v>28.72</v>
      </c>
      <c r="AC105" s="7">
        <f t="shared" si="10"/>
        <v>18</v>
      </c>
      <c r="AD105" s="7">
        <f t="shared" si="11"/>
        <v>0</v>
      </c>
      <c r="AE105" s="7">
        <f t="shared" si="12"/>
        <v>2.5663718642285942</v>
      </c>
      <c r="AF105" s="7">
        <f t="shared" si="13"/>
        <v>0.57471264367816088</v>
      </c>
      <c r="AG105" s="7">
        <f t="shared" si="14"/>
        <v>8.6504120352024607</v>
      </c>
    </row>
    <row r="106" spans="1:33" x14ac:dyDescent="0.25">
      <c r="A106" s="4" t="s">
        <v>129</v>
      </c>
      <c r="B106" s="4">
        <v>2018</v>
      </c>
      <c r="C106" s="4" t="s">
        <v>92</v>
      </c>
      <c r="D106" s="5">
        <f t="shared" si="15"/>
        <v>0</v>
      </c>
      <c r="E106" s="4">
        <v>30.1</v>
      </c>
      <c r="F106" s="4">
        <v>27</v>
      </c>
      <c r="G106" s="4">
        <v>37.6</v>
      </c>
      <c r="H106" s="4">
        <v>18.399999999999999</v>
      </c>
      <c r="I106" s="4">
        <v>50.6</v>
      </c>
      <c r="J106" s="4">
        <v>891.1</v>
      </c>
      <c r="K106" s="4">
        <v>39.700000000000003</v>
      </c>
      <c r="L106" s="4">
        <v>4.5270000000000001</v>
      </c>
      <c r="M106" s="4">
        <v>20.78</v>
      </c>
      <c r="N106" s="4">
        <v>25.1</v>
      </c>
      <c r="O106" s="4"/>
      <c r="P106" s="4">
        <v>20594</v>
      </c>
      <c r="Q106" s="6">
        <f t="shared" si="16"/>
        <v>23.110761979575805</v>
      </c>
      <c r="R106" s="4">
        <v>8</v>
      </c>
      <c r="S106" s="4">
        <v>1</v>
      </c>
      <c r="T106" s="6">
        <f t="shared" si="17"/>
        <v>1.0099876557064302</v>
      </c>
      <c r="U106" s="4">
        <v>860.5</v>
      </c>
      <c r="V106" s="7">
        <f t="shared" si="18"/>
        <v>3.4045251717548299</v>
      </c>
      <c r="W106" s="7">
        <f t="shared" si="19"/>
        <v>3.6813511876931448</v>
      </c>
      <c r="X106" s="7">
        <f t="shared" si="20"/>
        <v>3.1402983955980219</v>
      </c>
      <c r="Y106" s="7">
        <f t="shared" si="21"/>
        <v>6.7586750559679842</v>
      </c>
      <c r="Z106" s="7" t="str">
        <f t="shared" si="7"/>
        <v/>
      </c>
      <c r="AA106" s="7">
        <f t="shared" si="8"/>
        <v>4.3010000000000002</v>
      </c>
      <c r="AB106" s="7">
        <f t="shared" si="9"/>
        <v>20.58</v>
      </c>
      <c r="AC106" s="7">
        <f t="shared" si="10"/>
        <v>20.9</v>
      </c>
      <c r="AD106" s="7">
        <f t="shared" si="11"/>
        <v>0</v>
      </c>
      <c r="AE106" s="7">
        <f t="shared" si="12"/>
        <v>3.053796653508825</v>
      </c>
      <c r="AF106" s="7">
        <f t="shared" si="13"/>
        <v>0.9032403748447555</v>
      </c>
      <c r="AG106" s="7">
        <f t="shared" si="14"/>
        <v>6.4105037752432645</v>
      </c>
    </row>
    <row r="107" spans="1:33" x14ac:dyDescent="0.25">
      <c r="A107" s="4" t="s">
        <v>130</v>
      </c>
      <c r="B107" s="4">
        <v>2018</v>
      </c>
      <c r="C107" s="4" t="s">
        <v>92</v>
      </c>
      <c r="D107" s="5">
        <f t="shared" si="15"/>
        <v>0</v>
      </c>
      <c r="E107" s="4">
        <v>37.1</v>
      </c>
      <c r="F107" s="4">
        <v>33.299999999999997</v>
      </c>
      <c r="G107" s="4">
        <v>38.6</v>
      </c>
      <c r="H107" s="4">
        <v>27.4</v>
      </c>
      <c r="I107" s="4">
        <v>73</v>
      </c>
      <c r="J107" s="4">
        <v>1490.8</v>
      </c>
      <c r="K107" s="4">
        <v>61.5</v>
      </c>
      <c r="L107" s="4">
        <v>4.3470000000000004</v>
      </c>
      <c r="M107" s="4">
        <v>25.03</v>
      </c>
      <c r="N107" s="4">
        <v>20.3</v>
      </c>
      <c r="O107" s="4"/>
      <c r="P107" s="4">
        <v>17087.2</v>
      </c>
      <c r="Q107" s="6">
        <f t="shared" si="16"/>
        <v>11.461765495036223</v>
      </c>
      <c r="R107" s="4">
        <v>1</v>
      </c>
      <c r="S107" s="4">
        <v>1</v>
      </c>
      <c r="T107" s="6">
        <f t="shared" si="17"/>
        <v>0.13415615776764153</v>
      </c>
      <c r="U107" s="4">
        <v>4049.6</v>
      </c>
      <c r="V107" s="7">
        <f t="shared" si="18"/>
        <v>3.6136169696133895</v>
      </c>
      <c r="W107" s="7">
        <f t="shared" si="19"/>
        <v>4.1190371748124726</v>
      </c>
      <c r="X107" s="7">
        <f t="shared" si="20"/>
        <v>2.439016756579492</v>
      </c>
      <c r="Y107" s="7">
        <f t="shared" si="21"/>
        <v>8.3066202972758791</v>
      </c>
      <c r="Z107" s="7" t="str">
        <f t="shared" si="7"/>
        <v/>
      </c>
      <c r="AA107" s="7">
        <f t="shared" si="8"/>
        <v>4.0270000000000001</v>
      </c>
      <c r="AB107" s="7">
        <f t="shared" si="9"/>
        <v>24.84</v>
      </c>
      <c r="AC107" s="7">
        <f t="shared" si="10"/>
        <v>18.100000000000001</v>
      </c>
      <c r="AD107" s="7">
        <f t="shared" si="11"/>
        <v>0</v>
      </c>
      <c r="AE107" s="7">
        <f t="shared" si="12"/>
        <v>2.3982261754302274</v>
      </c>
      <c r="AF107" s="7">
        <f t="shared" si="13"/>
        <v>0.13483449066271153</v>
      </c>
      <c r="AG107" s="7">
        <f t="shared" si="14"/>
        <v>8.2744079998467388</v>
      </c>
    </row>
    <row r="108" spans="1:33" x14ac:dyDescent="0.25">
      <c r="A108" s="4" t="s">
        <v>131</v>
      </c>
      <c r="B108" s="4">
        <v>2018</v>
      </c>
      <c r="C108" s="4" t="s">
        <v>92</v>
      </c>
      <c r="D108" s="5">
        <f t="shared" si="15"/>
        <v>0</v>
      </c>
      <c r="E108" s="4">
        <v>30.1</v>
      </c>
      <c r="F108" s="4">
        <v>29.4</v>
      </c>
      <c r="G108" s="4">
        <v>33.200000000000003</v>
      </c>
      <c r="H108" s="4">
        <v>19.8</v>
      </c>
      <c r="I108" s="4">
        <v>56.2</v>
      </c>
      <c r="J108" s="4">
        <v>1230.5</v>
      </c>
      <c r="K108" s="4">
        <v>67.7</v>
      </c>
      <c r="L108" s="4">
        <v>3.8380000000000001</v>
      </c>
      <c r="M108" s="4">
        <v>16.18</v>
      </c>
      <c r="N108" s="4">
        <v>18.2</v>
      </c>
      <c r="O108" s="4"/>
      <c r="P108" s="4">
        <v>12440.5</v>
      </c>
      <c r="Q108" s="6">
        <f t="shared" si="16"/>
        <v>10.110117838277123</v>
      </c>
      <c r="R108" s="4">
        <v>7</v>
      </c>
      <c r="S108" s="4">
        <v>0</v>
      </c>
      <c r="T108" s="6">
        <f t="shared" si="17"/>
        <v>0.56887444128403086</v>
      </c>
      <c r="U108" s="4">
        <v>1427</v>
      </c>
      <c r="V108" s="7">
        <f t="shared" si="18"/>
        <v>3.4045251717548299</v>
      </c>
      <c r="W108" s="7">
        <f t="shared" si="19"/>
        <v>4.2150861799182291</v>
      </c>
      <c r="X108" s="7">
        <f t="shared" si="20"/>
        <v>2.313536688580391</v>
      </c>
      <c r="Y108" s="7">
        <f t="shared" si="21"/>
        <v>7.2640301428995295</v>
      </c>
      <c r="Z108" s="7" t="str">
        <f t="shared" si="7"/>
        <v/>
      </c>
      <c r="AA108" s="7">
        <f t="shared" si="8"/>
        <v>3.504</v>
      </c>
      <c r="AB108" s="7">
        <f t="shared" si="9"/>
        <v>16</v>
      </c>
      <c r="AC108" s="7">
        <f t="shared" si="10"/>
        <v>18.3</v>
      </c>
      <c r="AD108" s="7">
        <f t="shared" si="11"/>
        <v>0</v>
      </c>
      <c r="AE108" s="7">
        <f t="shared" si="12"/>
        <v>2.2216523047745897</v>
      </c>
      <c r="AF108" s="7">
        <f t="shared" si="13"/>
        <v>0.56961510293758644</v>
      </c>
      <c r="AG108" s="7">
        <f t="shared" si="14"/>
        <v>7.0737780628065892</v>
      </c>
    </row>
    <row r="109" spans="1:33" x14ac:dyDescent="0.25">
      <c r="A109" s="4" t="s">
        <v>132</v>
      </c>
      <c r="B109" s="4">
        <v>2018</v>
      </c>
      <c r="C109" s="4" t="s">
        <v>99</v>
      </c>
      <c r="D109" s="5">
        <f t="shared" si="15"/>
        <v>1</v>
      </c>
      <c r="E109" s="4">
        <v>40.299999999999997</v>
      </c>
      <c r="F109" s="4">
        <v>33.4</v>
      </c>
      <c r="G109" s="4">
        <v>51.3</v>
      </c>
      <c r="H109" s="4">
        <v>26.1</v>
      </c>
      <c r="I109" s="4">
        <v>65.2</v>
      </c>
      <c r="J109" s="4">
        <v>1303.9000000000001</v>
      </c>
      <c r="K109" s="4">
        <v>126.8</v>
      </c>
      <c r="L109" s="4">
        <v>6.484</v>
      </c>
      <c r="M109" s="4">
        <v>63.05</v>
      </c>
      <c r="N109" s="4">
        <v>35.6</v>
      </c>
      <c r="O109" s="4"/>
      <c r="P109" s="4">
        <v>31572.7</v>
      </c>
      <c r="Q109" s="6">
        <f t="shared" si="16"/>
        <v>24.214050157220644</v>
      </c>
      <c r="R109" s="4">
        <v>27</v>
      </c>
      <c r="S109" s="4">
        <v>5</v>
      </c>
      <c r="T109" s="6">
        <f t="shared" si="17"/>
        <v>2.45417593373725</v>
      </c>
      <c r="U109" s="4">
        <v>4779</v>
      </c>
      <c r="V109" s="7">
        <f t="shared" si="18"/>
        <v>3.6963514689526371</v>
      </c>
      <c r="W109" s="7">
        <f t="shared" si="19"/>
        <v>4.8426110420031252</v>
      </c>
      <c r="X109" s="7">
        <f t="shared" si="20"/>
        <v>3.1869330496974877</v>
      </c>
      <c r="Y109" s="7">
        <f t="shared" si="21"/>
        <v>8.4721958254855014</v>
      </c>
      <c r="Z109" s="7" t="str">
        <f t="shared" si="7"/>
        <v/>
      </c>
      <c r="AA109" s="7">
        <f t="shared" si="8"/>
        <v>6.0910000000000002</v>
      </c>
      <c r="AB109" s="7">
        <f t="shared" si="9"/>
        <v>61.69</v>
      </c>
      <c r="AC109" s="7">
        <f t="shared" si="10"/>
        <v>32.9</v>
      </c>
      <c r="AD109" s="7">
        <f t="shared" si="11"/>
        <v>0</v>
      </c>
      <c r="AE109" s="7">
        <f t="shared" si="12"/>
        <v>3.0633589253321891</v>
      </c>
      <c r="AF109" s="7">
        <f t="shared" si="13"/>
        <v>2.4120759414877062</v>
      </c>
      <c r="AG109" s="7">
        <f t="shared" si="14"/>
        <v>8.4259108888123233</v>
      </c>
    </row>
    <row r="110" spans="1:33" x14ac:dyDescent="0.25">
      <c r="A110" s="4" t="s">
        <v>133</v>
      </c>
      <c r="B110" s="4">
        <v>2018</v>
      </c>
      <c r="C110" s="4" t="s">
        <v>92</v>
      </c>
      <c r="D110" s="5">
        <f t="shared" si="15"/>
        <v>0</v>
      </c>
      <c r="E110" s="4">
        <v>29.1</v>
      </c>
      <c r="F110" s="4">
        <v>23.8</v>
      </c>
      <c r="G110" s="4">
        <v>30.5</v>
      </c>
      <c r="H110" s="4">
        <v>24.7</v>
      </c>
      <c r="I110" s="4">
        <v>50.1</v>
      </c>
      <c r="J110" s="4">
        <v>629.70000000000005</v>
      </c>
      <c r="K110" s="4">
        <v>45.5</v>
      </c>
      <c r="L110" s="4">
        <v>4.1589999999999998</v>
      </c>
      <c r="M110" s="4">
        <v>30.68</v>
      </c>
      <c r="N110" s="4">
        <v>26</v>
      </c>
      <c r="O110" s="4"/>
      <c r="P110" s="4">
        <v>9158.1</v>
      </c>
      <c r="Q110" s="6">
        <f t="shared" si="16"/>
        <v>14.543592186755598</v>
      </c>
      <c r="R110" s="4">
        <v>21</v>
      </c>
      <c r="S110" s="4">
        <v>1</v>
      </c>
      <c r="T110" s="6">
        <f t="shared" si="17"/>
        <v>3.4937271716690486</v>
      </c>
      <c r="U110" s="4">
        <v>101</v>
      </c>
      <c r="V110" s="7">
        <f t="shared" si="18"/>
        <v>3.3707381741774469</v>
      </c>
      <c r="W110" s="7">
        <f t="shared" si="19"/>
        <v>3.8177123259569048</v>
      </c>
      <c r="X110" s="7">
        <f t="shared" si="20"/>
        <v>2.6771504970774469</v>
      </c>
      <c r="Y110" s="7">
        <f t="shared" si="21"/>
        <v>4.6249728132842707</v>
      </c>
      <c r="Z110" s="7" t="str">
        <f t="shared" si="7"/>
        <v/>
      </c>
      <c r="AA110" s="7">
        <f t="shared" si="8"/>
        <v>3.9889999999999999</v>
      </c>
      <c r="AB110" s="7">
        <f t="shared" si="9"/>
        <v>30.38</v>
      </c>
      <c r="AC110" s="7">
        <f t="shared" si="10"/>
        <v>24.7</v>
      </c>
      <c r="AD110" s="7">
        <f t="shared" si="11"/>
        <v>0</v>
      </c>
      <c r="AE110" s="7">
        <f t="shared" si="12"/>
        <v>2.6583770120675227</v>
      </c>
      <c r="AF110" s="7">
        <f t="shared" si="13"/>
        <v>3.6776463063639269</v>
      </c>
      <c r="AG110" s="7">
        <f t="shared" si="14"/>
        <v>4.5819015590487373</v>
      </c>
    </row>
    <row r="111" spans="1:33" x14ac:dyDescent="0.25">
      <c r="A111" s="4" t="s">
        <v>134</v>
      </c>
      <c r="B111" s="4">
        <v>2018</v>
      </c>
      <c r="C111" s="4" t="s">
        <v>86</v>
      </c>
      <c r="D111" s="5">
        <f t="shared" si="15"/>
        <v>0</v>
      </c>
      <c r="E111" s="4"/>
      <c r="F111" s="4"/>
      <c r="G111" s="4"/>
      <c r="H111" s="4"/>
      <c r="I111" s="4"/>
      <c r="J111" s="4">
        <v>1208.8</v>
      </c>
      <c r="K111" s="4">
        <v>41.5</v>
      </c>
      <c r="L111" s="4">
        <v>1.923</v>
      </c>
      <c r="M111" s="4">
        <v>31.89</v>
      </c>
      <c r="N111" s="4">
        <v>11.4</v>
      </c>
      <c r="O111" s="4"/>
      <c r="P111" s="4">
        <v>3733.2</v>
      </c>
      <c r="Q111" s="6">
        <f t="shared" si="16"/>
        <v>3.0883520847121111</v>
      </c>
      <c r="R111" s="4">
        <v>10</v>
      </c>
      <c r="S111" s="4">
        <v>1</v>
      </c>
      <c r="T111" s="6">
        <f t="shared" si="17"/>
        <v>0.90999338186631362</v>
      </c>
      <c r="U111" s="4">
        <v>199</v>
      </c>
      <c r="V111" s="7" t="str">
        <f t="shared" si="18"/>
        <v/>
      </c>
      <c r="W111" s="7">
        <f t="shared" si="19"/>
        <v>3.7256934272366524</v>
      </c>
      <c r="X111" s="7">
        <f t="shared" si="20"/>
        <v>1.1276376427330619</v>
      </c>
      <c r="Y111" s="7">
        <f t="shared" si="21"/>
        <v>5.2983173665480363</v>
      </c>
      <c r="Z111" s="7" t="str">
        <f t="shared" si="7"/>
        <v/>
      </c>
      <c r="AA111" s="7">
        <f t="shared" si="8"/>
        <v>1.7529999999999999</v>
      </c>
      <c r="AB111" s="7">
        <f t="shared" si="9"/>
        <v>31.4</v>
      </c>
      <c r="AC111" s="7">
        <f t="shared" si="10"/>
        <v>10.4</v>
      </c>
      <c r="AD111" s="7">
        <f t="shared" si="11"/>
        <v>0</v>
      </c>
      <c r="AE111" s="7">
        <f t="shared" si="12"/>
        <v>1.0660768864036723</v>
      </c>
      <c r="AF111" s="7">
        <f t="shared" si="13"/>
        <v>1.3133054255930394</v>
      </c>
      <c r="AG111" s="7">
        <f t="shared" si="14"/>
        <v>4.6510991178764911</v>
      </c>
    </row>
    <row r="112" spans="1:33" x14ac:dyDescent="0.25">
      <c r="A112" s="4" t="s">
        <v>135</v>
      </c>
      <c r="B112" s="4">
        <v>2018</v>
      </c>
      <c r="C112" s="4" t="s">
        <v>96</v>
      </c>
      <c r="D112" s="5">
        <f t="shared" si="15"/>
        <v>0</v>
      </c>
      <c r="E112" s="4"/>
      <c r="F112" s="4"/>
      <c r="G112" s="4"/>
      <c r="H112" s="4"/>
      <c r="I112" s="4"/>
      <c r="J112" s="4">
        <v>1233.0999999999999</v>
      </c>
      <c r="K112" s="4">
        <v>40.4</v>
      </c>
      <c r="L112" s="4">
        <v>1.401</v>
      </c>
      <c r="M112" s="4">
        <v>13.84</v>
      </c>
      <c r="N112" s="4">
        <v>14.9</v>
      </c>
      <c r="O112" s="4"/>
      <c r="P112" s="4">
        <v>5124</v>
      </c>
      <c r="Q112" s="6">
        <f t="shared" si="16"/>
        <v>4.1553807477090263</v>
      </c>
      <c r="R112" s="4">
        <v>6</v>
      </c>
      <c r="S112" s="4">
        <v>1</v>
      </c>
      <c r="T112" s="6">
        <f t="shared" si="17"/>
        <v>0.56767496553401997</v>
      </c>
      <c r="U112" s="4">
        <v>110</v>
      </c>
      <c r="V112" s="7" t="str">
        <f t="shared" si="18"/>
        <v/>
      </c>
      <c r="W112" s="7">
        <f t="shared" si="19"/>
        <v>3.6988297849671046</v>
      </c>
      <c r="X112" s="7">
        <f t="shared" si="20"/>
        <v>1.4244040601401402</v>
      </c>
      <c r="Y112" s="7">
        <f t="shared" si="21"/>
        <v>4.7095302013123339</v>
      </c>
      <c r="Z112" s="7" t="str">
        <f t="shared" si="7"/>
        <v/>
      </c>
      <c r="AA112" s="7">
        <f t="shared" si="8"/>
        <v>1.3540000000000001</v>
      </c>
      <c r="AB112" s="7">
        <f t="shared" si="9"/>
        <v>13.84</v>
      </c>
      <c r="AC112" s="7">
        <f t="shared" si="10"/>
        <v>12.8</v>
      </c>
      <c r="AD112" s="7">
        <f t="shared" si="11"/>
        <v>0</v>
      </c>
      <c r="AE112" s="7">
        <f t="shared" si="12"/>
        <v>1.4554822578165285</v>
      </c>
      <c r="AF112" s="7">
        <f t="shared" si="13"/>
        <v>0.3296522169111587</v>
      </c>
      <c r="AG112" s="7">
        <f t="shared" si="14"/>
        <v>4.8129970331904079</v>
      </c>
    </row>
    <row r="113" spans="1:33" x14ac:dyDescent="0.25">
      <c r="A113" s="4" t="s">
        <v>136</v>
      </c>
      <c r="B113" s="4">
        <v>2018</v>
      </c>
      <c r="C113" s="4" t="s">
        <v>88</v>
      </c>
      <c r="D113" s="5">
        <f t="shared" si="15"/>
        <v>1</v>
      </c>
      <c r="E113" s="4">
        <v>82.1</v>
      </c>
      <c r="F113" s="4">
        <v>82.7</v>
      </c>
      <c r="G113" s="4">
        <v>80.7</v>
      </c>
      <c r="H113" s="4">
        <v>83.1</v>
      </c>
      <c r="I113" s="4">
        <v>82.5</v>
      </c>
      <c r="J113" s="4">
        <v>8843.2000000000007</v>
      </c>
      <c r="K113" s="4">
        <v>138.80000000000001</v>
      </c>
      <c r="L113" s="4">
        <v>25.812999999999999</v>
      </c>
      <c r="M113" s="4">
        <v>79.67</v>
      </c>
      <c r="N113" s="4">
        <v>36.799999999999997</v>
      </c>
      <c r="O113" s="4"/>
      <c r="P113" s="4">
        <v>105988.4</v>
      </c>
      <c r="Q113" s="6">
        <f t="shared" si="16"/>
        <v>11.98529943911706</v>
      </c>
      <c r="R113" s="4">
        <v>204</v>
      </c>
      <c r="S113" s="4">
        <v>45</v>
      </c>
      <c r="T113" s="6">
        <f t="shared" si="17"/>
        <v>2.8157228152704898</v>
      </c>
      <c r="U113" s="4">
        <v>5110.6000000000004</v>
      </c>
      <c r="V113" s="7">
        <f t="shared" si="18"/>
        <v>4.4079380164583828</v>
      </c>
      <c r="W113" s="7">
        <f t="shared" si="19"/>
        <v>4.9330340480727042</v>
      </c>
      <c r="X113" s="7">
        <f t="shared" si="20"/>
        <v>2.4836808520646083</v>
      </c>
      <c r="Y113" s="7">
        <f t="shared" si="21"/>
        <v>8.5392677457345485</v>
      </c>
      <c r="Z113" s="7" t="str">
        <f t="shared" si="7"/>
        <v/>
      </c>
      <c r="AA113" s="7">
        <f t="shared" si="8"/>
        <v>23.690999999999999</v>
      </c>
      <c r="AB113" s="7">
        <f t="shared" si="9"/>
        <v>80.099999999999994</v>
      </c>
      <c r="AC113" s="7">
        <f t="shared" si="10"/>
        <v>36.6</v>
      </c>
      <c r="AD113" s="7">
        <f t="shared" si="11"/>
        <v>0</v>
      </c>
      <c r="AE113" s="7">
        <f t="shared" si="12"/>
        <v>2.3827142393460634</v>
      </c>
      <c r="AF113" s="7">
        <f t="shared" si="13"/>
        <v>2.8903070662227153</v>
      </c>
      <c r="AG113" s="7">
        <f t="shared" si="14"/>
        <v>8.5318847401592279</v>
      </c>
    </row>
    <row r="114" spans="1:33" x14ac:dyDescent="0.25">
      <c r="A114" s="4" t="s">
        <v>137</v>
      </c>
      <c r="B114" s="4">
        <v>2018</v>
      </c>
      <c r="C114" s="4" t="s">
        <v>92</v>
      </c>
      <c r="D114" s="5">
        <f t="shared" si="15"/>
        <v>0</v>
      </c>
      <c r="E114" s="4">
        <v>36.4</v>
      </c>
      <c r="F114" s="4">
        <v>34</v>
      </c>
      <c r="G114" s="4">
        <v>39</v>
      </c>
      <c r="H114" s="4">
        <v>29</v>
      </c>
      <c r="I114" s="4">
        <v>57.5</v>
      </c>
      <c r="J114" s="4">
        <v>3631.3</v>
      </c>
      <c r="K114" s="4">
        <v>40.299999999999997</v>
      </c>
      <c r="L114" s="4">
        <v>3.0640000000000001</v>
      </c>
      <c r="M114" s="4">
        <v>14.42</v>
      </c>
      <c r="N114" s="4">
        <v>19.399999999999999</v>
      </c>
      <c r="O114" s="4"/>
      <c r="P114" s="4">
        <v>51134.9</v>
      </c>
      <c r="Q114" s="6">
        <f t="shared" si="16"/>
        <v>14.081706275989315</v>
      </c>
      <c r="R114" s="4">
        <v>18</v>
      </c>
      <c r="S114" s="4">
        <v>2</v>
      </c>
      <c r="T114" s="6">
        <f t="shared" si="17"/>
        <v>0.55076694296808304</v>
      </c>
      <c r="U114" s="4">
        <v>3815.6</v>
      </c>
      <c r="V114" s="7">
        <f t="shared" si="18"/>
        <v>3.5945687746426951</v>
      </c>
      <c r="W114" s="7">
        <f t="shared" si="19"/>
        <v>3.6963514689526371</v>
      </c>
      <c r="X114" s="7">
        <f t="shared" si="20"/>
        <v>2.6448765277619044</v>
      </c>
      <c r="Y114" s="7">
        <f t="shared" si="21"/>
        <v>8.2471152529128133</v>
      </c>
      <c r="Z114" s="7" t="str">
        <f t="shared" si="7"/>
        <v/>
      </c>
      <c r="AA114" s="7">
        <f t="shared" si="8"/>
        <v>2.6520000000000001</v>
      </c>
      <c r="AB114" s="7">
        <f t="shared" si="9"/>
        <v>13.9</v>
      </c>
      <c r="AC114" s="7">
        <f t="shared" si="10"/>
        <v>19.899999999999999</v>
      </c>
      <c r="AD114" s="7">
        <f t="shared" si="11"/>
        <v>0</v>
      </c>
      <c r="AE114" s="7">
        <f t="shared" si="12"/>
        <v>2.5612947273193991</v>
      </c>
      <c r="AF114" s="7">
        <f t="shared" si="13"/>
        <v>0.47173738102505763</v>
      </c>
      <c r="AG114" s="7">
        <f t="shared" si="14"/>
        <v>8.2521072264799766</v>
      </c>
    </row>
    <row r="115" spans="1:33" x14ac:dyDescent="0.25">
      <c r="A115" s="4" t="s">
        <v>138</v>
      </c>
      <c r="B115" s="4">
        <v>2018</v>
      </c>
      <c r="C115" s="4" t="s">
        <v>99</v>
      </c>
      <c r="D115" s="5">
        <f t="shared" si="15"/>
        <v>1</v>
      </c>
      <c r="E115" s="4">
        <v>35.799999999999997</v>
      </c>
      <c r="F115" s="4">
        <v>33</v>
      </c>
      <c r="G115" s="4">
        <v>35.700000000000003</v>
      </c>
      <c r="H115" s="4">
        <v>29</v>
      </c>
      <c r="I115" s="4">
        <v>66</v>
      </c>
      <c r="J115" s="4">
        <v>1854.1</v>
      </c>
      <c r="K115" s="4">
        <v>40</v>
      </c>
      <c r="L115" s="4">
        <v>2.609</v>
      </c>
      <c r="M115" s="4">
        <v>10.49</v>
      </c>
      <c r="N115" s="4">
        <v>18.399999999999999</v>
      </c>
      <c r="O115" s="4"/>
      <c r="P115" s="4">
        <v>6455.4</v>
      </c>
      <c r="Q115" s="6">
        <f t="shared" si="16"/>
        <v>3.4816892292756592</v>
      </c>
      <c r="R115" s="4">
        <v>10</v>
      </c>
      <c r="S115" s="4">
        <v>1</v>
      </c>
      <c r="T115" s="6">
        <f t="shared" si="17"/>
        <v>0.5932797583733348</v>
      </c>
      <c r="U115" s="4">
        <v>349.1</v>
      </c>
      <c r="V115" s="7">
        <f t="shared" si="18"/>
        <v>3.5779478934066544</v>
      </c>
      <c r="W115" s="7">
        <f t="shared" si="19"/>
        <v>3.6888794541139363</v>
      </c>
      <c r="X115" s="7">
        <f t="shared" si="20"/>
        <v>1.2475175867241108</v>
      </c>
      <c r="Y115" s="7">
        <f t="shared" si="21"/>
        <v>5.85821882796062</v>
      </c>
      <c r="Z115" s="7" t="str">
        <f t="shared" si="7"/>
        <v/>
      </c>
      <c r="AA115" s="7">
        <f t="shared" si="8"/>
        <v>2.427</v>
      </c>
      <c r="AB115" s="7">
        <f t="shared" si="9"/>
        <v>10.4</v>
      </c>
      <c r="AC115" s="7">
        <f t="shared" si="10"/>
        <v>15.5</v>
      </c>
      <c r="AD115" s="7">
        <f t="shared" si="11"/>
        <v>0</v>
      </c>
      <c r="AE115" s="7">
        <f t="shared" si="12"/>
        <v>1.4964588761926185</v>
      </c>
      <c r="AF115" s="7">
        <f t="shared" si="13"/>
        <v>0.59585071231244247</v>
      </c>
      <c r="AG115" s="7">
        <f t="shared" si="14"/>
        <v>5.7963616559492941</v>
      </c>
    </row>
    <row r="116" spans="1:33" x14ac:dyDescent="0.25">
      <c r="A116" s="4" t="s">
        <v>139</v>
      </c>
      <c r="B116" s="4">
        <v>2018</v>
      </c>
      <c r="C116" s="4" t="s">
        <v>96</v>
      </c>
      <c r="D116" s="5">
        <f t="shared" si="15"/>
        <v>0</v>
      </c>
      <c r="E116" s="4">
        <v>33.1</v>
      </c>
      <c r="F116" s="4">
        <v>34</v>
      </c>
      <c r="G116" s="4">
        <v>32.5</v>
      </c>
      <c r="H116" s="4">
        <v>24.2</v>
      </c>
      <c r="I116" s="4">
        <v>64.900000000000006</v>
      </c>
      <c r="J116" s="4">
        <v>1273.5999999999999</v>
      </c>
      <c r="K116" s="4">
        <v>84.7</v>
      </c>
      <c r="L116" s="4">
        <v>3.3250000000000002</v>
      </c>
      <c r="M116" s="4">
        <v>31.82</v>
      </c>
      <c r="N116" s="4">
        <v>24.7</v>
      </c>
      <c r="O116" s="4"/>
      <c r="P116" s="4">
        <v>32231.3</v>
      </c>
      <c r="Q116" s="6">
        <f t="shared" si="16"/>
        <v>25.307239321608041</v>
      </c>
      <c r="R116" s="4">
        <v>28</v>
      </c>
      <c r="S116" s="4">
        <v>6</v>
      </c>
      <c r="T116" s="6">
        <f t="shared" si="17"/>
        <v>2.6695979899497488</v>
      </c>
      <c r="U116" s="4">
        <v>6074.3</v>
      </c>
      <c r="V116" s="7">
        <f t="shared" si="18"/>
        <v>3.4995332823830174</v>
      </c>
      <c r="W116" s="7">
        <f t="shared" si="19"/>
        <v>4.4391156016580089</v>
      </c>
      <c r="X116" s="7">
        <f t="shared" si="20"/>
        <v>3.2310904939974567</v>
      </c>
      <c r="Y116" s="7">
        <f t="shared" si="21"/>
        <v>8.7119866497055121</v>
      </c>
      <c r="Z116" s="7" t="str">
        <f t="shared" si="7"/>
        <v/>
      </c>
      <c r="AA116" s="7">
        <f t="shared" si="8"/>
        <v>3.22</v>
      </c>
      <c r="AB116" s="7">
        <f t="shared" si="9"/>
        <v>31.8</v>
      </c>
      <c r="AC116" s="7">
        <f t="shared" si="10"/>
        <v>26</v>
      </c>
      <c r="AD116" s="7">
        <f t="shared" si="11"/>
        <v>0</v>
      </c>
      <c r="AE116" s="7">
        <f t="shared" si="12"/>
        <v>3.1763340709559418</v>
      </c>
      <c r="AF116" s="7">
        <f t="shared" si="13"/>
        <v>2.3883448770002391</v>
      </c>
      <c r="AG116" s="7">
        <f t="shared" si="14"/>
        <v>8.67207503245141</v>
      </c>
    </row>
    <row r="117" spans="1:33" x14ac:dyDescent="0.25">
      <c r="A117" s="4" t="s">
        <v>140</v>
      </c>
      <c r="B117" s="4">
        <v>2018</v>
      </c>
      <c r="C117" s="4" t="s">
        <v>92</v>
      </c>
      <c r="D117" s="5">
        <f t="shared" si="15"/>
        <v>0</v>
      </c>
      <c r="E117" s="4">
        <v>38.299999999999997</v>
      </c>
      <c r="F117" s="4">
        <v>33.700000000000003</v>
      </c>
      <c r="G117" s="4">
        <v>44.2</v>
      </c>
      <c r="H117" s="4">
        <v>25.7</v>
      </c>
      <c r="I117" s="4">
        <v>71.099999999999994</v>
      </c>
      <c r="J117" s="4">
        <v>1125.4000000000001</v>
      </c>
      <c r="K117" s="4">
        <v>42.5</v>
      </c>
      <c r="L117" s="4">
        <v>3.8239999999999998</v>
      </c>
      <c r="M117" s="4">
        <v>48.7</v>
      </c>
      <c r="N117" s="4">
        <v>22.7</v>
      </c>
      <c r="O117" s="4"/>
      <c r="P117" s="4"/>
      <c r="Q117" s="6" t="str">
        <f t="shared" si="16"/>
        <v/>
      </c>
      <c r="R117" s="4">
        <v>0</v>
      </c>
      <c r="S117" s="4">
        <v>0</v>
      </c>
      <c r="T117" s="6">
        <f t="shared" si="17"/>
        <v>0</v>
      </c>
      <c r="U117" s="4">
        <v>3141.9</v>
      </c>
      <c r="V117" s="7">
        <f t="shared" si="18"/>
        <v>3.6454498961866002</v>
      </c>
      <c r="W117" s="7">
        <f t="shared" si="19"/>
        <v>3.7495040759303713</v>
      </c>
      <c r="X117" s="7" t="str">
        <f t="shared" si="20"/>
        <v/>
      </c>
      <c r="Y117" s="7">
        <f t="shared" si="21"/>
        <v>8.0529012195558014</v>
      </c>
      <c r="Z117" s="7" t="str">
        <f t="shared" si="7"/>
        <v/>
      </c>
      <c r="AA117" s="7">
        <f t="shared" si="8"/>
        <v>3.7029999999999998</v>
      </c>
      <c r="AB117" s="7">
        <f t="shared" si="9"/>
        <v>48.81</v>
      </c>
      <c r="AC117" s="7">
        <f t="shared" si="10"/>
        <v>24.3</v>
      </c>
      <c r="AD117" s="7">
        <f t="shared" si="11"/>
        <v>0</v>
      </c>
      <c r="AE117" s="7" t="str">
        <f t="shared" si="12"/>
        <v/>
      </c>
      <c r="AF117" s="7">
        <f t="shared" si="13"/>
        <v>0</v>
      </c>
      <c r="AG117" s="7">
        <f t="shared" si="14"/>
        <v>7.6599257999915435</v>
      </c>
    </row>
    <row r="118" spans="1:33" x14ac:dyDescent="0.25">
      <c r="A118" s="4" t="s">
        <v>141</v>
      </c>
      <c r="B118" s="4">
        <v>2018</v>
      </c>
      <c r="C118" s="4" t="s">
        <v>86</v>
      </c>
      <c r="D118" s="5">
        <f t="shared" si="15"/>
        <v>0</v>
      </c>
      <c r="E118" s="4">
        <v>33.700000000000003</v>
      </c>
      <c r="F118" s="4">
        <v>33.4</v>
      </c>
      <c r="G118" s="4">
        <v>38.200000000000003</v>
      </c>
      <c r="H118" s="4">
        <v>18.399999999999999</v>
      </c>
      <c r="I118" s="4">
        <v>72.099999999999994</v>
      </c>
      <c r="J118" s="4">
        <v>1759.1</v>
      </c>
      <c r="K118" s="4">
        <v>50.5</v>
      </c>
      <c r="L118" s="4">
        <v>2.4710000000000001</v>
      </c>
      <c r="M118" s="4">
        <v>14</v>
      </c>
      <c r="N118" s="4">
        <v>11.8</v>
      </c>
      <c r="O118" s="4"/>
      <c r="P118" s="4">
        <v>4697.3999999999996</v>
      </c>
      <c r="Q118" s="6">
        <f t="shared" si="16"/>
        <v>2.6703427889261553</v>
      </c>
      <c r="R118" s="4">
        <v>13</v>
      </c>
      <c r="S118" s="4">
        <v>1</v>
      </c>
      <c r="T118" s="6">
        <f t="shared" si="17"/>
        <v>0.79586152009550348</v>
      </c>
      <c r="U118" s="4">
        <v>1246.0999999999999</v>
      </c>
      <c r="V118" s="7">
        <f t="shared" si="18"/>
        <v>3.5174978373583161</v>
      </c>
      <c r="W118" s="7">
        <f t="shared" si="19"/>
        <v>3.9219733362813143</v>
      </c>
      <c r="X118" s="7">
        <f t="shared" si="20"/>
        <v>0.98220684953706361</v>
      </c>
      <c r="Y118" s="7">
        <f t="shared" si="21"/>
        <v>7.1285761349267016</v>
      </c>
      <c r="Z118" s="7" t="str">
        <f t="shared" si="7"/>
        <v/>
      </c>
      <c r="AA118" s="7">
        <f t="shared" si="8"/>
        <v>2.3780000000000001</v>
      </c>
      <c r="AB118" s="7">
        <f t="shared" si="9"/>
        <v>14</v>
      </c>
      <c r="AC118" s="7">
        <f t="shared" si="10"/>
        <v>10.199999999999999</v>
      </c>
      <c r="AD118" s="7">
        <f t="shared" si="11"/>
        <v>0</v>
      </c>
      <c r="AE118" s="7">
        <f t="shared" si="12"/>
        <v>0.97413518857367065</v>
      </c>
      <c r="AF118" s="7">
        <f t="shared" si="13"/>
        <v>0.51375727822810824</v>
      </c>
      <c r="AG118" s="7">
        <f t="shared" si="14"/>
        <v>7.1371194421094026</v>
      </c>
    </row>
    <row r="119" spans="1:33" x14ac:dyDescent="0.25">
      <c r="A119" s="4" t="s">
        <v>142</v>
      </c>
      <c r="B119" s="4">
        <v>2018</v>
      </c>
      <c r="C119" s="4" t="s">
        <v>86</v>
      </c>
      <c r="D119" s="5">
        <f t="shared" si="15"/>
        <v>0</v>
      </c>
      <c r="E119" s="4">
        <v>29.2</v>
      </c>
      <c r="F119" s="4">
        <v>26.6</v>
      </c>
      <c r="G119" s="4">
        <v>35.6</v>
      </c>
      <c r="H119" s="4">
        <v>16.8</v>
      </c>
      <c r="I119" s="4">
        <v>55.2</v>
      </c>
      <c r="J119" s="4">
        <v>1008.8</v>
      </c>
      <c r="K119" s="4">
        <v>53.5</v>
      </c>
      <c r="L119" s="4">
        <v>1.8620000000000001</v>
      </c>
      <c r="M119" s="4">
        <v>17.05</v>
      </c>
      <c r="N119" s="4">
        <v>10.9</v>
      </c>
      <c r="O119" s="4"/>
      <c r="P119" s="4">
        <v>4692.8</v>
      </c>
      <c r="Q119" s="6">
        <f t="shared" si="16"/>
        <v>4.6518636003172089</v>
      </c>
      <c r="R119" s="4">
        <v>7</v>
      </c>
      <c r="S119" s="4">
        <v>1</v>
      </c>
      <c r="T119" s="6">
        <f t="shared" si="17"/>
        <v>0.79302141157811257</v>
      </c>
      <c r="U119" s="4">
        <v>3203</v>
      </c>
      <c r="V119" s="7">
        <f t="shared" si="18"/>
        <v>3.3741687092742358</v>
      </c>
      <c r="W119" s="7">
        <f t="shared" si="19"/>
        <v>3.9796816539019608</v>
      </c>
      <c r="X119" s="7">
        <f t="shared" si="20"/>
        <v>1.5372679135724769</v>
      </c>
      <c r="Y119" s="7">
        <f t="shared" si="21"/>
        <v>8.0721553081882504</v>
      </c>
      <c r="Z119" s="7" t="str">
        <f t="shared" si="7"/>
        <v/>
      </c>
      <c r="AA119" s="7">
        <f t="shared" si="8"/>
        <v>1.7509999999999999</v>
      </c>
      <c r="AB119" s="7">
        <f t="shared" si="9"/>
        <v>16.84</v>
      </c>
      <c r="AC119" s="7">
        <f t="shared" si="10"/>
        <v>12.1</v>
      </c>
      <c r="AD119" s="7">
        <f t="shared" si="11"/>
        <v>0</v>
      </c>
      <c r="AE119" s="7">
        <f t="shared" si="12"/>
        <v>1.5093868227401539</v>
      </c>
      <c r="AF119" s="7">
        <f t="shared" si="13"/>
        <v>0.59517904969745061</v>
      </c>
      <c r="AG119" s="7">
        <f t="shared" si="14"/>
        <v>8.0250911816483494</v>
      </c>
    </row>
    <row r="120" spans="1:33" x14ac:dyDescent="0.25">
      <c r="A120" s="4" t="s">
        <v>143</v>
      </c>
      <c r="B120" s="4">
        <v>2018</v>
      </c>
      <c r="C120" s="4" t="s">
        <v>96</v>
      </c>
      <c r="D120" s="5">
        <f t="shared" si="15"/>
        <v>0</v>
      </c>
      <c r="E120" s="4">
        <v>27.4</v>
      </c>
      <c r="F120" s="4">
        <v>26.2</v>
      </c>
      <c r="G120" s="4">
        <v>25.6</v>
      </c>
      <c r="H120" s="4">
        <v>19.5</v>
      </c>
      <c r="I120" s="4">
        <v>63.7</v>
      </c>
      <c r="J120" s="4">
        <v>778.3</v>
      </c>
      <c r="K120" s="4">
        <v>36.200000000000003</v>
      </c>
      <c r="L120" s="4">
        <v>1.6379999999999999</v>
      </c>
      <c r="M120" s="4">
        <v>13.74</v>
      </c>
      <c r="N120" s="4">
        <v>19.399999999999999</v>
      </c>
      <c r="O120" s="4"/>
      <c r="P120" s="4">
        <v>16609.400000000001</v>
      </c>
      <c r="Q120" s="6">
        <f t="shared" si="16"/>
        <v>21.340614159064632</v>
      </c>
      <c r="R120" s="4">
        <v>7</v>
      </c>
      <c r="S120" s="4">
        <v>1</v>
      </c>
      <c r="T120" s="6">
        <f t="shared" si="17"/>
        <v>1.0278812797121932</v>
      </c>
      <c r="U120" s="4">
        <v>240</v>
      </c>
      <c r="V120" s="7">
        <f t="shared" si="18"/>
        <v>3.3105430133940246</v>
      </c>
      <c r="W120" s="7">
        <f t="shared" si="19"/>
        <v>3.5890591188317256</v>
      </c>
      <c r="X120" s="7">
        <f t="shared" si="20"/>
        <v>3.0606120251719737</v>
      </c>
      <c r="Y120" s="7">
        <f t="shared" si="21"/>
        <v>5.4847969334906548</v>
      </c>
      <c r="Z120" s="7" t="str">
        <f t="shared" si="7"/>
        <v/>
      </c>
      <c r="AA120" s="7">
        <f t="shared" si="8"/>
        <v>1.516</v>
      </c>
      <c r="AB120" s="7">
        <f t="shared" si="9"/>
        <v>13.65</v>
      </c>
      <c r="AC120" s="7">
        <f t="shared" si="10"/>
        <v>16.100000000000001</v>
      </c>
      <c r="AD120" s="7">
        <f t="shared" si="11"/>
        <v>0</v>
      </c>
      <c r="AE120" s="7">
        <f t="shared" si="12"/>
        <v>2.6063218917662074</v>
      </c>
      <c r="AF120" s="7">
        <f t="shared" si="13"/>
        <v>1.1680726800778716</v>
      </c>
      <c r="AG120" s="7">
        <f t="shared" si="14"/>
        <v>5.3518581334760666</v>
      </c>
    </row>
    <row r="121" spans="1:33" x14ac:dyDescent="0.25">
      <c r="A121" s="4" t="s">
        <v>144</v>
      </c>
      <c r="B121" s="4">
        <v>2018</v>
      </c>
      <c r="C121" s="4" t="s">
        <v>88</v>
      </c>
      <c r="D121" s="5">
        <f t="shared" si="15"/>
        <v>1</v>
      </c>
      <c r="E121" s="4">
        <v>36.6</v>
      </c>
      <c r="F121" s="4">
        <v>27.2</v>
      </c>
      <c r="G121" s="4">
        <v>47</v>
      </c>
      <c r="H121" s="4">
        <v>22</v>
      </c>
      <c r="I121" s="4">
        <v>70.2</v>
      </c>
      <c r="J121" s="4">
        <v>1160.7</v>
      </c>
      <c r="K121" s="4">
        <v>62.4</v>
      </c>
      <c r="L121" s="4">
        <v>3.31</v>
      </c>
      <c r="M121" s="4">
        <v>17.899999999999999</v>
      </c>
      <c r="N121" s="4">
        <v>14.8</v>
      </c>
      <c r="O121" s="4"/>
      <c r="P121" s="4">
        <v>14462</v>
      </c>
      <c r="Q121" s="6">
        <f t="shared" si="16"/>
        <v>12.459722581201</v>
      </c>
      <c r="R121" s="4">
        <v>8</v>
      </c>
      <c r="S121" s="4">
        <v>2</v>
      </c>
      <c r="T121" s="6">
        <f t="shared" si="17"/>
        <v>0.86154906521926422</v>
      </c>
      <c r="U121" s="4">
        <v>4996.8</v>
      </c>
      <c r="V121" s="7">
        <f t="shared" si="18"/>
        <v>3.6000482404073204</v>
      </c>
      <c r="W121" s="7">
        <f t="shared" si="19"/>
        <v>4.133565275375382</v>
      </c>
      <c r="X121" s="7">
        <f t="shared" si="20"/>
        <v>2.5225012483603204</v>
      </c>
      <c r="Y121" s="7">
        <f t="shared" si="21"/>
        <v>8.516753094587834</v>
      </c>
      <c r="Z121" s="7" t="str">
        <f t="shared" si="7"/>
        <v/>
      </c>
      <c r="AA121" s="7">
        <f t="shared" si="8"/>
        <v>3.1840000000000002</v>
      </c>
      <c r="AB121" s="7">
        <f t="shared" si="9"/>
        <v>18.03</v>
      </c>
      <c r="AC121" s="7">
        <f t="shared" si="10"/>
        <v>14.1</v>
      </c>
      <c r="AD121" s="7">
        <f t="shared" si="11"/>
        <v>0</v>
      </c>
      <c r="AE121" s="7">
        <f t="shared" si="12"/>
        <v>2.4463390114940542</v>
      </c>
      <c r="AF121" s="7">
        <f t="shared" si="13"/>
        <v>0.52124055251498569</v>
      </c>
      <c r="AG121" s="7">
        <f t="shared" si="14"/>
        <v>8.3870617267664898</v>
      </c>
    </row>
    <row r="122" spans="1:33" x14ac:dyDescent="0.25">
      <c r="A122" s="4" t="s">
        <v>145</v>
      </c>
      <c r="B122" s="4">
        <v>2018</v>
      </c>
      <c r="C122" s="4" t="s">
        <v>86</v>
      </c>
      <c r="D122" s="5">
        <f t="shared" si="15"/>
        <v>0</v>
      </c>
      <c r="E122" s="4">
        <v>29.7</v>
      </c>
      <c r="F122" s="4">
        <v>32.5</v>
      </c>
      <c r="G122" s="4">
        <v>35.6</v>
      </c>
      <c r="H122" s="4">
        <v>18.3</v>
      </c>
      <c r="I122" s="4">
        <v>43</v>
      </c>
      <c r="J122" s="4">
        <v>1022.7</v>
      </c>
      <c r="K122" s="4">
        <v>48.1</v>
      </c>
      <c r="L122" s="4">
        <v>2.4</v>
      </c>
      <c r="M122" s="4">
        <v>16.59</v>
      </c>
      <c r="N122" s="4">
        <v>18.100000000000001</v>
      </c>
      <c r="O122" s="4"/>
      <c r="P122" s="4">
        <v>1671</v>
      </c>
      <c r="Q122" s="6">
        <f t="shared" si="16"/>
        <v>1.6339102376063361</v>
      </c>
      <c r="R122" s="4">
        <v>6</v>
      </c>
      <c r="S122" s="4">
        <v>1</v>
      </c>
      <c r="T122" s="6">
        <f t="shared" si="17"/>
        <v>0.68446269678302529</v>
      </c>
      <c r="U122" s="4">
        <v>591.4</v>
      </c>
      <c r="V122" s="7">
        <f t="shared" si="18"/>
        <v>3.3911470458086539</v>
      </c>
      <c r="W122" s="7">
        <f t="shared" si="19"/>
        <v>3.8732821771117156</v>
      </c>
      <c r="X122" s="7">
        <f t="shared" si="20"/>
        <v>0.49097606078342659</v>
      </c>
      <c r="Y122" s="7">
        <f t="shared" si="21"/>
        <v>6.3841820823936439</v>
      </c>
      <c r="Z122" s="7" t="str">
        <f t="shared" si="7"/>
        <v/>
      </c>
      <c r="AA122" s="7">
        <f t="shared" si="8"/>
        <v>2.3660000000000001</v>
      </c>
      <c r="AB122" s="7">
        <f t="shared" si="9"/>
        <v>16.57</v>
      </c>
      <c r="AC122" s="7">
        <f t="shared" si="10"/>
        <v>15.7</v>
      </c>
      <c r="AD122" s="7">
        <f t="shared" si="11"/>
        <v>0</v>
      </c>
      <c r="AE122" s="7">
        <f t="shared" si="12"/>
        <v>0.17625652320329371</v>
      </c>
      <c r="AF122" s="7">
        <f t="shared" si="13"/>
        <v>0.88010952474085657</v>
      </c>
      <c r="AG122" s="7">
        <f t="shared" si="14"/>
        <v>6.2941583771802003</v>
      </c>
    </row>
    <row r="123" spans="1:33" x14ac:dyDescent="0.25">
      <c r="A123" s="4" t="s">
        <v>146</v>
      </c>
      <c r="B123" s="4">
        <v>2018</v>
      </c>
      <c r="C123" s="4" t="s">
        <v>99</v>
      </c>
      <c r="D123" s="5">
        <f t="shared" si="15"/>
        <v>1</v>
      </c>
      <c r="E123" s="4">
        <v>41.2</v>
      </c>
      <c r="F123" s="4">
        <v>33.5</v>
      </c>
      <c r="G123" s="4">
        <v>41.2</v>
      </c>
      <c r="H123" s="4">
        <v>37.200000000000003</v>
      </c>
      <c r="I123" s="4">
        <v>70.5</v>
      </c>
      <c r="J123" s="4">
        <v>1138.4000000000001</v>
      </c>
      <c r="K123" s="4">
        <v>94.5</v>
      </c>
      <c r="L123" s="4">
        <v>5.62</v>
      </c>
      <c r="M123" s="4">
        <v>25.05</v>
      </c>
      <c r="N123" s="4">
        <v>22.4</v>
      </c>
      <c r="O123" s="4"/>
      <c r="P123" s="4">
        <v>24216</v>
      </c>
      <c r="Q123" s="6">
        <f t="shared" si="16"/>
        <v>21.271960646521432</v>
      </c>
      <c r="R123" s="4">
        <v>6</v>
      </c>
      <c r="S123" s="4">
        <v>2</v>
      </c>
      <c r="T123" s="6">
        <f t="shared" si="17"/>
        <v>0.70274068868587491</v>
      </c>
      <c r="U123" s="4">
        <v>3976.7</v>
      </c>
      <c r="V123" s="7">
        <f t="shared" si="18"/>
        <v>3.7184382563554808</v>
      </c>
      <c r="W123" s="7">
        <f t="shared" si="19"/>
        <v>4.5485998344996972</v>
      </c>
      <c r="X123" s="7">
        <f t="shared" si="20"/>
        <v>3.0573898039259118</v>
      </c>
      <c r="Y123" s="7">
        <f t="shared" si="21"/>
        <v>8.2884590417887836</v>
      </c>
      <c r="Z123" s="7" t="str">
        <f t="shared" si="7"/>
        <v/>
      </c>
      <c r="AA123" s="7">
        <f t="shared" si="8"/>
        <v>5.0519999999999996</v>
      </c>
      <c r="AB123" s="7">
        <f t="shared" si="9"/>
        <v>23.3</v>
      </c>
      <c r="AC123" s="7">
        <f t="shared" si="10"/>
        <v>22.1</v>
      </c>
      <c r="AD123" s="7">
        <f t="shared" si="11"/>
        <v>0</v>
      </c>
      <c r="AE123" s="7">
        <f t="shared" si="12"/>
        <v>2.8131791878668682</v>
      </c>
      <c r="AF123" s="7">
        <f t="shared" si="13"/>
        <v>0.80135339684800999</v>
      </c>
      <c r="AG123" s="7">
        <f t="shared" si="14"/>
        <v>8.1877164293074109</v>
      </c>
    </row>
    <row r="124" spans="1:33" x14ac:dyDescent="0.25">
      <c r="A124" s="4" t="s">
        <v>147</v>
      </c>
      <c r="B124" s="4">
        <v>2018</v>
      </c>
      <c r="C124" s="4" t="s">
        <v>96</v>
      </c>
      <c r="D124" s="5">
        <f t="shared" si="15"/>
        <v>0</v>
      </c>
      <c r="E124" s="4">
        <v>29.6</v>
      </c>
      <c r="F124" s="4">
        <v>26.8</v>
      </c>
      <c r="G124" s="4">
        <v>31.3</v>
      </c>
      <c r="H124" s="4">
        <v>23.5</v>
      </c>
      <c r="I124" s="4">
        <v>51</v>
      </c>
      <c r="J124" s="4">
        <v>814.6</v>
      </c>
      <c r="K124" s="4">
        <v>33.9</v>
      </c>
      <c r="L124" s="4">
        <v>1.857</v>
      </c>
      <c r="M124" s="4">
        <v>19.87</v>
      </c>
      <c r="N124" s="4">
        <v>20</v>
      </c>
      <c r="O124" s="4"/>
      <c r="P124" s="4">
        <v>10595.3</v>
      </c>
      <c r="Q124" s="6">
        <f t="shared" si="16"/>
        <v>13.00675178001473</v>
      </c>
      <c r="R124" s="4">
        <v>3</v>
      </c>
      <c r="S124" s="4">
        <v>1</v>
      </c>
      <c r="T124" s="6">
        <f t="shared" si="17"/>
        <v>0.49103854652590229</v>
      </c>
      <c r="U124" s="4">
        <v>475.8</v>
      </c>
      <c r="V124" s="7">
        <f t="shared" si="18"/>
        <v>3.3877743613300146</v>
      </c>
      <c r="W124" s="7">
        <f t="shared" si="19"/>
        <v>3.5234150143864045</v>
      </c>
      <c r="X124" s="7">
        <f t="shared" si="20"/>
        <v>2.5654685903302572</v>
      </c>
      <c r="Y124" s="7">
        <f t="shared" si="21"/>
        <v>6.1670971157511403</v>
      </c>
      <c r="Z124" s="7" t="str">
        <f t="shared" si="7"/>
        <v/>
      </c>
      <c r="AA124" s="7">
        <f t="shared" si="8"/>
        <v>1.7629999999999999</v>
      </c>
      <c r="AB124" s="7">
        <f t="shared" si="9"/>
        <v>19.88</v>
      </c>
      <c r="AC124" s="7">
        <f t="shared" si="10"/>
        <v>16.600000000000001</v>
      </c>
      <c r="AD124" s="7">
        <f t="shared" si="11"/>
        <v>0</v>
      </c>
      <c r="AE124" s="7">
        <f t="shared" si="12"/>
        <v>2.446962630707358</v>
      </c>
      <c r="AF124" s="7">
        <f t="shared" si="13"/>
        <v>0.49547875634832161</v>
      </c>
      <c r="AG124" s="7">
        <f t="shared" si="14"/>
        <v>6.2930495247287546</v>
      </c>
    </row>
    <row r="125" spans="1:33" x14ac:dyDescent="0.25">
      <c r="A125" s="4" t="s">
        <v>148</v>
      </c>
      <c r="B125" s="4">
        <v>2018</v>
      </c>
      <c r="C125" s="4" t="s">
        <v>96</v>
      </c>
      <c r="D125" s="5">
        <f t="shared" si="15"/>
        <v>0</v>
      </c>
      <c r="E125" s="4"/>
      <c r="F125" s="4"/>
      <c r="G125" s="4"/>
      <c r="H125" s="4"/>
      <c r="I125" s="4"/>
      <c r="J125" s="4">
        <v>590.5</v>
      </c>
      <c r="K125" s="4">
        <v>30.6</v>
      </c>
      <c r="L125" s="4">
        <v>1.738</v>
      </c>
      <c r="M125" s="4">
        <v>14.41</v>
      </c>
      <c r="N125" s="4">
        <v>15.6</v>
      </c>
      <c r="O125" s="4"/>
      <c r="P125" s="4">
        <v>1896.4</v>
      </c>
      <c r="Q125" s="6">
        <f t="shared" si="16"/>
        <v>3.21151566469094</v>
      </c>
      <c r="R125" s="4">
        <v>3</v>
      </c>
      <c r="S125" s="4">
        <v>2</v>
      </c>
      <c r="T125" s="6">
        <f t="shared" si="17"/>
        <v>0.84674005080440307</v>
      </c>
      <c r="U125" s="4">
        <v>5.0999999999999996</v>
      </c>
      <c r="V125" s="7" t="str">
        <f t="shared" si="18"/>
        <v/>
      </c>
      <c r="W125" s="7">
        <f t="shared" si="19"/>
        <v>3.4210000089583352</v>
      </c>
      <c r="X125" s="7">
        <f t="shared" si="20"/>
        <v>1.1667429953905464</v>
      </c>
      <c r="Y125" s="7">
        <f t="shared" si="21"/>
        <v>1.8082887711792655</v>
      </c>
      <c r="Z125" s="7" t="str">
        <f t="shared" si="7"/>
        <v/>
      </c>
      <c r="AA125" s="7">
        <f t="shared" si="8"/>
        <v>1.7430000000000001</v>
      </c>
      <c r="AB125" s="7">
        <f t="shared" si="9"/>
        <v>14.45</v>
      </c>
      <c r="AC125" s="7">
        <f t="shared" si="10"/>
        <v>21</v>
      </c>
      <c r="AD125" s="7">
        <f t="shared" si="11"/>
        <v>0</v>
      </c>
      <c r="AE125" s="7">
        <f t="shared" si="12"/>
        <v>0.98033292689370521</v>
      </c>
      <c r="AF125" s="7">
        <f t="shared" si="13"/>
        <v>0.5177770107007249</v>
      </c>
      <c r="AG125" s="7">
        <f t="shared" si="14"/>
        <v>1.824549292051046</v>
      </c>
    </row>
    <row r="126" spans="1:33" x14ac:dyDescent="0.25">
      <c r="A126" s="4" t="s">
        <v>149</v>
      </c>
      <c r="B126" s="4">
        <v>2018</v>
      </c>
      <c r="C126" s="4" t="s">
        <v>92</v>
      </c>
      <c r="D126" s="5">
        <f t="shared" si="15"/>
        <v>0</v>
      </c>
      <c r="E126" s="4">
        <v>54.1</v>
      </c>
      <c r="F126" s="4">
        <v>41.7</v>
      </c>
      <c r="G126" s="4">
        <v>60.2</v>
      </c>
      <c r="H126" s="4">
        <v>49.9</v>
      </c>
      <c r="I126" s="4">
        <v>72.599999999999994</v>
      </c>
      <c r="J126" s="4">
        <v>1114.4000000000001</v>
      </c>
      <c r="K126" s="4">
        <v>91</v>
      </c>
      <c r="L126" s="4">
        <v>18.283000000000001</v>
      </c>
      <c r="M126" s="4">
        <v>87.12</v>
      </c>
      <c r="N126" s="4">
        <v>42.6</v>
      </c>
      <c r="O126" s="4"/>
      <c r="P126" s="4">
        <v>33452.6</v>
      </c>
      <c r="Q126" s="6">
        <f t="shared" si="16"/>
        <v>30.018485283560658</v>
      </c>
      <c r="R126" s="4">
        <v>70</v>
      </c>
      <c r="S126" s="4">
        <v>8</v>
      </c>
      <c r="T126" s="6">
        <f t="shared" si="17"/>
        <v>6.9992821249102652</v>
      </c>
      <c r="U126" s="4">
        <v>4617.3</v>
      </c>
      <c r="V126" s="7">
        <f t="shared" si="18"/>
        <v>3.9908341858524357</v>
      </c>
      <c r="W126" s="7">
        <f t="shared" si="19"/>
        <v>4.5108595065168497</v>
      </c>
      <c r="X126" s="7">
        <f t="shared" si="20"/>
        <v>3.4018133680222853</v>
      </c>
      <c r="Y126" s="7">
        <f t="shared" si="21"/>
        <v>8.4377819509919512</v>
      </c>
      <c r="Z126" s="7" t="str">
        <f t="shared" si="7"/>
        <v/>
      </c>
      <c r="AA126" s="7">
        <f t="shared" si="8"/>
        <v>16.776</v>
      </c>
      <c r="AB126" s="7">
        <f t="shared" si="9"/>
        <v>87.09</v>
      </c>
      <c r="AC126" s="7">
        <f t="shared" si="10"/>
        <v>40.9</v>
      </c>
      <c r="AD126" s="7">
        <f t="shared" si="11"/>
        <v>0</v>
      </c>
      <c r="AE126" s="7">
        <f t="shared" si="12"/>
        <v>3.3863367945241576</v>
      </c>
      <c r="AF126" s="7">
        <f t="shared" si="13"/>
        <v>6.5585716888322096</v>
      </c>
      <c r="AG126" s="7">
        <f t="shared" si="14"/>
        <v>8.3569774898044997</v>
      </c>
    </row>
    <row r="127" spans="1:33" x14ac:dyDescent="0.25">
      <c r="A127" s="4" t="s">
        <v>150</v>
      </c>
      <c r="B127" s="4">
        <v>2018</v>
      </c>
      <c r="C127" s="4" t="s">
        <v>105</v>
      </c>
      <c r="D127" s="5">
        <f t="shared" si="15"/>
        <v>0</v>
      </c>
      <c r="E127" s="4">
        <v>33.799999999999997</v>
      </c>
      <c r="F127" s="4">
        <v>29</v>
      </c>
      <c r="G127" s="4">
        <v>34.200000000000003</v>
      </c>
      <c r="H127" s="4">
        <v>27.5</v>
      </c>
      <c r="I127" s="4">
        <v>63.6</v>
      </c>
      <c r="J127" s="4">
        <v>1861.5</v>
      </c>
      <c r="K127" s="4">
        <v>39.1</v>
      </c>
      <c r="L127" s="4">
        <v>2.94</v>
      </c>
      <c r="M127" s="4">
        <v>24.66</v>
      </c>
      <c r="N127" s="4">
        <v>14.5</v>
      </c>
      <c r="O127" s="4"/>
      <c r="P127" s="4">
        <v>15313.2</v>
      </c>
      <c r="Q127" s="6">
        <f t="shared" si="16"/>
        <v>8.2262691377921033</v>
      </c>
      <c r="R127" s="4">
        <v>7</v>
      </c>
      <c r="S127" s="4">
        <v>2</v>
      </c>
      <c r="T127" s="6">
        <f t="shared" si="17"/>
        <v>0.48348106365834009</v>
      </c>
      <c r="U127" s="4">
        <v>82.5</v>
      </c>
      <c r="V127" s="7">
        <f t="shared" si="18"/>
        <v>3.520460802488973</v>
      </c>
      <c r="W127" s="7">
        <f t="shared" si="19"/>
        <v>3.6661224669913199</v>
      </c>
      <c r="X127" s="7">
        <f t="shared" si="20"/>
        <v>2.1073325872151596</v>
      </c>
      <c r="Y127" s="7">
        <f t="shared" si="21"/>
        <v>4.42484663185681</v>
      </c>
      <c r="Z127" s="7" t="str">
        <f t="shared" si="7"/>
        <v/>
      </c>
      <c r="AA127" s="7">
        <f t="shared" si="8"/>
        <v>2.7719999999999998</v>
      </c>
      <c r="AB127" s="7">
        <f t="shared" si="9"/>
        <v>24.59</v>
      </c>
      <c r="AC127" s="7">
        <f t="shared" si="10"/>
        <v>14.1</v>
      </c>
      <c r="AD127" s="7">
        <f t="shared" si="11"/>
        <v>0</v>
      </c>
      <c r="AE127" s="7">
        <f t="shared" si="12"/>
        <v>2.0036161576622415</v>
      </c>
      <c r="AF127" s="7">
        <f t="shared" si="13"/>
        <v>0.43236231962384475</v>
      </c>
      <c r="AG127" s="7">
        <f t="shared" si="14"/>
        <v>4.6615505194241988</v>
      </c>
    </row>
    <row r="128" spans="1:33" x14ac:dyDescent="0.25">
      <c r="A128" s="4" t="s">
        <v>151</v>
      </c>
      <c r="B128" s="4">
        <v>2018</v>
      </c>
      <c r="C128" s="4" t="s">
        <v>105</v>
      </c>
      <c r="D128" s="5">
        <f t="shared" si="15"/>
        <v>0</v>
      </c>
      <c r="E128" s="4">
        <v>30.1</v>
      </c>
      <c r="F128" s="4">
        <v>25</v>
      </c>
      <c r="G128" s="4">
        <v>36.700000000000003</v>
      </c>
      <c r="H128" s="4">
        <v>18.8</v>
      </c>
      <c r="I128" s="4">
        <v>56.9</v>
      </c>
      <c r="J128" s="4">
        <v>615.4</v>
      </c>
      <c r="K128" s="4">
        <v>44</v>
      </c>
      <c r="L128" s="4">
        <v>3.1779999999999999</v>
      </c>
      <c r="M128" s="4">
        <v>15.23</v>
      </c>
      <c r="N128" s="4">
        <v>13.9</v>
      </c>
      <c r="O128" s="4"/>
      <c r="P128" s="4">
        <v>1568</v>
      </c>
      <c r="Q128" s="6">
        <f t="shared" si="16"/>
        <v>2.5479363015924603</v>
      </c>
      <c r="R128" s="4">
        <v>2</v>
      </c>
      <c r="S128" s="4">
        <v>1</v>
      </c>
      <c r="T128" s="6">
        <f t="shared" si="17"/>
        <v>0.4874878128046799</v>
      </c>
      <c r="U128" s="4">
        <v>234.6</v>
      </c>
      <c r="V128" s="7">
        <f t="shared" si="18"/>
        <v>3.4045251717548299</v>
      </c>
      <c r="W128" s="7">
        <f t="shared" si="19"/>
        <v>3.784189633918261</v>
      </c>
      <c r="X128" s="7">
        <f t="shared" si="20"/>
        <v>0.93528373802241171</v>
      </c>
      <c r="Y128" s="7">
        <f t="shared" si="21"/>
        <v>5.4621354517774314</v>
      </c>
      <c r="Z128" s="7" t="str">
        <f t="shared" ref="Z128:Z191" si="22">IF(B128=2017,"",W65)</f>
        <v/>
      </c>
      <c r="AA128" s="7">
        <f t="shared" ref="AA128:AA191" si="23">IF(B128=2017,"",L65)</f>
        <v>3.0819999999999999</v>
      </c>
      <c r="AB128" s="7">
        <f t="shared" ref="AB128:AB191" si="24">IF(B128=2017,"",M65)</f>
        <v>15.14</v>
      </c>
      <c r="AC128" s="7">
        <f t="shared" ref="AC128:AC191" si="25">IF(B128=2017,"",N65)</f>
        <v>12.1</v>
      </c>
      <c r="AD128" s="7">
        <f t="shared" ref="AD128:AD191" si="26">IF(B128=2017,"",O65)</f>
        <v>0</v>
      </c>
      <c r="AE128" s="7">
        <f t="shared" ref="AE128:AE191" si="27">IF(B128=2017,"",X65)</f>
        <v>0.71441065751401056</v>
      </c>
      <c r="AF128" s="7">
        <f t="shared" ref="AF128:AF191" si="28">IF(B128=2017,"",T65)</f>
        <v>0.3306331625061994</v>
      </c>
      <c r="AG128" s="7">
        <f t="shared" ref="AG128:AG191" si="29">IF(B128=2017,"",Y65)</f>
        <v>5.0689042022202315</v>
      </c>
    </row>
    <row r="129" spans="1:33" x14ac:dyDescent="0.25">
      <c r="A129" s="4" t="s">
        <v>152</v>
      </c>
      <c r="B129" s="4">
        <v>2018</v>
      </c>
      <c r="C129" s="4" t="s">
        <v>88</v>
      </c>
      <c r="D129" s="5">
        <f t="shared" si="15"/>
        <v>1</v>
      </c>
      <c r="E129" s="4">
        <v>48.2</v>
      </c>
      <c r="F129" s="4">
        <v>39.5</v>
      </c>
      <c r="G129" s="4">
        <v>58.2</v>
      </c>
      <c r="H129" s="4">
        <v>36.5</v>
      </c>
      <c r="I129" s="4">
        <v>71.3</v>
      </c>
      <c r="J129" s="4">
        <v>3055.1</v>
      </c>
      <c r="K129" s="4">
        <v>103.1</v>
      </c>
      <c r="L129" s="4">
        <v>6.9340000000000002</v>
      </c>
      <c r="M129" s="4">
        <v>32.94</v>
      </c>
      <c r="N129" s="4">
        <v>20.100000000000001</v>
      </c>
      <c r="O129" s="4"/>
      <c r="P129" s="4">
        <v>51994.5</v>
      </c>
      <c r="Q129" s="6">
        <f t="shared" si="16"/>
        <v>17.018919184314754</v>
      </c>
      <c r="R129" s="4">
        <v>12</v>
      </c>
      <c r="S129" s="4">
        <v>5</v>
      </c>
      <c r="T129" s="6">
        <f t="shared" si="17"/>
        <v>0.55644659749271708</v>
      </c>
      <c r="U129" s="4">
        <v>9380.6</v>
      </c>
      <c r="V129" s="7">
        <f t="shared" si="18"/>
        <v>3.8753590210565547</v>
      </c>
      <c r="W129" s="7">
        <f t="shared" si="19"/>
        <v>4.6356993910229143</v>
      </c>
      <c r="X129" s="7">
        <f t="shared" si="20"/>
        <v>2.8343256184446379</v>
      </c>
      <c r="Y129" s="7">
        <f t="shared" si="21"/>
        <v>9.1465056031468546</v>
      </c>
      <c r="Z129" s="7" t="str">
        <f t="shared" si="22"/>
        <v/>
      </c>
      <c r="AA129" s="7">
        <f t="shared" si="23"/>
        <v>6.2779999999999996</v>
      </c>
      <c r="AB129" s="7">
        <f t="shared" si="24"/>
        <v>32.97</v>
      </c>
      <c r="AC129" s="7">
        <f t="shared" si="25"/>
        <v>21.5</v>
      </c>
      <c r="AD129" s="7">
        <f t="shared" si="26"/>
        <v>0</v>
      </c>
      <c r="AE129" s="7">
        <f t="shared" si="27"/>
        <v>2.7907409661189377</v>
      </c>
      <c r="AF129" s="7">
        <f t="shared" si="28"/>
        <v>0.56574262038670176</v>
      </c>
      <c r="AG129" s="7">
        <f t="shared" si="29"/>
        <v>9.1163263517939264</v>
      </c>
    </row>
    <row r="130" spans="1:33" x14ac:dyDescent="0.25">
      <c r="A130" s="4" t="s">
        <v>153</v>
      </c>
      <c r="B130" s="4">
        <v>2018</v>
      </c>
      <c r="C130" s="4" t="s">
        <v>86</v>
      </c>
      <c r="D130" s="5">
        <f t="shared" si="15"/>
        <v>0</v>
      </c>
      <c r="E130" s="4">
        <v>33.1</v>
      </c>
      <c r="F130" s="4">
        <v>32.799999999999997</v>
      </c>
      <c r="G130" s="4">
        <v>36.299999999999997</v>
      </c>
      <c r="H130" s="4">
        <v>19.399999999999999</v>
      </c>
      <c r="I130" s="4">
        <v>70</v>
      </c>
      <c r="J130" s="4">
        <v>1606.1</v>
      </c>
      <c r="K130" s="4">
        <v>47.4</v>
      </c>
      <c r="L130" s="4">
        <v>2.0329999999999999</v>
      </c>
      <c r="M130" s="4">
        <v>18.2</v>
      </c>
      <c r="N130" s="4">
        <v>11.4</v>
      </c>
      <c r="O130" s="4"/>
      <c r="P130" s="4">
        <v>2125.8000000000002</v>
      </c>
      <c r="Q130" s="6">
        <f t="shared" si="16"/>
        <v>1.3235788556129757</v>
      </c>
      <c r="R130" s="4">
        <v>6</v>
      </c>
      <c r="S130" s="4">
        <v>1</v>
      </c>
      <c r="T130" s="6">
        <f t="shared" si="17"/>
        <v>0.43583836622875288</v>
      </c>
      <c r="U130" s="4">
        <v>97.9</v>
      </c>
      <c r="V130" s="7">
        <f t="shared" si="18"/>
        <v>3.4995332823830174</v>
      </c>
      <c r="W130" s="7">
        <f t="shared" si="19"/>
        <v>3.858622228701031</v>
      </c>
      <c r="X130" s="7">
        <f t="shared" si="20"/>
        <v>0.28033932203062989</v>
      </c>
      <c r="Y130" s="7">
        <f t="shared" si="21"/>
        <v>4.5941092386286666</v>
      </c>
      <c r="Z130" s="7" t="str">
        <f t="shared" si="22"/>
        <v/>
      </c>
      <c r="AA130" s="7">
        <f t="shared" si="23"/>
        <v>1.887</v>
      </c>
      <c r="AB130" s="7">
        <f t="shared" si="24"/>
        <v>18.079999999999998</v>
      </c>
      <c r="AC130" s="7">
        <f t="shared" si="25"/>
        <v>15.3</v>
      </c>
      <c r="AD130" s="7">
        <f t="shared" si="26"/>
        <v>0</v>
      </c>
      <c r="AE130" s="7">
        <f t="shared" si="27"/>
        <v>0.16680122025677777</v>
      </c>
      <c r="AF130" s="7">
        <f t="shared" si="28"/>
        <v>0.49612403100775199</v>
      </c>
      <c r="AG130" s="7">
        <f t="shared" si="29"/>
        <v>4.664382045619937</v>
      </c>
    </row>
    <row r="131" spans="1:33" x14ac:dyDescent="0.25">
      <c r="A131" s="4" t="s">
        <v>85</v>
      </c>
      <c r="B131" s="4">
        <v>2019</v>
      </c>
      <c r="C131" s="4" t="s">
        <v>86</v>
      </c>
      <c r="D131" s="5">
        <f t="shared" si="15"/>
        <v>0</v>
      </c>
      <c r="E131" s="4">
        <v>35.799999999999997</v>
      </c>
      <c r="F131" s="4">
        <v>31</v>
      </c>
      <c r="G131" s="4">
        <v>46.9</v>
      </c>
      <c r="H131" s="4">
        <v>20.7</v>
      </c>
      <c r="I131" s="4">
        <v>59.5</v>
      </c>
      <c r="J131" s="4">
        <v>1907.4</v>
      </c>
      <c r="K131" s="4">
        <v>44.5</v>
      </c>
      <c r="L131" s="4">
        <v>2.3319999999999999</v>
      </c>
      <c r="M131" s="4">
        <v>31.59</v>
      </c>
      <c r="N131" s="4">
        <v>14.6</v>
      </c>
      <c r="O131" s="4">
        <v>16.3</v>
      </c>
      <c r="P131" s="4">
        <v>6932.1</v>
      </c>
      <c r="Q131" s="6">
        <f t="shared" si="16"/>
        <v>3.6343189682290027</v>
      </c>
      <c r="R131" s="4">
        <v>7</v>
      </c>
      <c r="S131" s="4">
        <v>2</v>
      </c>
      <c r="T131" s="6">
        <f t="shared" si="17"/>
        <v>0.47184649260773825</v>
      </c>
      <c r="U131" s="4">
        <v>140.30000000000001</v>
      </c>
      <c r="V131" s="7">
        <f t="shared" si="18"/>
        <v>3.5779478934066544</v>
      </c>
      <c r="W131" s="7">
        <f t="shared" si="19"/>
        <v>3.7954891891721947</v>
      </c>
      <c r="X131" s="7">
        <f t="shared" si="20"/>
        <v>1.2904217394377582</v>
      </c>
      <c r="Y131" s="7">
        <f t="shared" si="21"/>
        <v>4.9508852896904818</v>
      </c>
      <c r="Z131" s="7">
        <f t="shared" si="22"/>
        <v>3.6988297849671046</v>
      </c>
      <c r="AA131" s="7">
        <f t="shared" si="23"/>
        <v>2.3149999999999999</v>
      </c>
      <c r="AB131" s="7">
        <f t="shared" si="24"/>
        <v>31.33</v>
      </c>
      <c r="AC131" s="7">
        <f t="shared" si="25"/>
        <v>13.6</v>
      </c>
      <c r="AD131" s="7">
        <f t="shared" si="26"/>
        <v>0</v>
      </c>
      <c r="AE131" s="7">
        <f t="shared" si="27"/>
        <v>1.1637008915228635</v>
      </c>
      <c r="AF131" s="7">
        <f t="shared" si="28"/>
        <v>0.41429311237700672</v>
      </c>
      <c r="AG131" s="7">
        <f t="shared" si="29"/>
        <v>4.6895113344218426</v>
      </c>
    </row>
    <row r="132" spans="1:33" x14ac:dyDescent="0.25">
      <c r="A132" s="4" t="s">
        <v>87</v>
      </c>
      <c r="B132" s="4">
        <v>2019</v>
      </c>
      <c r="C132" s="4" t="s">
        <v>88</v>
      </c>
      <c r="D132" s="5">
        <f t="shared" si="15"/>
        <v>1</v>
      </c>
      <c r="E132" s="4">
        <v>47.8</v>
      </c>
      <c r="F132" s="4">
        <v>36.799999999999997</v>
      </c>
      <c r="G132" s="4">
        <v>62.7</v>
      </c>
      <c r="H132" s="4">
        <v>35.4</v>
      </c>
      <c r="I132" s="4">
        <v>61</v>
      </c>
      <c r="J132" s="4">
        <v>1152.2</v>
      </c>
      <c r="K132" s="4">
        <v>300.39999999999998</v>
      </c>
      <c r="L132" s="4">
        <v>8.7629999999999999</v>
      </c>
      <c r="M132" s="4">
        <v>58.64</v>
      </c>
      <c r="N132" s="4">
        <v>27.8</v>
      </c>
      <c r="O132" s="4">
        <v>24</v>
      </c>
      <c r="P132" s="4">
        <v>7868.3</v>
      </c>
      <c r="Q132" s="6">
        <f t="shared" si="16"/>
        <v>6.8289359486200309</v>
      </c>
      <c r="R132" s="4">
        <v>10</v>
      </c>
      <c r="S132" s="4">
        <v>4</v>
      </c>
      <c r="T132" s="6">
        <f t="shared" si="17"/>
        <v>1.2150668286755772</v>
      </c>
      <c r="U132" s="4">
        <v>26927.5</v>
      </c>
      <c r="V132" s="7">
        <f t="shared" si="18"/>
        <v>3.8670256394974101</v>
      </c>
      <c r="W132" s="7">
        <f t="shared" si="19"/>
        <v>5.7051149198899793</v>
      </c>
      <c r="X132" s="7">
        <f t="shared" si="20"/>
        <v>1.9211688706144259</v>
      </c>
      <c r="Y132" s="7">
        <f t="shared" si="21"/>
        <v>10.200940484291477</v>
      </c>
      <c r="Z132" s="7">
        <f t="shared" si="22"/>
        <v>5.7352811417155722</v>
      </c>
      <c r="AA132" s="7">
        <f t="shared" si="23"/>
        <v>8.4429999999999996</v>
      </c>
      <c r="AB132" s="7">
        <f t="shared" si="24"/>
        <v>57.69</v>
      </c>
      <c r="AC132" s="7">
        <f t="shared" si="25"/>
        <v>25.9</v>
      </c>
      <c r="AD132" s="7">
        <f t="shared" si="26"/>
        <v>0</v>
      </c>
      <c r="AE132" s="7">
        <f t="shared" si="27"/>
        <v>1.9060843407819525</v>
      </c>
      <c r="AF132" s="7">
        <f t="shared" si="28"/>
        <v>1.0542036370025476</v>
      </c>
      <c r="AG132" s="7">
        <f t="shared" si="29"/>
        <v>10.175524119873193</v>
      </c>
    </row>
    <row r="133" spans="1:33" x14ac:dyDescent="0.25">
      <c r="A133" s="4" t="s">
        <v>89</v>
      </c>
      <c r="B133" s="4">
        <v>2019</v>
      </c>
      <c r="C133" s="4" t="s">
        <v>88</v>
      </c>
      <c r="D133" s="5">
        <f t="shared" ref="D133:D196" si="30">IF(OR(C133="ĐNB",C133="ĐBSH"),1,0)</f>
        <v>1</v>
      </c>
      <c r="E133" s="4">
        <v>54</v>
      </c>
      <c r="F133" s="4">
        <v>41</v>
      </c>
      <c r="G133" s="4">
        <v>74.599999999999994</v>
      </c>
      <c r="H133" s="4">
        <v>38.1</v>
      </c>
      <c r="I133" s="4">
        <v>63.6</v>
      </c>
      <c r="J133" s="4">
        <v>2456.3000000000002</v>
      </c>
      <c r="K133" s="4">
        <v>147.4</v>
      </c>
      <c r="L133" s="4">
        <v>12.864000000000001</v>
      </c>
      <c r="M133" s="4">
        <v>79.87</v>
      </c>
      <c r="N133" s="4">
        <v>21.9</v>
      </c>
      <c r="O133" s="4">
        <v>24.2</v>
      </c>
      <c r="P133" s="4">
        <v>58900</v>
      </c>
      <c r="Q133" s="6">
        <f t="shared" ref="Q133:Q196" si="31">IF(P133="","",P133/J133)</f>
        <v>23.979155640597646</v>
      </c>
      <c r="R133" s="4">
        <v>12</v>
      </c>
      <c r="S133" s="4">
        <v>5</v>
      </c>
      <c r="T133" s="6">
        <f t="shared" ref="T133:T196" si="32">(R133+S133)/J133*100</f>
        <v>0.69209787078125629</v>
      </c>
      <c r="U133" s="4">
        <v>13981</v>
      </c>
      <c r="V133" s="7">
        <f t="shared" ref="V133:V196" si="33">IF(E133="","",LN(E133))</f>
        <v>3.9889840465642745</v>
      </c>
      <c r="W133" s="7">
        <f t="shared" ref="W133:W196" si="34">IF(K133="","",LN(K133))</f>
        <v>4.9931499797552359</v>
      </c>
      <c r="X133" s="7">
        <f t="shared" ref="X133:X196" si="35">IF(Q133="","",LN(Q133))</f>
        <v>3.1771849379951953</v>
      </c>
      <c r="Y133" s="7">
        <f t="shared" ref="Y133:Y196" si="36">LN(1+U133)</f>
        <v>9.5455260670719309</v>
      </c>
      <c r="Z133" s="7">
        <f t="shared" si="22"/>
        <v>4.9250774057346094</v>
      </c>
      <c r="AA133" s="7">
        <f t="shared" si="23"/>
        <v>11.754</v>
      </c>
      <c r="AB133" s="7">
        <f t="shared" si="24"/>
        <v>79.98</v>
      </c>
      <c r="AC133" s="7">
        <f t="shared" si="25"/>
        <v>20.6</v>
      </c>
      <c r="AD133" s="7">
        <f t="shared" si="26"/>
        <v>0</v>
      </c>
      <c r="AE133" s="7">
        <f t="shared" si="27"/>
        <v>3.0949885746495815</v>
      </c>
      <c r="AF133" s="7">
        <f t="shared" si="28"/>
        <v>0.59696401159815804</v>
      </c>
      <c r="AG133" s="7">
        <f t="shared" si="29"/>
        <v>9.5136177037397545</v>
      </c>
    </row>
    <row r="134" spans="1:33" x14ac:dyDescent="0.25">
      <c r="A134" s="4" t="s">
        <v>90</v>
      </c>
      <c r="B134" s="4">
        <v>2019</v>
      </c>
      <c r="C134" s="4" t="s">
        <v>88</v>
      </c>
      <c r="D134" s="5">
        <f t="shared" si="30"/>
        <v>1</v>
      </c>
      <c r="E134" s="4">
        <v>29.3</v>
      </c>
      <c r="F134" s="4">
        <v>25.7</v>
      </c>
      <c r="G134" s="4">
        <v>30.9</v>
      </c>
      <c r="H134" s="4">
        <v>19.100000000000001</v>
      </c>
      <c r="I134" s="4">
        <v>66.8</v>
      </c>
      <c r="J134" s="4">
        <v>997.8</v>
      </c>
      <c r="K134" s="4">
        <v>62.6</v>
      </c>
      <c r="L134" s="4">
        <v>5.1189999999999998</v>
      </c>
      <c r="M134" s="4">
        <v>23.9</v>
      </c>
      <c r="N134" s="4">
        <v>15.8</v>
      </c>
      <c r="O134" s="4">
        <v>22.8</v>
      </c>
      <c r="P134" s="4">
        <v>3341</v>
      </c>
      <c r="Q134" s="6">
        <f t="shared" si="31"/>
        <v>3.3483664060934055</v>
      </c>
      <c r="R134" s="4">
        <v>8</v>
      </c>
      <c r="S134" s="4">
        <v>4</v>
      </c>
      <c r="T134" s="6">
        <f t="shared" si="32"/>
        <v>1.2026458208057726</v>
      </c>
      <c r="U134" s="4">
        <v>2818.3</v>
      </c>
      <c r="V134" s="7">
        <f t="shared" si="33"/>
        <v>3.3775875160230218</v>
      </c>
      <c r="W134" s="7">
        <f t="shared" si="34"/>
        <v>4.1367652781060524</v>
      </c>
      <c r="X134" s="7">
        <f t="shared" si="35"/>
        <v>1.2084725869298196</v>
      </c>
      <c r="Y134" s="7">
        <f t="shared" si="36"/>
        <v>7.9442439061683956</v>
      </c>
      <c r="Z134" s="7">
        <f t="shared" si="22"/>
        <v>4.0271358125286509</v>
      </c>
      <c r="AA134" s="7">
        <f t="shared" si="23"/>
        <v>4.54</v>
      </c>
      <c r="AB134" s="7">
        <f t="shared" si="24"/>
        <v>23.08</v>
      </c>
      <c r="AC134" s="7">
        <f t="shared" si="25"/>
        <v>16.8</v>
      </c>
      <c r="AD134" s="7">
        <f t="shared" si="26"/>
        <v>0</v>
      </c>
      <c r="AE134" s="7">
        <f t="shared" si="27"/>
        <v>1.0365503633999411</v>
      </c>
      <c r="AF134" s="7">
        <f t="shared" si="28"/>
        <v>0.91379835516296071</v>
      </c>
      <c r="AG134" s="7">
        <f t="shared" si="29"/>
        <v>7.7941227422049337</v>
      </c>
    </row>
    <row r="135" spans="1:33" x14ac:dyDescent="0.25">
      <c r="A135" s="4" t="s">
        <v>91</v>
      </c>
      <c r="B135" s="4">
        <v>2019</v>
      </c>
      <c r="C135" s="4" t="s">
        <v>92</v>
      </c>
      <c r="D135" s="5">
        <f t="shared" si="30"/>
        <v>0</v>
      </c>
      <c r="E135" s="4">
        <v>36.4</v>
      </c>
      <c r="F135" s="4">
        <v>33.200000000000003</v>
      </c>
      <c r="G135" s="4">
        <v>43</v>
      </c>
      <c r="H135" s="4">
        <v>23.8</v>
      </c>
      <c r="I135" s="4">
        <v>63.3</v>
      </c>
      <c r="J135" s="4">
        <v>1232.3</v>
      </c>
      <c r="K135" s="4">
        <v>64.2</v>
      </c>
      <c r="L135" s="4">
        <v>3.93</v>
      </c>
      <c r="M135" s="4">
        <v>38.08</v>
      </c>
      <c r="N135" s="4">
        <v>16.3</v>
      </c>
      <c r="O135" s="4">
        <v>18.399999999999999</v>
      </c>
      <c r="P135" s="4">
        <v>9109.7999999999993</v>
      </c>
      <c r="Q135" s="6">
        <f t="shared" si="31"/>
        <v>7.3925180556682619</v>
      </c>
      <c r="R135" s="4">
        <v>3</v>
      </c>
      <c r="S135" s="4">
        <v>1</v>
      </c>
      <c r="T135" s="6">
        <f t="shared" si="32"/>
        <v>0.32459628337255542</v>
      </c>
      <c r="U135" s="4">
        <v>3027.1</v>
      </c>
      <c r="V135" s="7">
        <f t="shared" si="33"/>
        <v>3.5945687746426951</v>
      </c>
      <c r="W135" s="7">
        <f t="shared" si="34"/>
        <v>4.1620032106959153</v>
      </c>
      <c r="X135" s="7">
        <f t="shared" si="35"/>
        <v>2.0004684151721195</v>
      </c>
      <c r="Y135" s="7">
        <f t="shared" si="36"/>
        <v>8.0156906391110976</v>
      </c>
      <c r="Z135" s="7">
        <f t="shared" si="22"/>
        <v>3.9778107459661491</v>
      </c>
      <c r="AA135" s="7">
        <f t="shared" si="23"/>
        <v>3.63</v>
      </c>
      <c r="AB135" s="7">
        <f t="shared" si="24"/>
        <v>38.200000000000003</v>
      </c>
      <c r="AC135" s="7">
        <f t="shared" si="25"/>
        <v>14</v>
      </c>
      <c r="AD135" s="7">
        <f t="shared" si="26"/>
        <v>0</v>
      </c>
      <c r="AE135" s="7">
        <f t="shared" si="27"/>
        <v>1.892808577492139</v>
      </c>
      <c r="AF135" s="7">
        <f t="shared" si="28"/>
        <v>0.32591868328851953</v>
      </c>
      <c r="AG135" s="7">
        <f t="shared" si="29"/>
        <v>7.9763206462979497</v>
      </c>
    </row>
    <row r="136" spans="1:33" x14ac:dyDescent="0.25">
      <c r="A136" s="4" t="s">
        <v>93</v>
      </c>
      <c r="B136" s="4">
        <v>2019</v>
      </c>
      <c r="C136" s="4" t="s">
        <v>92</v>
      </c>
      <c r="D136" s="5">
        <f t="shared" si="30"/>
        <v>0</v>
      </c>
      <c r="E136" s="4">
        <v>41.7</v>
      </c>
      <c r="F136" s="4">
        <v>34.700000000000003</v>
      </c>
      <c r="G136" s="4">
        <v>43.3</v>
      </c>
      <c r="H136" s="4">
        <v>35.4</v>
      </c>
      <c r="I136" s="4">
        <v>72.099999999999994</v>
      </c>
      <c r="J136" s="4">
        <v>1487.8</v>
      </c>
      <c r="K136" s="4">
        <v>55.7</v>
      </c>
      <c r="L136" s="4">
        <v>4.298</v>
      </c>
      <c r="M136" s="4">
        <v>32.049999999999997</v>
      </c>
      <c r="N136" s="4">
        <v>19.2</v>
      </c>
      <c r="O136" s="4">
        <v>23.4</v>
      </c>
      <c r="P136" s="4">
        <v>23859.4</v>
      </c>
      <c r="Q136" s="6">
        <f t="shared" si="31"/>
        <v>16.036698480978629</v>
      </c>
      <c r="R136" s="4">
        <v>7</v>
      </c>
      <c r="S136" s="4">
        <v>4</v>
      </c>
      <c r="T136" s="6">
        <f t="shared" si="32"/>
        <v>0.73934668638257828</v>
      </c>
      <c r="U136" s="4">
        <v>539.4</v>
      </c>
      <c r="V136" s="7">
        <f t="shared" si="33"/>
        <v>3.730501128804756</v>
      </c>
      <c r="W136" s="7">
        <f t="shared" si="34"/>
        <v>4.0199801469332384</v>
      </c>
      <c r="X136" s="7">
        <f t="shared" si="35"/>
        <v>2.7748797508894638</v>
      </c>
      <c r="Y136" s="7">
        <f t="shared" si="36"/>
        <v>6.2923096060860439</v>
      </c>
      <c r="Z136" s="7">
        <f t="shared" si="22"/>
        <v>3.9160150266976834</v>
      </c>
      <c r="AA136" s="7">
        <f t="shared" si="23"/>
        <v>4.1669999999999998</v>
      </c>
      <c r="AB136" s="7">
        <f t="shared" si="24"/>
        <v>31.96</v>
      </c>
      <c r="AC136" s="7">
        <f t="shared" si="25"/>
        <v>21.2</v>
      </c>
      <c r="AD136" s="7">
        <f t="shared" si="26"/>
        <v>0</v>
      </c>
      <c r="AE136" s="7">
        <f t="shared" si="27"/>
        <v>2.5990485657438875</v>
      </c>
      <c r="AF136" s="7">
        <f t="shared" si="28"/>
        <v>0.73934668638257828</v>
      </c>
      <c r="AG136" s="7">
        <f t="shared" si="29"/>
        <v>6.2969251409114051</v>
      </c>
    </row>
    <row r="137" spans="1:33" x14ac:dyDescent="0.25">
      <c r="A137" s="4" t="s">
        <v>94</v>
      </c>
      <c r="B137" s="4">
        <v>2019</v>
      </c>
      <c r="C137" s="4" t="s">
        <v>86</v>
      </c>
      <c r="D137" s="5">
        <f t="shared" si="30"/>
        <v>0</v>
      </c>
      <c r="E137" s="4"/>
      <c r="F137" s="4"/>
      <c r="G137" s="4"/>
      <c r="H137" s="4"/>
      <c r="I137" s="4"/>
      <c r="J137" s="4">
        <v>908.2</v>
      </c>
      <c r="K137" s="4">
        <v>45.9</v>
      </c>
      <c r="L137" s="4">
        <v>2.0720000000000001</v>
      </c>
      <c r="M137" s="4">
        <v>27.78</v>
      </c>
      <c r="N137" s="4">
        <v>8.8000000000000007</v>
      </c>
      <c r="O137" s="4">
        <v>13.1</v>
      </c>
      <c r="P137" s="4">
        <v>2501.5</v>
      </c>
      <c r="Q137" s="6">
        <f t="shared" si="31"/>
        <v>2.7543492622770311</v>
      </c>
      <c r="R137" s="4">
        <v>5</v>
      </c>
      <c r="S137" s="4">
        <v>4</v>
      </c>
      <c r="T137" s="6">
        <f t="shared" si="32"/>
        <v>0.9909711517286941</v>
      </c>
      <c r="U137" s="4">
        <v>609.29999999999995</v>
      </c>
      <c r="V137" s="7" t="str">
        <f t="shared" si="33"/>
        <v/>
      </c>
      <c r="W137" s="7">
        <f t="shared" si="34"/>
        <v>3.8264651170664994</v>
      </c>
      <c r="X137" s="7">
        <f t="shared" si="35"/>
        <v>1.0131812122644088</v>
      </c>
      <c r="Y137" s="7">
        <f t="shared" si="36"/>
        <v>6.4139506395504489</v>
      </c>
      <c r="Z137" s="7">
        <f t="shared" si="22"/>
        <v>3.7819143200811256</v>
      </c>
      <c r="AA137" s="7">
        <f t="shared" si="23"/>
        <v>1.97</v>
      </c>
      <c r="AB137" s="7">
        <f t="shared" si="24"/>
        <v>27.63</v>
      </c>
      <c r="AC137" s="7">
        <f t="shared" si="25"/>
        <v>8.1999999999999993</v>
      </c>
      <c r="AD137" s="7">
        <f t="shared" si="26"/>
        <v>0</v>
      </c>
      <c r="AE137" s="7">
        <f t="shared" si="27"/>
        <v>0.89167120631385821</v>
      </c>
      <c r="AF137" s="7">
        <f t="shared" si="28"/>
        <v>0.66445182724252494</v>
      </c>
      <c r="AG137" s="7">
        <f t="shared" si="29"/>
        <v>6.1907251579588598</v>
      </c>
    </row>
    <row r="138" spans="1:33" x14ac:dyDescent="0.25">
      <c r="A138" s="4" t="s">
        <v>95</v>
      </c>
      <c r="B138" s="4">
        <v>2019</v>
      </c>
      <c r="C138" s="4" t="s">
        <v>96</v>
      </c>
      <c r="D138" s="5">
        <f t="shared" si="30"/>
        <v>0</v>
      </c>
      <c r="E138" s="4">
        <v>43.1</v>
      </c>
      <c r="F138" s="4">
        <v>36.799999999999997</v>
      </c>
      <c r="G138" s="4">
        <v>46.1</v>
      </c>
      <c r="H138" s="4">
        <v>37.4</v>
      </c>
      <c r="I138" s="4">
        <v>65.2</v>
      </c>
      <c r="J138" s="4">
        <v>1810.4</v>
      </c>
      <c r="K138" s="4">
        <v>57.7</v>
      </c>
      <c r="L138" s="4">
        <v>3.2480000000000002</v>
      </c>
      <c r="M138" s="4">
        <v>11.46</v>
      </c>
      <c r="N138" s="4">
        <v>18</v>
      </c>
      <c r="O138" s="4">
        <v>15</v>
      </c>
      <c r="P138" s="4">
        <v>22142.3</v>
      </c>
      <c r="Q138" s="6">
        <f t="shared" si="31"/>
        <v>12.230612019443216</v>
      </c>
      <c r="R138" s="4">
        <v>9</v>
      </c>
      <c r="S138" s="4">
        <v>8</v>
      </c>
      <c r="T138" s="6">
        <f t="shared" si="32"/>
        <v>0.93901900132567395</v>
      </c>
      <c r="U138" s="4">
        <v>3301.6</v>
      </c>
      <c r="V138" s="7">
        <f t="shared" si="33"/>
        <v>3.763522997109702</v>
      </c>
      <c r="W138" s="7">
        <f t="shared" si="34"/>
        <v>4.0552571735140539</v>
      </c>
      <c r="X138" s="7">
        <f t="shared" si="35"/>
        <v>2.5039419909198695</v>
      </c>
      <c r="Y138" s="7">
        <f t="shared" si="36"/>
        <v>8.1024653160288871</v>
      </c>
      <c r="Z138" s="7">
        <f t="shared" si="22"/>
        <v>3.9278963545844361</v>
      </c>
      <c r="AA138" s="7">
        <f t="shared" si="23"/>
        <v>3.0670000000000002</v>
      </c>
      <c r="AB138" s="7">
        <f t="shared" si="24"/>
        <v>11.41</v>
      </c>
      <c r="AC138" s="7">
        <f t="shared" si="25"/>
        <v>16.7</v>
      </c>
      <c r="AD138" s="7">
        <f t="shared" si="26"/>
        <v>0</v>
      </c>
      <c r="AE138" s="7">
        <f t="shared" si="27"/>
        <v>2.3767396784877102</v>
      </c>
      <c r="AF138" s="7">
        <f t="shared" si="28"/>
        <v>0.95639943741209554</v>
      </c>
      <c r="AG138" s="7">
        <f t="shared" si="29"/>
        <v>7.909893377315111</v>
      </c>
    </row>
    <row r="139" spans="1:33" x14ac:dyDescent="0.25">
      <c r="A139" s="4" t="s">
        <v>97</v>
      </c>
      <c r="B139" s="4">
        <v>2019</v>
      </c>
      <c r="C139" s="4" t="s">
        <v>96</v>
      </c>
      <c r="D139" s="5">
        <f t="shared" si="30"/>
        <v>0</v>
      </c>
      <c r="E139" s="4">
        <v>27.4</v>
      </c>
      <c r="F139" s="4">
        <v>23.7</v>
      </c>
      <c r="G139" s="4">
        <v>25.4</v>
      </c>
      <c r="H139" s="4">
        <v>20.9</v>
      </c>
      <c r="I139" s="4">
        <v>64.5</v>
      </c>
      <c r="J139" s="4">
        <v>314.39999999999998</v>
      </c>
      <c r="K139" s="4">
        <v>38.200000000000003</v>
      </c>
      <c r="L139" s="4">
        <v>1.9470000000000001</v>
      </c>
      <c r="M139" s="4">
        <v>20.87</v>
      </c>
      <c r="N139" s="4">
        <v>16.100000000000001</v>
      </c>
      <c r="O139" s="4">
        <v>13.8</v>
      </c>
      <c r="P139" s="4">
        <v>1457.4</v>
      </c>
      <c r="Q139" s="6">
        <f t="shared" si="31"/>
        <v>4.6354961832061079</v>
      </c>
      <c r="R139" s="4">
        <v>2</v>
      </c>
      <c r="S139" s="4">
        <v>0</v>
      </c>
      <c r="T139" s="6">
        <f t="shared" si="32"/>
        <v>0.63613231552162852</v>
      </c>
      <c r="U139" s="4">
        <v>20</v>
      </c>
      <c r="V139" s="7">
        <f t="shared" si="33"/>
        <v>3.3105430133940246</v>
      </c>
      <c r="W139" s="7">
        <f t="shared" si="34"/>
        <v>3.6428355156125294</v>
      </c>
      <c r="X139" s="7">
        <f t="shared" si="35"/>
        <v>1.5337432446811305</v>
      </c>
      <c r="Y139" s="7">
        <f t="shared" si="36"/>
        <v>3.044522437723423</v>
      </c>
      <c r="Z139" s="7">
        <f t="shared" si="22"/>
        <v>3.5667118201397288</v>
      </c>
      <c r="AA139" s="7">
        <f t="shared" si="23"/>
        <v>2.1219999999999999</v>
      </c>
      <c r="AB139" s="7">
        <f t="shared" si="24"/>
        <v>20.350000000000001</v>
      </c>
      <c r="AC139" s="7">
        <f t="shared" si="25"/>
        <v>17.7</v>
      </c>
      <c r="AD139" s="7">
        <f t="shared" si="26"/>
        <v>0</v>
      </c>
      <c r="AE139" s="7">
        <f t="shared" si="27"/>
        <v>1.4548811672674873</v>
      </c>
      <c r="AF139" s="7">
        <f t="shared" si="28"/>
        <v>0.64102564102564097</v>
      </c>
      <c r="AG139" s="7">
        <f t="shared" si="29"/>
        <v>3.7681526350084442</v>
      </c>
    </row>
    <row r="140" spans="1:33" x14ac:dyDescent="0.25">
      <c r="A140" s="4" t="s">
        <v>98</v>
      </c>
      <c r="B140" s="4">
        <v>2019</v>
      </c>
      <c r="C140" s="4" t="s">
        <v>99</v>
      </c>
      <c r="D140" s="5">
        <f t="shared" si="30"/>
        <v>1</v>
      </c>
      <c r="E140" s="4">
        <v>52.2</v>
      </c>
      <c r="F140" s="4">
        <v>42</v>
      </c>
      <c r="G140" s="4">
        <v>68</v>
      </c>
      <c r="H140" s="4">
        <v>35.799999999999997</v>
      </c>
      <c r="I140" s="4">
        <v>74.7</v>
      </c>
      <c r="J140" s="4">
        <v>1378.6</v>
      </c>
      <c r="K140" s="4">
        <v>145</v>
      </c>
      <c r="L140" s="4">
        <v>8.2319999999999993</v>
      </c>
      <c r="M140" s="4">
        <v>27.63</v>
      </c>
      <c r="N140" s="4">
        <v>28</v>
      </c>
      <c r="O140" s="4">
        <v>29.6</v>
      </c>
      <c r="P140" s="4">
        <v>21124.799999999999</v>
      </c>
      <c r="Q140" s="6">
        <f t="shared" si="31"/>
        <v>15.323371536341217</v>
      </c>
      <c r="R140" s="4">
        <v>23</v>
      </c>
      <c r="S140" s="4">
        <v>3</v>
      </c>
      <c r="T140" s="6">
        <f t="shared" si="32"/>
        <v>1.8859712752067315</v>
      </c>
      <c r="U140" s="4">
        <v>13754.7</v>
      </c>
      <c r="V140" s="7">
        <f t="shared" si="33"/>
        <v>3.9550824948885932</v>
      </c>
      <c r="W140" s="7">
        <f t="shared" si="34"/>
        <v>4.9767337424205742</v>
      </c>
      <c r="X140" s="7">
        <f t="shared" si="35"/>
        <v>2.7293792142733855</v>
      </c>
      <c r="Y140" s="7">
        <f t="shared" si="36"/>
        <v>9.5292085626490355</v>
      </c>
      <c r="Z140" s="7">
        <f t="shared" si="22"/>
        <v>4.9760438493266363</v>
      </c>
      <c r="AA140" s="7">
        <f t="shared" si="23"/>
        <v>7.4139999999999997</v>
      </c>
      <c r="AB140" s="7">
        <f t="shared" si="24"/>
        <v>27.34</v>
      </c>
      <c r="AC140" s="7">
        <f t="shared" si="25"/>
        <v>28</v>
      </c>
      <c r="AD140" s="7">
        <f t="shared" si="26"/>
        <v>0</v>
      </c>
      <c r="AE140" s="7">
        <f t="shared" si="27"/>
        <v>2.6817444583103187</v>
      </c>
      <c r="AF140" s="7">
        <f t="shared" si="28"/>
        <v>1.9442159575263591</v>
      </c>
      <c r="AG140" s="7">
        <f t="shared" si="29"/>
        <v>9.4672513326360601</v>
      </c>
    </row>
    <row r="141" spans="1:33" x14ac:dyDescent="0.25">
      <c r="A141" s="4" t="s">
        <v>100</v>
      </c>
      <c r="B141" s="4">
        <v>2019</v>
      </c>
      <c r="C141" s="4" t="s">
        <v>86</v>
      </c>
      <c r="D141" s="5">
        <f t="shared" si="30"/>
        <v>0</v>
      </c>
      <c r="E141" s="4">
        <v>37.6</v>
      </c>
      <c r="F141" s="4">
        <v>34.799999999999997</v>
      </c>
      <c r="G141" s="4">
        <v>42.2</v>
      </c>
      <c r="H141" s="4">
        <v>26.4</v>
      </c>
      <c r="I141" s="4">
        <v>66.099999999999994</v>
      </c>
      <c r="J141" s="4">
        <v>1289.0999999999999</v>
      </c>
      <c r="K141" s="4">
        <v>40.299999999999997</v>
      </c>
      <c r="L141" s="4">
        <v>2.3780000000000001</v>
      </c>
      <c r="M141" s="4">
        <v>9.81</v>
      </c>
      <c r="N141" s="4">
        <v>11.6</v>
      </c>
      <c r="O141" s="4">
        <v>14.4</v>
      </c>
      <c r="P141" s="4">
        <v>3528.1</v>
      </c>
      <c r="Q141" s="6">
        <f t="shared" si="31"/>
        <v>2.7368706849740132</v>
      </c>
      <c r="R141" s="4">
        <v>2</v>
      </c>
      <c r="S141" s="4">
        <v>1</v>
      </c>
      <c r="T141" s="6">
        <f t="shared" si="32"/>
        <v>0.2327205026762858</v>
      </c>
      <c r="U141" s="4">
        <v>837.3</v>
      </c>
      <c r="V141" s="7">
        <f t="shared" si="33"/>
        <v>3.6270040503958487</v>
      </c>
      <c r="W141" s="7">
        <f t="shared" si="34"/>
        <v>3.6963514689526371</v>
      </c>
      <c r="X141" s="7">
        <f t="shared" si="35"/>
        <v>1.0068151819471221</v>
      </c>
      <c r="Y141" s="7">
        <f t="shared" si="36"/>
        <v>6.731376031643812</v>
      </c>
      <c r="Z141" s="7">
        <f t="shared" si="22"/>
        <v>3.6054978451748854</v>
      </c>
      <c r="AA141" s="7">
        <f t="shared" si="23"/>
        <v>2.464</v>
      </c>
      <c r="AB141" s="7">
        <f t="shared" si="24"/>
        <v>9.82</v>
      </c>
      <c r="AC141" s="7">
        <f t="shared" si="25"/>
        <v>9.1999999999999993</v>
      </c>
      <c r="AD141" s="7">
        <f t="shared" si="26"/>
        <v>0</v>
      </c>
      <c r="AE141" s="7">
        <f t="shared" si="27"/>
        <v>0.95610942387680431</v>
      </c>
      <c r="AF141" s="7">
        <f t="shared" si="28"/>
        <v>0.23328149300155523</v>
      </c>
      <c r="AG141" s="7">
        <f t="shared" si="29"/>
        <v>6.709670127008704</v>
      </c>
    </row>
    <row r="142" spans="1:33" x14ac:dyDescent="0.25">
      <c r="A142" s="4" t="s">
        <v>101</v>
      </c>
      <c r="B142" s="4">
        <v>2019</v>
      </c>
      <c r="C142" s="4" t="s">
        <v>96</v>
      </c>
      <c r="D142" s="5">
        <f t="shared" si="30"/>
        <v>0</v>
      </c>
      <c r="E142" s="4"/>
      <c r="F142" s="4"/>
      <c r="G142" s="4"/>
      <c r="H142" s="4"/>
      <c r="I142" s="4"/>
      <c r="J142" s="4">
        <v>530.9</v>
      </c>
      <c r="K142" s="4">
        <v>32.9</v>
      </c>
      <c r="L142" s="4">
        <v>2.0099999999999998</v>
      </c>
      <c r="M142" s="4">
        <v>23.45</v>
      </c>
      <c r="N142" s="4">
        <v>20.8</v>
      </c>
      <c r="O142" s="4">
        <v>11.9</v>
      </c>
      <c r="P142" s="4">
        <v>3087</v>
      </c>
      <c r="Q142" s="6">
        <f t="shared" si="31"/>
        <v>5.8146543605198717</v>
      </c>
      <c r="R142" s="4">
        <v>4</v>
      </c>
      <c r="S142" s="4">
        <v>0</v>
      </c>
      <c r="T142" s="6">
        <f t="shared" si="32"/>
        <v>0.75343755886230934</v>
      </c>
      <c r="U142" s="4">
        <v>98.7</v>
      </c>
      <c r="V142" s="7" t="str">
        <f t="shared" si="33"/>
        <v/>
      </c>
      <c r="W142" s="7">
        <f t="shared" si="34"/>
        <v>3.493472657771326</v>
      </c>
      <c r="X142" s="7">
        <f t="shared" si="35"/>
        <v>1.7603813449125334</v>
      </c>
      <c r="Y142" s="7">
        <f t="shared" si="36"/>
        <v>4.6021656769677923</v>
      </c>
      <c r="Z142" s="7">
        <f t="shared" si="22"/>
        <v>3.4210000089583352</v>
      </c>
      <c r="AA142" s="7">
        <f t="shared" si="23"/>
        <v>1.8879999999999999</v>
      </c>
      <c r="AB142" s="7">
        <f t="shared" si="24"/>
        <v>22.68</v>
      </c>
      <c r="AC142" s="7">
        <f t="shared" si="25"/>
        <v>20.6</v>
      </c>
      <c r="AD142" s="7">
        <f t="shared" si="26"/>
        <v>0</v>
      </c>
      <c r="AE142" s="7">
        <f t="shared" si="27"/>
        <v>1.7898346622977062</v>
      </c>
      <c r="AF142" s="7">
        <f t="shared" si="28"/>
        <v>0.75657272555324373</v>
      </c>
      <c r="AG142" s="7">
        <f t="shared" si="29"/>
        <v>4.7440621848547098</v>
      </c>
    </row>
    <row r="143" spans="1:33" x14ac:dyDescent="0.25">
      <c r="A143" s="4" t="s">
        <v>102</v>
      </c>
      <c r="B143" s="4">
        <v>2019</v>
      </c>
      <c r="C143" s="4" t="s">
        <v>86</v>
      </c>
      <c r="D143" s="5">
        <f t="shared" si="30"/>
        <v>0</v>
      </c>
      <c r="E143" s="4"/>
      <c r="F143" s="4"/>
      <c r="G143" s="4"/>
      <c r="H143" s="4"/>
      <c r="I143" s="4"/>
      <c r="J143" s="4">
        <v>1194.3</v>
      </c>
      <c r="K143" s="4">
        <v>50.7</v>
      </c>
      <c r="L143" s="4">
        <v>2.8519999999999999</v>
      </c>
      <c r="M143" s="4">
        <v>22.75</v>
      </c>
      <c r="N143" s="4">
        <v>12.3</v>
      </c>
      <c r="O143" s="4">
        <v>18.8</v>
      </c>
      <c r="P143" s="4">
        <v>599.1</v>
      </c>
      <c r="Q143" s="6">
        <f t="shared" si="31"/>
        <v>0.50163275558904796</v>
      </c>
      <c r="R143" s="4">
        <v>4</v>
      </c>
      <c r="S143" s="4">
        <v>4</v>
      </c>
      <c r="T143" s="6">
        <f t="shared" si="32"/>
        <v>0.66984844678891398</v>
      </c>
      <c r="U143" s="4">
        <v>122.8</v>
      </c>
      <c r="V143" s="7" t="str">
        <f t="shared" si="33"/>
        <v/>
      </c>
      <c r="W143" s="7">
        <f t="shared" si="34"/>
        <v>3.9259259105971376</v>
      </c>
      <c r="X143" s="7">
        <f t="shared" si="35"/>
        <v>-0.68988698958450201</v>
      </c>
      <c r="Y143" s="7">
        <f t="shared" si="36"/>
        <v>4.8186673602504957</v>
      </c>
      <c r="Z143" s="7">
        <f t="shared" si="22"/>
        <v>3.8753590210565547</v>
      </c>
      <c r="AA143" s="7">
        <f t="shared" si="23"/>
        <v>2.8490000000000002</v>
      </c>
      <c r="AB143" s="7">
        <f t="shared" si="24"/>
        <v>22.61</v>
      </c>
      <c r="AC143" s="7">
        <f t="shared" si="25"/>
        <v>12.5</v>
      </c>
      <c r="AD143" s="7">
        <f t="shared" si="26"/>
        <v>0</v>
      </c>
      <c r="AE143" s="7">
        <f t="shared" si="27"/>
        <v>-0.87279583232117453</v>
      </c>
      <c r="AF143" s="7">
        <f t="shared" si="28"/>
        <v>0.66912010705921721</v>
      </c>
      <c r="AG143" s="7">
        <f t="shared" si="29"/>
        <v>4.0893320203985564</v>
      </c>
    </row>
    <row r="144" spans="1:33" x14ac:dyDescent="0.25">
      <c r="A144" s="4" t="s">
        <v>103</v>
      </c>
      <c r="B144" s="4">
        <v>2019</v>
      </c>
      <c r="C144" s="4" t="s">
        <v>86</v>
      </c>
      <c r="D144" s="5">
        <f t="shared" si="30"/>
        <v>0</v>
      </c>
      <c r="E144" s="4">
        <v>47.3</v>
      </c>
      <c r="F144" s="4">
        <v>39.9</v>
      </c>
      <c r="G144" s="4">
        <v>53.1</v>
      </c>
      <c r="H144" s="4">
        <v>38.5</v>
      </c>
      <c r="I144" s="4">
        <v>72.900000000000006</v>
      </c>
      <c r="J144" s="4">
        <v>1236</v>
      </c>
      <c r="K144" s="4">
        <v>72.7</v>
      </c>
      <c r="L144" s="4">
        <v>6.8540000000000001</v>
      </c>
      <c r="M144" s="4">
        <v>69.680000000000007</v>
      </c>
      <c r="N144" s="4">
        <v>16.399999999999999</v>
      </c>
      <c r="O144" s="4">
        <v>22</v>
      </c>
      <c r="P144" s="4">
        <v>4162.8999999999996</v>
      </c>
      <c r="Q144" s="6">
        <f t="shared" si="31"/>
        <v>3.3680420711974106</v>
      </c>
      <c r="R144" s="4">
        <v>13</v>
      </c>
      <c r="S144" s="4">
        <v>6</v>
      </c>
      <c r="T144" s="6">
        <f t="shared" si="32"/>
        <v>1.5372168284789645</v>
      </c>
      <c r="U144" s="4">
        <v>587.20000000000005</v>
      </c>
      <c r="V144" s="7">
        <f t="shared" si="33"/>
        <v>3.8565102954978872</v>
      </c>
      <c r="W144" s="7">
        <f t="shared" si="34"/>
        <v>4.2863413845394733</v>
      </c>
      <c r="X144" s="7">
        <f t="shared" si="35"/>
        <v>1.2143315877502252</v>
      </c>
      <c r="Y144" s="7">
        <f t="shared" si="36"/>
        <v>6.377067026119895</v>
      </c>
      <c r="Z144" s="7">
        <f t="shared" si="22"/>
        <v>4.2165621949463494</v>
      </c>
      <c r="AA144" s="7">
        <f t="shared" si="23"/>
        <v>6.3730000000000002</v>
      </c>
      <c r="AB144" s="7">
        <f t="shared" si="24"/>
        <v>69.28</v>
      </c>
      <c r="AC144" s="7">
        <f t="shared" si="25"/>
        <v>24.2</v>
      </c>
      <c r="AD144" s="7">
        <f t="shared" si="26"/>
        <v>0</v>
      </c>
      <c r="AE144" s="7">
        <f t="shared" si="27"/>
        <v>1.1968775613767157</v>
      </c>
      <c r="AF144" s="7">
        <f t="shared" si="28"/>
        <v>1.5476093508186037</v>
      </c>
      <c r="AG144" s="7">
        <f t="shared" si="29"/>
        <v>6.3377102955561755</v>
      </c>
    </row>
    <row r="145" spans="1:33" x14ac:dyDescent="0.25">
      <c r="A145" s="4" t="s">
        <v>104</v>
      </c>
      <c r="B145" s="4">
        <v>2019</v>
      </c>
      <c r="C145" s="4" t="s">
        <v>105</v>
      </c>
      <c r="D145" s="5">
        <f t="shared" si="30"/>
        <v>0</v>
      </c>
      <c r="E145" s="4">
        <v>31.8</v>
      </c>
      <c r="F145" s="4">
        <v>21.9</v>
      </c>
      <c r="G145" s="4">
        <v>38.700000000000003</v>
      </c>
      <c r="H145" s="4">
        <v>21</v>
      </c>
      <c r="I145" s="4">
        <v>64.900000000000006</v>
      </c>
      <c r="J145" s="4">
        <v>1520.2</v>
      </c>
      <c r="K145" s="4">
        <v>40.299999999999997</v>
      </c>
      <c r="L145" s="4">
        <v>2.5459999999999998</v>
      </c>
      <c r="M145" s="4">
        <v>28.96</v>
      </c>
      <c r="N145" s="4">
        <v>12.5</v>
      </c>
      <c r="O145" s="4">
        <v>17.3</v>
      </c>
      <c r="P145" s="4">
        <v>21686.6</v>
      </c>
      <c r="Q145" s="6">
        <f t="shared" si="31"/>
        <v>14.265622944349426</v>
      </c>
      <c r="R145" s="4">
        <v>19</v>
      </c>
      <c r="S145" s="4">
        <v>1</v>
      </c>
      <c r="T145" s="6">
        <f t="shared" si="32"/>
        <v>1.3156163662675964</v>
      </c>
      <c r="U145" s="4">
        <v>8</v>
      </c>
      <c r="V145" s="7">
        <f t="shared" si="33"/>
        <v>3.459466289786131</v>
      </c>
      <c r="W145" s="7">
        <f t="shared" si="34"/>
        <v>3.6963514689526371</v>
      </c>
      <c r="X145" s="7">
        <f t="shared" si="35"/>
        <v>2.6578526531371081</v>
      </c>
      <c r="Y145" s="7">
        <f t="shared" si="36"/>
        <v>2.1972245773362196</v>
      </c>
      <c r="Z145" s="7">
        <f t="shared" si="22"/>
        <v>3.6712245188752153</v>
      </c>
      <c r="AA145" s="7">
        <f t="shared" si="23"/>
        <v>2.4140000000000001</v>
      </c>
      <c r="AB145" s="7">
        <f t="shared" si="24"/>
        <v>28.92</v>
      </c>
      <c r="AC145" s="7">
        <f t="shared" si="25"/>
        <v>10.4</v>
      </c>
      <c r="AD145" s="7">
        <f t="shared" si="26"/>
        <v>0</v>
      </c>
      <c r="AE145" s="7">
        <f t="shared" si="27"/>
        <v>2.5180102261790078</v>
      </c>
      <c r="AF145" s="7">
        <f t="shared" si="28"/>
        <v>1.0028749080698001</v>
      </c>
      <c r="AG145" s="7">
        <f t="shared" si="29"/>
        <v>2.2192034840549946</v>
      </c>
    </row>
    <row r="146" spans="1:33" x14ac:dyDescent="0.25">
      <c r="A146" s="4" t="s">
        <v>106</v>
      </c>
      <c r="B146" s="4">
        <v>2019</v>
      </c>
      <c r="C146" s="4" t="s">
        <v>96</v>
      </c>
      <c r="D146" s="5">
        <f t="shared" si="30"/>
        <v>0</v>
      </c>
      <c r="E146" s="4"/>
      <c r="F146" s="4"/>
      <c r="G146" s="4"/>
      <c r="H146" s="4"/>
      <c r="I146" s="4"/>
      <c r="J146" s="4">
        <v>858.1</v>
      </c>
      <c r="K146" s="4">
        <v>28.2</v>
      </c>
      <c r="L146" s="4">
        <v>1.36</v>
      </c>
      <c r="M146" s="4">
        <v>15.99</v>
      </c>
      <c r="N146" s="4">
        <v>12.5</v>
      </c>
      <c r="O146" s="4">
        <v>8.1999999999999993</v>
      </c>
      <c r="P146" s="4">
        <v>2490.3000000000002</v>
      </c>
      <c r="Q146" s="6">
        <f t="shared" si="31"/>
        <v>2.9021093112690828</v>
      </c>
      <c r="R146" s="4">
        <v>0</v>
      </c>
      <c r="S146" s="4">
        <v>0</v>
      </c>
      <c r="T146" s="6">
        <f t="shared" si="32"/>
        <v>0</v>
      </c>
      <c r="U146" s="4">
        <v>4.8</v>
      </c>
      <c r="V146" s="7" t="str">
        <f t="shared" si="33"/>
        <v/>
      </c>
      <c r="W146" s="7">
        <f t="shared" si="34"/>
        <v>3.3393219779440679</v>
      </c>
      <c r="X146" s="7">
        <f t="shared" si="35"/>
        <v>1.0654378213160243</v>
      </c>
      <c r="Y146" s="7">
        <f t="shared" si="36"/>
        <v>1.7578579175523736</v>
      </c>
      <c r="Z146" s="7">
        <f t="shared" si="22"/>
        <v>3.2619353143286478</v>
      </c>
      <c r="AA146" s="7">
        <f t="shared" si="23"/>
        <v>1.3440000000000001</v>
      </c>
      <c r="AB146" s="7">
        <f t="shared" si="24"/>
        <v>15.07</v>
      </c>
      <c r="AC146" s="7">
        <f t="shared" si="25"/>
        <v>13.8</v>
      </c>
      <c r="AD146" s="7">
        <f t="shared" si="26"/>
        <v>0</v>
      </c>
      <c r="AE146" s="7">
        <f t="shared" si="27"/>
        <v>0.98981123929262715</v>
      </c>
      <c r="AF146" s="7">
        <f t="shared" si="28"/>
        <v>0</v>
      </c>
      <c r="AG146" s="7">
        <f t="shared" si="29"/>
        <v>2.174751721484161</v>
      </c>
    </row>
    <row r="147" spans="1:33" x14ac:dyDescent="0.25">
      <c r="A147" s="4" t="s">
        <v>107</v>
      </c>
      <c r="B147" s="4">
        <v>2019</v>
      </c>
      <c r="C147" s="4" t="s">
        <v>99</v>
      </c>
      <c r="D147" s="5">
        <f t="shared" si="30"/>
        <v>1</v>
      </c>
      <c r="E147" s="4">
        <v>38.299999999999997</v>
      </c>
      <c r="F147" s="4">
        <v>38.1</v>
      </c>
      <c r="G147" s="4">
        <v>45.6</v>
      </c>
      <c r="H147" s="4">
        <v>29.3</v>
      </c>
      <c r="I147" s="4">
        <v>44.6</v>
      </c>
      <c r="J147" s="4">
        <v>854.5</v>
      </c>
      <c r="K147" s="4">
        <v>64</v>
      </c>
      <c r="L147" s="4">
        <v>4.8040000000000003</v>
      </c>
      <c r="M147" s="4">
        <v>16.77</v>
      </c>
      <c r="N147" s="4">
        <v>20</v>
      </c>
      <c r="O147" s="4">
        <v>17</v>
      </c>
      <c r="P147" s="4">
        <v>13593.6</v>
      </c>
      <c r="Q147" s="6">
        <f t="shared" si="31"/>
        <v>15.908250438853131</v>
      </c>
      <c r="R147" s="4">
        <v>10</v>
      </c>
      <c r="S147" s="4">
        <v>3</v>
      </c>
      <c r="T147" s="6">
        <f t="shared" si="32"/>
        <v>1.5213575190169688</v>
      </c>
      <c r="U147" s="4">
        <v>4238.2</v>
      </c>
      <c r="V147" s="7">
        <f t="shared" si="33"/>
        <v>3.6454498961866002</v>
      </c>
      <c r="W147" s="7">
        <f t="shared" si="34"/>
        <v>4.1588830833596715</v>
      </c>
      <c r="X147" s="7">
        <f t="shared" si="35"/>
        <v>2.7668378701718099</v>
      </c>
      <c r="Y147" s="7">
        <f t="shared" si="36"/>
        <v>8.3521298511785531</v>
      </c>
      <c r="Z147" s="7">
        <f t="shared" si="22"/>
        <v>4.0306945351456447</v>
      </c>
      <c r="AA147" s="7">
        <f t="shared" si="23"/>
        <v>4.4279999999999999</v>
      </c>
      <c r="AB147" s="7">
        <f t="shared" si="24"/>
        <v>16.62</v>
      </c>
      <c r="AC147" s="7">
        <f t="shared" si="25"/>
        <v>20.8</v>
      </c>
      <c r="AD147" s="7">
        <f t="shared" si="26"/>
        <v>0</v>
      </c>
      <c r="AE147" s="7">
        <f t="shared" si="27"/>
        <v>2.7124868875451855</v>
      </c>
      <c r="AF147" s="7">
        <f t="shared" si="28"/>
        <v>1.534647621296187</v>
      </c>
      <c r="AG147" s="7">
        <f t="shared" si="29"/>
        <v>8.1041595138081206</v>
      </c>
    </row>
    <row r="148" spans="1:33" x14ac:dyDescent="0.25">
      <c r="A148" s="4" t="s">
        <v>108</v>
      </c>
      <c r="B148" s="4">
        <v>2019</v>
      </c>
      <c r="C148" s="4" t="s">
        <v>99</v>
      </c>
      <c r="D148" s="5">
        <f t="shared" si="30"/>
        <v>1</v>
      </c>
      <c r="E148" s="4">
        <v>84.3</v>
      </c>
      <c r="F148" s="4">
        <v>88.4</v>
      </c>
      <c r="G148" s="4">
        <v>85.8</v>
      </c>
      <c r="H148" s="4">
        <v>82.5</v>
      </c>
      <c r="I148" s="4">
        <v>77.7</v>
      </c>
      <c r="J148" s="4">
        <v>8093.9</v>
      </c>
      <c r="K148" s="4">
        <v>120.3</v>
      </c>
      <c r="L148" s="4">
        <v>19.265999999999998</v>
      </c>
      <c r="M148" s="4">
        <v>49.42</v>
      </c>
      <c r="N148" s="4">
        <v>48.1</v>
      </c>
      <c r="O148" s="4">
        <v>42.4</v>
      </c>
      <c r="P148" s="4">
        <v>123391.2</v>
      </c>
      <c r="Q148" s="6">
        <f t="shared" si="31"/>
        <v>15.244962255525767</v>
      </c>
      <c r="R148" s="4">
        <v>141</v>
      </c>
      <c r="S148" s="4">
        <v>26</v>
      </c>
      <c r="T148" s="6">
        <f t="shared" si="32"/>
        <v>2.0632822248854077</v>
      </c>
      <c r="U148" s="4">
        <v>4243.2</v>
      </c>
      <c r="V148" s="7">
        <f t="shared" si="33"/>
        <v>4.4343818650078095</v>
      </c>
      <c r="W148" s="7">
        <f t="shared" si="34"/>
        <v>4.7899886229806334</v>
      </c>
      <c r="X148" s="7">
        <f t="shared" si="35"/>
        <v>2.7242491045779054</v>
      </c>
      <c r="Y148" s="7">
        <f t="shared" si="36"/>
        <v>8.3533086239769485</v>
      </c>
      <c r="Z148" s="7">
        <f t="shared" si="22"/>
        <v>4.7149210499472103</v>
      </c>
      <c r="AA148" s="7">
        <f t="shared" si="23"/>
        <v>18.082999999999998</v>
      </c>
      <c r="AB148" s="7">
        <f t="shared" si="24"/>
        <v>49.34</v>
      </c>
      <c r="AC148" s="7">
        <f t="shared" si="25"/>
        <v>42</v>
      </c>
      <c r="AD148" s="7">
        <f t="shared" si="26"/>
        <v>0</v>
      </c>
      <c r="AE148" s="7">
        <f t="shared" si="27"/>
        <v>2.6381679691512341</v>
      </c>
      <c r="AF148" s="7">
        <f t="shared" si="28"/>
        <v>1.9710657653673636</v>
      </c>
      <c r="AG148" s="7">
        <f t="shared" si="29"/>
        <v>8.3398830564451991</v>
      </c>
    </row>
    <row r="149" spans="1:33" x14ac:dyDescent="0.25">
      <c r="A149" s="4" t="s">
        <v>109</v>
      </c>
      <c r="B149" s="4">
        <v>2019</v>
      </c>
      <c r="C149" s="4" t="s">
        <v>92</v>
      </c>
      <c r="D149" s="5">
        <f t="shared" si="30"/>
        <v>0</v>
      </c>
      <c r="E149" s="4">
        <v>35.6</v>
      </c>
      <c r="F149" s="4">
        <v>34</v>
      </c>
      <c r="G149" s="4">
        <v>35.4</v>
      </c>
      <c r="H149" s="4">
        <v>30.1</v>
      </c>
      <c r="I149" s="4">
        <v>58.6</v>
      </c>
      <c r="J149" s="4">
        <v>1290.3</v>
      </c>
      <c r="K149" s="4">
        <v>60.5</v>
      </c>
      <c r="L149" s="4">
        <v>3.53</v>
      </c>
      <c r="M149" s="4">
        <v>19.68</v>
      </c>
      <c r="N149" s="4">
        <v>25</v>
      </c>
      <c r="O149" s="4">
        <v>17.399999999999999</v>
      </c>
      <c r="P149" s="4">
        <v>36875.199999999997</v>
      </c>
      <c r="Q149" s="6">
        <f t="shared" si="31"/>
        <v>28.578780128652252</v>
      </c>
      <c r="R149" s="4">
        <v>6</v>
      </c>
      <c r="S149" s="4">
        <v>1</v>
      </c>
      <c r="T149" s="6">
        <f t="shared" si="32"/>
        <v>0.54250949391614356</v>
      </c>
      <c r="U149" s="4">
        <v>9090.1</v>
      </c>
      <c r="V149" s="7">
        <f t="shared" si="33"/>
        <v>3.572345637857985</v>
      </c>
      <c r="W149" s="7">
        <f t="shared" si="34"/>
        <v>4.1026433650367959</v>
      </c>
      <c r="X149" s="7">
        <f t="shared" si="35"/>
        <v>3.3526644888984256</v>
      </c>
      <c r="Y149" s="7">
        <f t="shared" si="36"/>
        <v>9.1150511919513608</v>
      </c>
      <c r="Z149" s="7">
        <f t="shared" si="22"/>
        <v>4.0018637094279352</v>
      </c>
      <c r="AA149" s="7">
        <f t="shared" si="23"/>
        <v>3.4740000000000002</v>
      </c>
      <c r="AB149" s="7">
        <f t="shared" si="24"/>
        <v>19.14</v>
      </c>
      <c r="AC149" s="7">
        <f t="shared" si="25"/>
        <v>24.2</v>
      </c>
      <c r="AD149" s="7">
        <f t="shared" si="26"/>
        <v>0</v>
      </c>
      <c r="AE149" s="7">
        <f t="shared" si="27"/>
        <v>3.2819939703150487</v>
      </c>
      <c r="AF149" s="7">
        <f t="shared" si="28"/>
        <v>0.54666146036704411</v>
      </c>
      <c r="AG149" s="7">
        <f t="shared" si="29"/>
        <v>9.121454511967741</v>
      </c>
    </row>
    <row r="150" spans="1:33" x14ac:dyDescent="0.25">
      <c r="A150" s="4" t="s">
        <v>110</v>
      </c>
      <c r="B150" s="4">
        <v>2019</v>
      </c>
      <c r="C150" s="4" t="s">
        <v>96</v>
      </c>
      <c r="D150" s="5">
        <f t="shared" si="30"/>
        <v>0</v>
      </c>
      <c r="E150" s="4">
        <v>32.799999999999997</v>
      </c>
      <c r="F150" s="4">
        <v>29.7</v>
      </c>
      <c r="G150" s="4">
        <v>34.700000000000003</v>
      </c>
      <c r="H150" s="4">
        <v>22.9</v>
      </c>
      <c r="I150" s="4">
        <v>67.3</v>
      </c>
      <c r="J150" s="4">
        <v>855.8</v>
      </c>
      <c r="K150" s="4">
        <v>54.6</v>
      </c>
      <c r="L150" s="4">
        <v>2.702</v>
      </c>
      <c r="M150" s="4">
        <v>15.74</v>
      </c>
      <c r="N150" s="4">
        <v>17.399999999999999</v>
      </c>
      <c r="O150" s="4">
        <v>13.8</v>
      </c>
      <c r="P150" s="4">
        <v>9499.7999999999993</v>
      </c>
      <c r="Q150" s="6">
        <f t="shared" si="31"/>
        <v>11.100490768871232</v>
      </c>
      <c r="R150" s="4">
        <v>6</v>
      </c>
      <c r="S150" s="4">
        <v>3</v>
      </c>
      <c r="T150" s="6">
        <f t="shared" si="32"/>
        <v>1.0516475812105635</v>
      </c>
      <c r="U150" s="4">
        <v>830.5</v>
      </c>
      <c r="V150" s="7">
        <f t="shared" si="33"/>
        <v>3.4904285153900978</v>
      </c>
      <c r="W150" s="7">
        <f t="shared" si="34"/>
        <v>4.0000338827508592</v>
      </c>
      <c r="X150" s="7">
        <f t="shared" si="35"/>
        <v>2.4069893207527269</v>
      </c>
      <c r="Y150" s="7">
        <f t="shared" si="36"/>
        <v>6.7232312986329825</v>
      </c>
      <c r="Z150" s="7">
        <f t="shared" si="22"/>
        <v>3.9963641538618968</v>
      </c>
      <c r="AA150" s="7">
        <f t="shared" si="23"/>
        <v>2.5510000000000002</v>
      </c>
      <c r="AB150" s="7">
        <f t="shared" si="24"/>
        <v>15.66</v>
      </c>
      <c r="AC150" s="7">
        <f t="shared" si="25"/>
        <v>17.399999999999999</v>
      </c>
      <c r="AD150" s="7">
        <f t="shared" si="26"/>
        <v>0</v>
      </c>
      <c r="AE150" s="7">
        <f t="shared" si="27"/>
        <v>2.1945818074327996</v>
      </c>
      <c r="AF150" s="7">
        <f t="shared" si="28"/>
        <v>0.70555032925682037</v>
      </c>
      <c r="AG150" s="7">
        <f t="shared" si="29"/>
        <v>6.7390999129519971</v>
      </c>
    </row>
    <row r="151" spans="1:33" x14ac:dyDescent="0.25">
      <c r="A151" s="4" t="s">
        <v>111</v>
      </c>
      <c r="B151" s="4">
        <v>2019</v>
      </c>
      <c r="C151" s="4" t="s">
        <v>99</v>
      </c>
      <c r="D151" s="5">
        <f t="shared" si="30"/>
        <v>1</v>
      </c>
      <c r="E151" s="4">
        <v>38.4</v>
      </c>
      <c r="F151" s="4">
        <v>33.799999999999997</v>
      </c>
      <c r="G151" s="4">
        <v>41.4</v>
      </c>
      <c r="H151" s="4">
        <v>30.2</v>
      </c>
      <c r="I151" s="4">
        <v>66.3</v>
      </c>
      <c r="J151" s="4">
        <v>1255.8</v>
      </c>
      <c r="K151" s="4">
        <v>73.7</v>
      </c>
      <c r="L151" s="4">
        <v>5.7119999999999997</v>
      </c>
      <c r="M151" s="4">
        <v>16.510000000000002</v>
      </c>
      <c r="N151" s="4">
        <v>25.3</v>
      </c>
      <c r="O151" s="4">
        <v>16.7</v>
      </c>
      <c r="P151" s="4">
        <v>30154.5</v>
      </c>
      <c r="Q151" s="6">
        <f t="shared" si="31"/>
        <v>24.01218346870521</v>
      </c>
      <c r="R151" s="4">
        <v>19</v>
      </c>
      <c r="S151" s="4">
        <v>0</v>
      </c>
      <c r="T151" s="6">
        <f t="shared" si="32"/>
        <v>1.5129797738493391</v>
      </c>
      <c r="U151" s="4">
        <v>3901.4</v>
      </c>
      <c r="V151" s="7">
        <f t="shared" si="33"/>
        <v>3.648057459593681</v>
      </c>
      <c r="W151" s="7">
        <f t="shared" si="34"/>
        <v>4.3000027991952914</v>
      </c>
      <c r="X151" s="7">
        <f t="shared" si="35"/>
        <v>3.178561346069436</v>
      </c>
      <c r="Y151" s="7">
        <f t="shared" si="36"/>
        <v>8.2693470274616558</v>
      </c>
      <c r="Z151" s="7">
        <f t="shared" si="22"/>
        <v>4.203198967134183</v>
      </c>
      <c r="AA151" s="7">
        <f t="shared" si="23"/>
        <v>5.3140000000000001</v>
      </c>
      <c r="AB151" s="7">
        <f t="shared" si="24"/>
        <v>12.19</v>
      </c>
      <c r="AC151" s="7">
        <f t="shared" si="25"/>
        <v>20.399999999999999</v>
      </c>
      <c r="AD151" s="7">
        <f t="shared" si="26"/>
        <v>0</v>
      </c>
      <c r="AE151" s="7">
        <f t="shared" si="27"/>
        <v>3.0861903626335989</v>
      </c>
      <c r="AF151" s="7">
        <f t="shared" si="28"/>
        <v>0.88538312942691555</v>
      </c>
      <c r="AG151" s="7">
        <f t="shared" si="29"/>
        <v>8.1836486648663591</v>
      </c>
    </row>
    <row r="152" spans="1:33" x14ac:dyDescent="0.25">
      <c r="A152" s="4" t="s">
        <v>112</v>
      </c>
      <c r="B152" s="4">
        <v>2019</v>
      </c>
      <c r="C152" s="4" t="s">
        <v>99</v>
      </c>
      <c r="D152" s="5">
        <f t="shared" si="30"/>
        <v>1</v>
      </c>
      <c r="E152" s="4">
        <v>46.6</v>
      </c>
      <c r="F152" s="4">
        <v>36.9</v>
      </c>
      <c r="G152" s="4">
        <v>61</v>
      </c>
      <c r="H152" s="4">
        <v>30.3</v>
      </c>
      <c r="I152" s="4">
        <v>73.2</v>
      </c>
      <c r="J152" s="4">
        <v>1896.9</v>
      </c>
      <c r="K152" s="4">
        <v>66.8</v>
      </c>
      <c r="L152" s="4">
        <v>4.7350000000000003</v>
      </c>
      <c r="M152" s="4">
        <v>31.32</v>
      </c>
      <c r="N152" s="4">
        <v>22.1</v>
      </c>
      <c r="O152" s="4">
        <v>20</v>
      </c>
      <c r="P152" s="4">
        <v>39923.199999999997</v>
      </c>
      <c r="Q152" s="6">
        <f t="shared" si="31"/>
        <v>21.046549633612734</v>
      </c>
      <c r="R152" s="4">
        <v>8</v>
      </c>
      <c r="S152" s="4">
        <v>3</v>
      </c>
      <c r="T152" s="6">
        <f t="shared" si="32"/>
        <v>0.57989351046444193</v>
      </c>
      <c r="U152" s="4">
        <v>4311.2</v>
      </c>
      <c r="V152" s="7">
        <f t="shared" si="33"/>
        <v>3.8416005411316001</v>
      </c>
      <c r="W152" s="7">
        <f t="shared" si="34"/>
        <v>4.2017030805426003</v>
      </c>
      <c r="X152" s="7">
        <f t="shared" si="35"/>
        <v>3.0467366338006974</v>
      </c>
      <c r="Y152" s="7">
        <f t="shared" si="36"/>
        <v>8.369203493702452</v>
      </c>
      <c r="Z152" s="7">
        <f t="shared" si="22"/>
        <v>4.1141471895182802</v>
      </c>
      <c r="AA152" s="7">
        <f t="shared" si="23"/>
        <v>4.3710000000000004</v>
      </c>
      <c r="AB152" s="7">
        <f t="shared" si="24"/>
        <v>24.68</v>
      </c>
      <c r="AC152" s="7">
        <f t="shared" si="25"/>
        <v>17.5</v>
      </c>
      <c r="AD152" s="7">
        <f t="shared" si="26"/>
        <v>0</v>
      </c>
      <c r="AE152" s="7">
        <f t="shared" si="27"/>
        <v>2.9623291899942457</v>
      </c>
      <c r="AF152" s="7">
        <f t="shared" si="28"/>
        <v>0.58582308142940831</v>
      </c>
      <c r="AG152" s="7">
        <f t="shared" si="29"/>
        <v>8.3267104223415753</v>
      </c>
    </row>
    <row r="153" spans="1:33" x14ac:dyDescent="0.25">
      <c r="A153" s="4" t="s">
        <v>113</v>
      </c>
      <c r="B153" s="4">
        <v>2019</v>
      </c>
      <c r="C153" s="4" t="s">
        <v>99</v>
      </c>
      <c r="D153" s="5">
        <f t="shared" si="30"/>
        <v>1</v>
      </c>
      <c r="E153" s="4">
        <v>59.6</v>
      </c>
      <c r="F153" s="4">
        <v>45.1</v>
      </c>
      <c r="G153" s="4">
        <v>72.5</v>
      </c>
      <c r="H153" s="4">
        <v>50.4</v>
      </c>
      <c r="I153" s="4">
        <v>75.5</v>
      </c>
      <c r="J153" s="4">
        <v>2033.3</v>
      </c>
      <c r="K153" s="4">
        <v>122.2</v>
      </c>
      <c r="L153" s="4">
        <v>9.7959999999999994</v>
      </c>
      <c r="M153" s="4">
        <v>45.59</v>
      </c>
      <c r="N153" s="4">
        <v>31.6</v>
      </c>
      <c r="O153" s="4">
        <v>25.5</v>
      </c>
      <c r="P153" s="4">
        <v>90216.9</v>
      </c>
      <c r="Q153" s="6">
        <f t="shared" si="31"/>
        <v>44.369694585157134</v>
      </c>
      <c r="R153" s="4">
        <v>24</v>
      </c>
      <c r="S153" s="4">
        <v>10</v>
      </c>
      <c r="T153" s="6">
        <f t="shared" si="32"/>
        <v>1.6721585599763931</v>
      </c>
      <c r="U153" s="4">
        <v>9220.7999999999993</v>
      </c>
      <c r="V153" s="7">
        <f t="shared" si="33"/>
        <v>4.0876555740713041</v>
      </c>
      <c r="W153" s="7">
        <f t="shared" si="34"/>
        <v>4.8056590467374951</v>
      </c>
      <c r="X153" s="7">
        <f t="shared" si="35"/>
        <v>3.792556682003529</v>
      </c>
      <c r="Y153" s="7">
        <f t="shared" si="36"/>
        <v>9.1293255252619065</v>
      </c>
      <c r="Z153" s="7">
        <f t="shared" si="22"/>
        <v>4.6482296754485386</v>
      </c>
      <c r="AA153" s="7">
        <f t="shared" si="23"/>
        <v>10.718999999999999</v>
      </c>
      <c r="AB153" s="7">
        <f t="shared" si="24"/>
        <v>45.64</v>
      </c>
      <c r="AC153" s="7">
        <f t="shared" si="25"/>
        <v>31.3</v>
      </c>
      <c r="AD153" s="7">
        <f t="shared" si="26"/>
        <v>0</v>
      </c>
      <c r="AE153" s="7">
        <f t="shared" si="27"/>
        <v>3.6295577454118062</v>
      </c>
      <c r="AF153" s="7">
        <f t="shared" si="28"/>
        <v>1.6861733782979567</v>
      </c>
      <c r="AG153" s="7">
        <f t="shared" si="29"/>
        <v>9.078544615121249</v>
      </c>
    </row>
    <row r="154" spans="1:33" x14ac:dyDescent="0.25">
      <c r="A154" s="4" t="s">
        <v>114</v>
      </c>
      <c r="B154" s="4">
        <v>2019</v>
      </c>
      <c r="C154" s="4" t="s">
        <v>86</v>
      </c>
      <c r="D154" s="5">
        <f t="shared" si="30"/>
        <v>0</v>
      </c>
      <c r="E154" s="4"/>
      <c r="F154" s="4"/>
      <c r="G154" s="4"/>
      <c r="H154" s="4"/>
      <c r="I154" s="4"/>
      <c r="J154" s="4">
        <v>732.2</v>
      </c>
      <c r="K154" s="4">
        <v>48.6</v>
      </c>
      <c r="L154" s="4">
        <v>2.7290000000000001</v>
      </c>
      <c r="M154" s="4">
        <v>27</v>
      </c>
      <c r="N154" s="4">
        <v>10.8</v>
      </c>
      <c r="O154" s="4">
        <v>12.4</v>
      </c>
      <c r="P154" s="4">
        <v>2002.2</v>
      </c>
      <c r="Q154" s="6">
        <f t="shared" si="31"/>
        <v>2.7344987708276425</v>
      </c>
      <c r="R154" s="4">
        <v>6</v>
      </c>
      <c r="S154" s="4">
        <v>1</v>
      </c>
      <c r="T154" s="6">
        <f t="shared" si="32"/>
        <v>0.95602294455066927</v>
      </c>
      <c r="U154" s="4">
        <v>709.9</v>
      </c>
      <c r="V154" s="7" t="str">
        <f t="shared" si="33"/>
        <v/>
      </c>
      <c r="W154" s="7">
        <f t="shared" si="34"/>
        <v>3.8836235309064482</v>
      </c>
      <c r="X154" s="7">
        <f t="shared" si="35"/>
        <v>1.0059481542992474</v>
      </c>
      <c r="Y154" s="7">
        <f t="shared" si="36"/>
        <v>6.5665317729354378</v>
      </c>
      <c r="Z154" s="7">
        <f t="shared" si="22"/>
        <v>3.7909846770510898</v>
      </c>
      <c r="AA154" s="7">
        <f t="shared" si="23"/>
        <v>2.5840000000000001</v>
      </c>
      <c r="AB154" s="7">
        <f t="shared" si="24"/>
        <v>24.9</v>
      </c>
      <c r="AC154" s="7">
        <f t="shared" si="25"/>
        <v>9.6999999999999993</v>
      </c>
      <c r="AD154" s="7">
        <f t="shared" si="26"/>
        <v>0</v>
      </c>
      <c r="AE154" s="7">
        <f t="shared" si="27"/>
        <v>0.99555228522162109</v>
      </c>
      <c r="AF154" s="7">
        <f t="shared" si="28"/>
        <v>0.95251054565246973</v>
      </c>
      <c r="AG154" s="7">
        <f t="shared" si="29"/>
        <v>6.4191802641509659</v>
      </c>
    </row>
    <row r="155" spans="1:33" x14ac:dyDescent="0.25">
      <c r="A155" s="4" t="s">
        <v>115</v>
      </c>
      <c r="B155" s="4">
        <v>2019</v>
      </c>
      <c r="C155" s="4" t="s">
        <v>92</v>
      </c>
      <c r="D155" s="5">
        <f t="shared" si="30"/>
        <v>0</v>
      </c>
      <c r="E155" s="4">
        <v>42.7</v>
      </c>
      <c r="F155" s="4">
        <v>37.799999999999997</v>
      </c>
      <c r="G155" s="4">
        <v>52.4</v>
      </c>
      <c r="H155" s="4">
        <v>34.1</v>
      </c>
      <c r="I155" s="4">
        <v>48.2</v>
      </c>
      <c r="J155" s="4">
        <v>1232.8</v>
      </c>
      <c r="K155" s="4">
        <v>70.400000000000006</v>
      </c>
      <c r="L155" s="4">
        <v>8.9550000000000001</v>
      </c>
      <c r="M155" s="4">
        <v>42.29</v>
      </c>
      <c r="N155" s="4">
        <v>22.8</v>
      </c>
      <c r="O155" s="4">
        <v>30.1</v>
      </c>
      <c r="P155" s="4">
        <v>25115.8</v>
      </c>
      <c r="Q155" s="6">
        <f t="shared" si="31"/>
        <v>20.372972096041533</v>
      </c>
      <c r="R155" s="4">
        <v>31</v>
      </c>
      <c r="S155" s="4">
        <v>10</v>
      </c>
      <c r="T155" s="6">
        <f t="shared" si="32"/>
        <v>3.3257624918883844</v>
      </c>
      <c r="U155" s="4">
        <v>3486.8</v>
      </c>
      <c r="V155" s="7">
        <f t="shared" si="33"/>
        <v>3.7541989202345789</v>
      </c>
      <c r="W155" s="7">
        <f t="shared" si="34"/>
        <v>4.2541932631639972</v>
      </c>
      <c r="X155" s="7">
        <f t="shared" si="35"/>
        <v>3.0142091251449474</v>
      </c>
      <c r="Y155" s="7">
        <f t="shared" si="36"/>
        <v>8.1570264439353597</v>
      </c>
      <c r="Z155" s="7">
        <f t="shared" si="22"/>
        <v>4.1573193613834887</v>
      </c>
      <c r="AA155" s="7">
        <f t="shared" si="23"/>
        <v>8.4939999999999998</v>
      </c>
      <c r="AB155" s="7">
        <f t="shared" si="24"/>
        <v>42.03</v>
      </c>
      <c r="AC155" s="7">
        <f t="shared" si="25"/>
        <v>18.8</v>
      </c>
      <c r="AD155" s="7">
        <f t="shared" si="26"/>
        <v>0</v>
      </c>
      <c r="AE155" s="7">
        <f t="shared" si="27"/>
        <v>2.9408909675389538</v>
      </c>
      <c r="AF155" s="7">
        <f t="shared" si="28"/>
        <v>2.5316455696202533</v>
      </c>
      <c r="AG155" s="7">
        <f t="shared" si="29"/>
        <v>8.1507853215615995</v>
      </c>
    </row>
    <row r="156" spans="1:33" x14ac:dyDescent="0.25">
      <c r="A156" s="4" t="s">
        <v>116</v>
      </c>
      <c r="B156" s="4">
        <v>2019</v>
      </c>
      <c r="C156" s="4" t="s">
        <v>86</v>
      </c>
      <c r="D156" s="5">
        <f t="shared" si="30"/>
        <v>0</v>
      </c>
      <c r="E156" s="4">
        <v>37.4</v>
      </c>
      <c r="F156" s="4">
        <v>31.5</v>
      </c>
      <c r="G156" s="4">
        <v>48.8</v>
      </c>
      <c r="H156" s="4">
        <v>24.9</v>
      </c>
      <c r="I156" s="4">
        <v>52.9</v>
      </c>
      <c r="J156" s="4">
        <v>1723.7</v>
      </c>
      <c r="K156" s="4">
        <v>55.2</v>
      </c>
      <c r="L156" s="4">
        <v>4.2210000000000001</v>
      </c>
      <c r="M156" s="4">
        <v>28.36</v>
      </c>
      <c r="N156" s="4">
        <v>13.6</v>
      </c>
      <c r="O156" s="4">
        <v>20.9</v>
      </c>
      <c r="P156" s="4">
        <v>3909.3</v>
      </c>
      <c r="Q156" s="6">
        <f t="shared" si="31"/>
        <v>2.2679700643963567</v>
      </c>
      <c r="R156" s="4">
        <v>10</v>
      </c>
      <c r="S156" s="4">
        <v>1</v>
      </c>
      <c r="T156" s="6">
        <f t="shared" si="32"/>
        <v>0.63816209317166561</v>
      </c>
      <c r="U156" s="4">
        <v>2786</v>
      </c>
      <c r="V156" s="7">
        <f t="shared" si="33"/>
        <v>3.6216707044204863</v>
      </c>
      <c r="W156" s="7">
        <f t="shared" si="34"/>
        <v>4.01096295328305</v>
      </c>
      <c r="X156" s="7">
        <f t="shared" si="35"/>
        <v>0.81888518665862431</v>
      </c>
      <c r="Y156" s="7">
        <f t="shared" si="36"/>
        <v>7.9327210274819482</v>
      </c>
      <c r="Z156" s="7">
        <f t="shared" si="22"/>
        <v>3.9512437185814275</v>
      </c>
      <c r="AA156" s="7">
        <f t="shared" si="23"/>
        <v>4.2930000000000001</v>
      </c>
      <c r="AB156" s="7">
        <f t="shared" si="24"/>
        <v>28.21</v>
      </c>
      <c r="AC156" s="7">
        <f t="shared" si="25"/>
        <v>15.4</v>
      </c>
      <c r="AD156" s="7">
        <f t="shared" si="26"/>
        <v>0</v>
      </c>
      <c r="AE156" s="7">
        <f t="shared" si="27"/>
        <v>0.71005712035601831</v>
      </c>
      <c r="AF156" s="7">
        <f t="shared" si="28"/>
        <v>0.5820382981200164</v>
      </c>
      <c r="AG156" s="7">
        <f t="shared" si="29"/>
        <v>7.9196470574456814</v>
      </c>
    </row>
    <row r="157" spans="1:33" x14ac:dyDescent="0.25">
      <c r="A157" s="4" t="s">
        <v>117</v>
      </c>
      <c r="B157" s="4">
        <v>2019</v>
      </c>
      <c r="C157" s="4" t="s">
        <v>105</v>
      </c>
      <c r="D157" s="5">
        <f t="shared" si="30"/>
        <v>0</v>
      </c>
      <c r="E157" s="4">
        <v>30.6</v>
      </c>
      <c r="F157" s="4">
        <v>27.5</v>
      </c>
      <c r="G157" s="4">
        <v>31</v>
      </c>
      <c r="H157" s="4">
        <v>22</v>
      </c>
      <c r="I157" s="4">
        <v>65.400000000000006</v>
      </c>
      <c r="J157" s="4">
        <v>543.4</v>
      </c>
      <c r="K157" s="4">
        <v>40.299999999999997</v>
      </c>
      <c r="L157" s="4">
        <v>3.0249999999999999</v>
      </c>
      <c r="M157" s="4">
        <v>31.97</v>
      </c>
      <c r="N157" s="4">
        <v>12.9</v>
      </c>
      <c r="O157" s="4">
        <v>15</v>
      </c>
      <c r="P157" s="4">
        <v>5884.8</v>
      </c>
      <c r="Q157" s="6">
        <f t="shared" si="31"/>
        <v>10.829591461170409</v>
      </c>
      <c r="R157" s="4">
        <v>4</v>
      </c>
      <c r="S157" s="4">
        <v>0</v>
      </c>
      <c r="T157" s="6">
        <f t="shared" si="32"/>
        <v>0.73610599926389408</v>
      </c>
      <c r="U157" s="4">
        <v>172.8</v>
      </c>
      <c r="V157" s="7">
        <f t="shared" si="33"/>
        <v>3.4210000089583352</v>
      </c>
      <c r="W157" s="7">
        <f t="shared" si="34"/>
        <v>3.6963514689526371</v>
      </c>
      <c r="X157" s="7">
        <f t="shared" si="35"/>
        <v>2.3822823374177546</v>
      </c>
      <c r="Y157" s="7">
        <f t="shared" si="36"/>
        <v>5.1579052128312917</v>
      </c>
      <c r="Z157" s="7">
        <f t="shared" si="22"/>
        <v>3.6323091026255421</v>
      </c>
      <c r="AA157" s="7">
        <f t="shared" si="23"/>
        <v>2.9510000000000001</v>
      </c>
      <c r="AB157" s="7">
        <f t="shared" si="24"/>
        <v>32.119999999999997</v>
      </c>
      <c r="AC157" s="7">
        <f t="shared" si="25"/>
        <v>18</v>
      </c>
      <c r="AD157" s="7">
        <f t="shared" si="26"/>
        <v>0</v>
      </c>
      <c r="AE157" s="7">
        <f t="shared" si="27"/>
        <v>2.3042366210325187</v>
      </c>
      <c r="AF157" s="7">
        <f t="shared" si="28"/>
        <v>0.37565740045078888</v>
      </c>
      <c r="AG157" s="7">
        <f t="shared" si="29"/>
        <v>5.1173948306677897</v>
      </c>
    </row>
    <row r="158" spans="1:33" x14ac:dyDescent="0.25">
      <c r="A158" s="4" t="s">
        <v>118</v>
      </c>
      <c r="B158" s="4">
        <v>2019</v>
      </c>
      <c r="C158" s="4" t="s">
        <v>96</v>
      </c>
      <c r="D158" s="5">
        <f t="shared" si="30"/>
        <v>0</v>
      </c>
      <c r="E158" s="4"/>
      <c r="F158" s="4"/>
      <c r="G158" s="4"/>
      <c r="H158" s="4"/>
      <c r="I158" s="4"/>
      <c r="J158" s="4">
        <v>462.6</v>
      </c>
      <c r="K158" s="4">
        <v>38.9</v>
      </c>
      <c r="L158" s="4">
        <v>2.3069999999999999</v>
      </c>
      <c r="M158" s="4">
        <v>14.66</v>
      </c>
      <c r="N158" s="4">
        <v>13.3</v>
      </c>
      <c r="O158" s="4">
        <v>7.1</v>
      </c>
      <c r="P158" s="4">
        <v>1706.8</v>
      </c>
      <c r="Q158" s="6">
        <f t="shared" si="31"/>
        <v>3.6895806312148722</v>
      </c>
      <c r="R158" s="4">
        <v>3</v>
      </c>
      <c r="S158" s="4">
        <v>2</v>
      </c>
      <c r="T158" s="6">
        <f t="shared" si="32"/>
        <v>1.0808473843493298</v>
      </c>
      <c r="U158" s="4">
        <v>3.2</v>
      </c>
      <c r="V158" s="7" t="str">
        <f t="shared" si="33"/>
        <v/>
      </c>
      <c r="W158" s="7">
        <f t="shared" si="34"/>
        <v>3.6609942506244004</v>
      </c>
      <c r="X158" s="7">
        <f t="shared" si="35"/>
        <v>1.3055128015165061</v>
      </c>
      <c r="Y158" s="7">
        <f t="shared" si="36"/>
        <v>1.4350845252893227</v>
      </c>
      <c r="Z158" s="7">
        <f t="shared" si="22"/>
        <v>3.7013019741124933</v>
      </c>
      <c r="AA158" s="7">
        <f t="shared" si="23"/>
        <v>2.4809999999999999</v>
      </c>
      <c r="AB158" s="7">
        <f t="shared" si="24"/>
        <v>14.67</v>
      </c>
      <c r="AC158" s="7">
        <f t="shared" si="25"/>
        <v>14.2</v>
      </c>
      <c r="AD158" s="7">
        <f t="shared" si="26"/>
        <v>0</v>
      </c>
      <c r="AE158" s="7">
        <f t="shared" si="27"/>
        <v>1.1752901069440815</v>
      </c>
      <c r="AF158" s="7">
        <f t="shared" si="28"/>
        <v>1.1027790030877813</v>
      </c>
      <c r="AG158" s="7">
        <f t="shared" si="29"/>
        <v>1.4586150226995167</v>
      </c>
    </row>
    <row r="159" spans="1:33" x14ac:dyDescent="0.25">
      <c r="A159" s="4" t="s">
        <v>119</v>
      </c>
      <c r="B159" s="4">
        <v>2019</v>
      </c>
      <c r="C159" s="4" t="s">
        <v>86</v>
      </c>
      <c r="D159" s="5">
        <f t="shared" si="30"/>
        <v>0</v>
      </c>
      <c r="E159" s="4">
        <v>36.9</v>
      </c>
      <c r="F159" s="4">
        <v>29.8</v>
      </c>
      <c r="G159" s="4">
        <v>41.8</v>
      </c>
      <c r="H159" s="4">
        <v>29</v>
      </c>
      <c r="I159" s="4">
        <v>61.2</v>
      </c>
      <c r="J159" s="4">
        <v>1695.1</v>
      </c>
      <c r="K159" s="4">
        <v>72.8</v>
      </c>
      <c r="L159" s="4">
        <v>5.7190000000000003</v>
      </c>
      <c r="M159" s="4">
        <v>16.079999999999998</v>
      </c>
      <c r="N159" s="4">
        <v>16.7</v>
      </c>
      <c r="O159" s="4">
        <v>18</v>
      </c>
      <c r="P159" s="4">
        <v>5749.5</v>
      </c>
      <c r="Q159" s="6">
        <f t="shared" si="31"/>
        <v>3.3918352899533954</v>
      </c>
      <c r="R159" s="4">
        <v>8</v>
      </c>
      <c r="S159" s="4">
        <v>1</v>
      </c>
      <c r="T159" s="6">
        <f t="shared" si="32"/>
        <v>0.53094212730812351</v>
      </c>
      <c r="U159" s="4">
        <v>4661</v>
      </c>
      <c r="V159" s="7">
        <f t="shared" si="33"/>
        <v>3.6082115510464816</v>
      </c>
      <c r="W159" s="7">
        <f t="shared" si="34"/>
        <v>4.28771595520264</v>
      </c>
      <c r="X159" s="7">
        <f t="shared" si="35"/>
        <v>1.221371158364279</v>
      </c>
      <c r="Y159" s="7">
        <f t="shared" si="36"/>
        <v>8.4471998195957028</v>
      </c>
      <c r="Z159" s="7">
        <f t="shared" si="22"/>
        <v>4.1850989254905651</v>
      </c>
      <c r="AA159" s="7">
        <f t="shared" si="23"/>
        <v>5.2910000000000004</v>
      </c>
      <c r="AB159" s="7">
        <f t="shared" si="24"/>
        <v>16.21</v>
      </c>
      <c r="AC159" s="7">
        <f t="shared" si="25"/>
        <v>16.100000000000001</v>
      </c>
      <c r="AD159" s="7">
        <f t="shared" si="26"/>
        <v>0</v>
      </c>
      <c r="AE159" s="7">
        <f t="shared" si="27"/>
        <v>1.2077479080171318</v>
      </c>
      <c r="AF159" s="7">
        <f t="shared" si="28"/>
        <v>0.47650247185657274</v>
      </c>
      <c r="AG159" s="7">
        <f t="shared" si="29"/>
        <v>8.3908360025397144</v>
      </c>
    </row>
    <row r="160" spans="1:33" x14ac:dyDescent="0.25">
      <c r="A160" s="4" t="s">
        <v>120</v>
      </c>
      <c r="B160" s="4">
        <v>2019</v>
      </c>
      <c r="C160" s="4" t="s">
        <v>96</v>
      </c>
      <c r="D160" s="5">
        <f t="shared" si="30"/>
        <v>0</v>
      </c>
      <c r="E160" s="4">
        <v>35.5</v>
      </c>
      <c r="F160" s="4">
        <v>38.9</v>
      </c>
      <c r="G160" s="4">
        <v>33.200000000000003</v>
      </c>
      <c r="H160" s="4">
        <v>26.6</v>
      </c>
      <c r="I160" s="4">
        <v>68.3</v>
      </c>
      <c r="J160" s="4">
        <v>733.3</v>
      </c>
      <c r="K160" s="4">
        <v>68.099999999999994</v>
      </c>
      <c r="L160" s="4">
        <v>3.516</v>
      </c>
      <c r="M160" s="4">
        <v>23.39</v>
      </c>
      <c r="N160" s="4">
        <v>19.5</v>
      </c>
      <c r="O160" s="4">
        <v>24.5</v>
      </c>
      <c r="P160" s="4">
        <v>6129.3</v>
      </c>
      <c r="Q160" s="6">
        <f t="shared" si="31"/>
        <v>8.3585162961952832</v>
      </c>
      <c r="R160" s="4">
        <v>12</v>
      </c>
      <c r="S160" s="4">
        <v>2</v>
      </c>
      <c r="T160" s="6">
        <f t="shared" si="32"/>
        <v>1.9091776898949955</v>
      </c>
      <c r="U160" s="4">
        <v>786</v>
      </c>
      <c r="V160" s="7">
        <f t="shared" si="33"/>
        <v>3.5695326964813701</v>
      </c>
      <c r="W160" s="7">
        <f t="shared" si="34"/>
        <v>4.220977213155467</v>
      </c>
      <c r="X160" s="7">
        <f t="shared" si="35"/>
        <v>2.1232809348141224</v>
      </c>
      <c r="Y160" s="7">
        <f t="shared" si="36"/>
        <v>6.6682282484174031</v>
      </c>
      <c r="Z160" s="7">
        <f t="shared" si="22"/>
        <v>4.1303549997451334</v>
      </c>
      <c r="AA160" s="7">
        <f t="shared" si="23"/>
        <v>3.5819999999999999</v>
      </c>
      <c r="AB160" s="7">
        <f t="shared" si="24"/>
        <v>23.17</v>
      </c>
      <c r="AC160" s="7">
        <f t="shared" si="25"/>
        <v>17.100000000000001</v>
      </c>
      <c r="AD160" s="7">
        <f t="shared" si="26"/>
        <v>0</v>
      </c>
      <c r="AE160" s="7">
        <f t="shared" si="27"/>
        <v>1.9861358028062526</v>
      </c>
      <c r="AF160" s="7">
        <f t="shared" si="28"/>
        <v>1.942286348501665</v>
      </c>
      <c r="AG160" s="7">
        <f t="shared" si="29"/>
        <v>6.6927038975652637</v>
      </c>
    </row>
    <row r="161" spans="1:33" x14ac:dyDescent="0.25">
      <c r="A161" s="4" t="s">
        <v>121</v>
      </c>
      <c r="B161" s="4">
        <v>2019</v>
      </c>
      <c r="C161" s="4" t="s">
        <v>105</v>
      </c>
      <c r="D161" s="5">
        <f t="shared" si="30"/>
        <v>0</v>
      </c>
      <c r="E161" s="4">
        <v>40.4</v>
      </c>
      <c r="F161" s="4">
        <v>33.200000000000003</v>
      </c>
      <c r="G161" s="4">
        <v>48.5</v>
      </c>
      <c r="H161" s="4">
        <v>29.9</v>
      </c>
      <c r="I161" s="4">
        <v>63.7</v>
      </c>
      <c r="J161" s="4">
        <v>1299.3</v>
      </c>
      <c r="K161" s="4">
        <v>60.5</v>
      </c>
      <c r="L161" s="4">
        <v>4.8630000000000004</v>
      </c>
      <c r="M161" s="4">
        <v>39.17</v>
      </c>
      <c r="N161" s="4">
        <v>16.7</v>
      </c>
      <c r="O161" s="4">
        <v>30.8</v>
      </c>
      <c r="P161" s="4">
        <v>14680</v>
      </c>
      <c r="Q161" s="6">
        <f t="shared" si="31"/>
        <v>11.298391441545448</v>
      </c>
      <c r="R161" s="4">
        <v>5</v>
      </c>
      <c r="S161" s="4">
        <v>2</v>
      </c>
      <c r="T161" s="6">
        <f t="shared" si="32"/>
        <v>0.53875163549603633</v>
      </c>
      <c r="U161" s="4">
        <v>400.7</v>
      </c>
      <c r="V161" s="7">
        <f t="shared" si="33"/>
        <v>3.6988297849671046</v>
      </c>
      <c r="W161" s="7">
        <f t="shared" si="34"/>
        <v>4.1026433650367959</v>
      </c>
      <c r="X161" s="7">
        <f t="shared" si="35"/>
        <v>2.424660365279816</v>
      </c>
      <c r="Y161" s="7">
        <f t="shared" si="36"/>
        <v>5.9957055413652363</v>
      </c>
      <c r="Z161" s="7">
        <f t="shared" si="22"/>
        <v>4.0253516907351496</v>
      </c>
      <c r="AA161" s="7">
        <f t="shared" si="23"/>
        <v>4.5519999999999996</v>
      </c>
      <c r="AB161" s="7">
        <f t="shared" si="24"/>
        <v>39.07</v>
      </c>
      <c r="AC161" s="7">
        <f t="shared" si="25"/>
        <v>16.600000000000001</v>
      </c>
      <c r="AD161" s="7">
        <f t="shared" si="26"/>
        <v>0</v>
      </c>
      <c r="AE161" s="7">
        <f t="shared" si="27"/>
        <v>2.2817721986969413</v>
      </c>
      <c r="AF161" s="7">
        <f t="shared" si="28"/>
        <v>0.54204739042899175</v>
      </c>
      <c r="AG161" s="7">
        <f t="shared" si="29"/>
        <v>5.9826760410749023</v>
      </c>
    </row>
    <row r="162" spans="1:33" x14ac:dyDescent="0.25">
      <c r="A162" s="4" t="s">
        <v>122</v>
      </c>
      <c r="B162" s="4">
        <v>2019</v>
      </c>
      <c r="C162" s="4" t="s">
        <v>96</v>
      </c>
      <c r="D162" s="5">
        <f t="shared" si="30"/>
        <v>0</v>
      </c>
      <c r="E162" s="4">
        <v>28.8</v>
      </c>
      <c r="F162" s="4">
        <v>25.5</v>
      </c>
      <c r="G162" s="4">
        <v>27.1</v>
      </c>
      <c r="H162" s="4">
        <v>24.5</v>
      </c>
      <c r="I162" s="4">
        <v>56.3</v>
      </c>
      <c r="J162" s="4">
        <v>782.8</v>
      </c>
      <c r="K162" s="4">
        <v>41.9</v>
      </c>
      <c r="L162" s="4">
        <v>2.4340000000000002</v>
      </c>
      <c r="M162" s="4">
        <v>20.48</v>
      </c>
      <c r="N162" s="4">
        <v>16.5</v>
      </c>
      <c r="O162" s="4">
        <v>15</v>
      </c>
      <c r="P162" s="4">
        <v>6920.7</v>
      </c>
      <c r="Q162" s="6">
        <f t="shared" si="31"/>
        <v>8.8409555442003072</v>
      </c>
      <c r="R162" s="4">
        <v>4</v>
      </c>
      <c r="S162" s="4">
        <v>2</v>
      </c>
      <c r="T162" s="6">
        <f t="shared" si="32"/>
        <v>0.76647930505876349</v>
      </c>
      <c r="U162" s="4">
        <v>304.3</v>
      </c>
      <c r="V162" s="7">
        <f t="shared" si="33"/>
        <v>3.3603753871419002</v>
      </c>
      <c r="W162" s="7">
        <f t="shared" si="34"/>
        <v>3.735285826928092</v>
      </c>
      <c r="X162" s="7">
        <f t="shared" si="35"/>
        <v>2.1793949640432282</v>
      </c>
      <c r="Y162" s="7">
        <f t="shared" si="36"/>
        <v>5.7212948997408324</v>
      </c>
      <c r="Z162" s="7">
        <f t="shared" si="22"/>
        <v>3.6454498961866002</v>
      </c>
      <c r="AA162" s="7">
        <f t="shared" si="23"/>
        <v>2.25</v>
      </c>
      <c r="AB162" s="7">
        <f t="shared" si="24"/>
        <v>20.34</v>
      </c>
      <c r="AC162" s="7">
        <f t="shared" si="25"/>
        <v>19.8</v>
      </c>
      <c r="AD162" s="7">
        <f t="shared" si="26"/>
        <v>0</v>
      </c>
      <c r="AE162" s="7">
        <f t="shared" si="27"/>
        <v>2.0221371766119796</v>
      </c>
      <c r="AF162" s="7">
        <f t="shared" si="28"/>
        <v>0.77329552777419774</v>
      </c>
      <c r="AG162" s="7">
        <f t="shared" si="29"/>
        <v>5.7258700711202062</v>
      </c>
    </row>
    <row r="163" spans="1:33" x14ac:dyDescent="0.25">
      <c r="A163" s="4" t="s">
        <v>123</v>
      </c>
      <c r="B163" s="4">
        <v>2019</v>
      </c>
      <c r="C163" s="4" t="s">
        <v>99</v>
      </c>
      <c r="D163" s="5">
        <f t="shared" si="30"/>
        <v>1</v>
      </c>
      <c r="E163" s="4">
        <v>40</v>
      </c>
      <c r="F163" s="4">
        <v>35.700000000000003</v>
      </c>
      <c r="G163" s="4">
        <v>49.8</v>
      </c>
      <c r="H163" s="4">
        <v>24.6</v>
      </c>
      <c r="I163" s="4">
        <v>68.099999999999994</v>
      </c>
      <c r="J163" s="4">
        <v>1780.9</v>
      </c>
      <c r="K163" s="4">
        <v>39</v>
      </c>
      <c r="L163" s="4">
        <v>3.1869999999999998</v>
      </c>
      <c r="M163" s="4">
        <v>18.18</v>
      </c>
      <c r="N163" s="4">
        <v>17.7</v>
      </c>
      <c r="O163" s="4">
        <v>10.199999999999999</v>
      </c>
      <c r="P163" s="4">
        <v>13473.8</v>
      </c>
      <c r="Q163" s="6">
        <f t="shared" si="31"/>
        <v>7.5657251951260589</v>
      </c>
      <c r="R163" s="4">
        <v>18</v>
      </c>
      <c r="S163" s="4">
        <v>0</v>
      </c>
      <c r="T163" s="6">
        <f t="shared" si="32"/>
        <v>1.010724914369139</v>
      </c>
      <c r="U163" s="4">
        <v>1969</v>
      </c>
      <c r="V163" s="7">
        <f t="shared" si="33"/>
        <v>3.6888794541139363</v>
      </c>
      <c r="W163" s="7">
        <f t="shared" si="34"/>
        <v>3.6635616461296463</v>
      </c>
      <c r="X163" s="7">
        <f t="shared" si="35"/>
        <v>2.0236282045263727</v>
      </c>
      <c r="Y163" s="7">
        <f t="shared" si="36"/>
        <v>7.5857888217320344</v>
      </c>
      <c r="Z163" s="7">
        <f t="shared" si="22"/>
        <v>3.5524868292083815</v>
      </c>
      <c r="AA163" s="7">
        <f t="shared" si="23"/>
        <v>3.069</v>
      </c>
      <c r="AB163" s="7">
        <f t="shared" si="24"/>
        <v>18.170000000000002</v>
      </c>
      <c r="AC163" s="7">
        <f t="shared" si="25"/>
        <v>15.9</v>
      </c>
      <c r="AD163" s="7">
        <f t="shared" si="26"/>
        <v>0</v>
      </c>
      <c r="AE163" s="7">
        <f t="shared" si="27"/>
        <v>1.8726640750268817</v>
      </c>
      <c r="AF163" s="7">
        <f t="shared" si="28"/>
        <v>0.78466539625602505</v>
      </c>
      <c r="AG163" s="7">
        <f t="shared" si="29"/>
        <v>7.5176838807911492</v>
      </c>
    </row>
    <row r="164" spans="1:33" x14ac:dyDescent="0.25">
      <c r="A164" s="4" t="s">
        <v>124</v>
      </c>
      <c r="B164" s="4">
        <v>2019</v>
      </c>
      <c r="C164" s="4" t="s">
        <v>92</v>
      </c>
      <c r="D164" s="5">
        <f t="shared" si="30"/>
        <v>0</v>
      </c>
      <c r="E164" s="4">
        <v>42.4</v>
      </c>
      <c r="F164" s="4">
        <v>38.9</v>
      </c>
      <c r="G164" s="4">
        <v>42.7</v>
      </c>
      <c r="H164" s="4">
        <v>35.6</v>
      </c>
      <c r="I164" s="4">
        <v>72.599999999999994</v>
      </c>
      <c r="J164" s="4">
        <v>3337.2</v>
      </c>
      <c r="K164" s="4">
        <v>39.799999999999997</v>
      </c>
      <c r="L164" s="4">
        <v>3.2530000000000001</v>
      </c>
      <c r="M164" s="4">
        <v>14.7</v>
      </c>
      <c r="N164" s="4">
        <v>20.7</v>
      </c>
      <c r="O164" s="4">
        <v>18.899999999999999</v>
      </c>
      <c r="P164" s="4">
        <v>104064.3</v>
      </c>
      <c r="Q164" s="6">
        <f t="shared" si="31"/>
        <v>31.183117583603025</v>
      </c>
      <c r="R164" s="4">
        <v>89</v>
      </c>
      <c r="S164" s="4">
        <v>17</v>
      </c>
      <c r="T164" s="6">
        <f t="shared" si="32"/>
        <v>3.1763154740501025</v>
      </c>
      <c r="U164" s="4">
        <v>646.70000000000005</v>
      </c>
      <c r="V164" s="7">
        <f t="shared" si="33"/>
        <v>3.7471483622379123</v>
      </c>
      <c r="W164" s="7">
        <f t="shared" si="34"/>
        <v>3.6838669122903918</v>
      </c>
      <c r="X164" s="7">
        <f t="shared" si="35"/>
        <v>3.4398768452766815</v>
      </c>
      <c r="Y164" s="7">
        <f t="shared" si="36"/>
        <v>6.4734276261888715</v>
      </c>
      <c r="Z164" s="7">
        <f t="shared" si="22"/>
        <v>3.597312260588446</v>
      </c>
      <c r="AA164" s="7">
        <f t="shared" si="23"/>
        <v>3.5569999999999999</v>
      </c>
      <c r="AB164" s="7">
        <f t="shared" si="24"/>
        <v>14.7</v>
      </c>
      <c r="AC164" s="7">
        <f t="shared" si="25"/>
        <v>20.8</v>
      </c>
      <c r="AD164" s="7">
        <f t="shared" si="26"/>
        <v>0</v>
      </c>
      <c r="AE164" s="7">
        <f t="shared" si="27"/>
        <v>3.2740892374157871</v>
      </c>
      <c r="AF164" s="7">
        <f t="shared" si="28"/>
        <v>2.6736343197423587</v>
      </c>
      <c r="AG164" s="7">
        <f t="shared" si="29"/>
        <v>6.3309678995383871</v>
      </c>
    </row>
    <row r="165" spans="1:33" x14ac:dyDescent="0.25">
      <c r="A165" s="4" t="s">
        <v>125</v>
      </c>
      <c r="B165" s="4">
        <v>2019</v>
      </c>
      <c r="C165" s="4" t="s">
        <v>99</v>
      </c>
      <c r="D165" s="5">
        <f t="shared" si="30"/>
        <v>1</v>
      </c>
      <c r="E165" s="4">
        <v>41.2</v>
      </c>
      <c r="F165" s="4">
        <v>33.6</v>
      </c>
      <c r="G165" s="4">
        <v>46.4</v>
      </c>
      <c r="H165" s="4">
        <v>32.9</v>
      </c>
      <c r="I165" s="4">
        <v>67.3</v>
      </c>
      <c r="J165" s="4">
        <v>984.5</v>
      </c>
      <c r="K165" s="4">
        <v>62.8</v>
      </c>
      <c r="L165" s="4">
        <v>4.3440000000000003</v>
      </c>
      <c r="M165" s="4">
        <v>21.11</v>
      </c>
      <c r="N165" s="4">
        <v>28.9</v>
      </c>
      <c r="O165" s="4">
        <v>16.100000000000001</v>
      </c>
      <c r="P165" s="4">
        <v>24965.3</v>
      </c>
      <c r="Q165" s="6">
        <f t="shared" si="31"/>
        <v>25.358354494667342</v>
      </c>
      <c r="R165" s="4">
        <v>8</v>
      </c>
      <c r="S165" s="4">
        <v>2</v>
      </c>
      <c r="T165" s="6">
        <f t="shared" si="32"/>
        <v>1.015744032503809</v>
      </c>
      <c r="U165" s="4">
        <v>1418.6</v>
      </c>
      <c r="V165" s="7">
        <f t="shared" si="33"/>
        <v>3.7184382563554808</v>
      </c>
      <c r="W165" s="7">
        <f t="shared" si="34"/>
        <v>4.1399550734741526</v>
      </c>
      <c r="X165" s="7">
        <f t="shared" si="35"/>
        <v>3.2331082416068808</v>
      </c>
      <c r="Y165" s="7">
        <f t="shared" si="36"/>
        <v>7.2581304207723409</v>
      </c>
      <c r="Z165" s="7">
        <f t="shared" si="22"/>
        <v>3.9945242269398897</v>
      </c>
      <c r="AA165" s="7">
        <f t="shared" si="23"/>
        <v>4.0529999999999999</v>
      </c>
      <c r="AB165" s="7">
        <f t="shared" si="24"/>
        <v>20.64</v>
      </c>
      <c r="AC165" s="7">
        <f t="shared" si="25"/>
        <v>27.4</v>
      </c>
      <c r="AD165" s="7">
        <f t="shared" si="26"/>
        <v>0</v>
      </c>
      <c r="AE165" s="7">
        <f t="shared" si="27"/>
        <v>3.2047538005881839</v>
      </c>
      <c r="AF165" s="7">
        <f t="shared" si="28"/>
        <v>1.2311480455524775</v>
      </c>
      <c r="AG165" s="7">
        <f t="shared" si="29"/>
        <v>7.1575018120908807</v>
      </c>
    </row>
    <row r="166" spans="1:33" x14ac:dyDescent="0.25">
      <c r="A166" s="4" t="s">
        <v>126</v>
      </c>
      <c r="B166" s="4">
        <v>2019</v>
      </c>
      <c r="C166" s="4" t="s">
        <v>92</v>
      </c>
      <c r="D166" s="5">
        <f t="shared" si="30"/>
        <v>0</v>
      </c>
      <c r="E166" s="4">
        <v>33.4</v>
      </c>
      <c r="F166" s="4">
        <v>31.1</v>
      </c>
      <c r="G166" s="4">
        <v>43.7</v>
      </c>
      <c r="H166" s="4">
        <v>20.3</v>
      </c>
      <c r="I166" s="4">
        <v>48</v>
      </c>
      <c r="J166" s="4">
        <v>591</v>
      </c>
      <c r="K166" s="4">
        <v>52.7</v>
      </c>
      <c r="L166" s="4">
        <v>3.9630000000000001</v>
      </c>
      <c r="M166" s="4">
        <v>35.75</v>
      </c>
      <c r="N166" s="4">
        <v>18.899999999999999</v>
      </c>
      <c r="O166" s="4">
        <v>12.8</v>
      </c>
      <c r="P166" s="4">
        <v>5906.5</v>
      </c>
      <c r="Q166" s="6">
        <f t="shared" si="31"/>
        <v>9.9940778341793575</v>
      </c>
      <c r="R166" s="4">
        <v>6</v>
      </c>
      <c r="S166" s="4">
        <v>1</v>
      </c>
      <c r="T166" s="6">
        <f t="shared" si="32"/>
        <v>1.1844331641285957</v>
      </c>
      <c r="U166" s="4">
        <v>2894.8</v>
      </c>
      <c r="V166" s="7">
        <f t="shared" si="33"/>
        <v>3.5085558999826545</v>
      </c>
      <c r="W166" s="7">
        <f t="shared" si="34"/>
        <v>3.9646154555473165</v>
      </c>
      <c r="X166" s="7">
        <f t="shared" si="35"/>
        <v>2.3019927009824763</v>
      </c>
      <c r="Y166" s="7">
        <f t="shared" si="36"/>
        <v>7.9710166903473212</v>
      </c>
      <c r="Z166" s="7">
        <f t="shared" si="22"/>
        <v>3.7773481021015445</v>
      </c>
      <c r="AA166" s="7">
        <f t="shared" si="23"/>
        <v>3.53</v>
      </c>
      <c r="AB166" s="7">
        <f t="shared" si="24"/>
        <v>35.78</v>
      </c>
      <c r="AC166" s="7">
        <f t="shared" si="25"/>
        <v>19.3</v>
      </c>
      <c r="AD166" s="7">
        <f t="shared" si="26"/>
        <v>0</v>
      </c>
      <c r="AE166" s="7">
        <f t="shared" si="27"/>
        <v>2.1994861263297558</v>
      </c>
      <c r="AF166" s="7">
        <f t="shared" si="28"/>
        <v>1.0188487009679064</v>
      </c>
      <c r="AG166" s="7">
        <f t="shared" si="29"/>
        <v>7.9641557188409369</v>
      </c>
    </row>
    <row r="167" spans="1:33" x14ac:dyDescent="0.25">
      <c r="A167" s="4" t="s">
        <v>127</v>
      </c>
      <c r="B167" s="4">
        <v>2019</v>
      </c>
      <c r="C167" s="4" t="s">
        <v>96</v>
      </c>
      <c r="D167" s="5">
        <f t="shared" si="30"/>
        <v>0</v>
      </c>
      <c r="E167" s="4">
        <v>38.799999999999997</v>
      </c>
      <c r="F167" s="4">
        <v>33.6</v>
      </c>
      <c r="G167" s="4">
        <v>41.3</v>
      </c>
      <c r="H167" s="4">
        <v>31.5</v>
      </c>
      <c r="I167" s="4">
        <v>65.7</v>
      </c>
      <c r="J167" s="4">
        <v>1466.4</v>
      </c>
      <c r="K167" s="4">
        <v>47.1</v>
      </c>
      <c r="L167" s="4">
        <v>3.35</v>
      </c>
      <c r="M167" s="4">
        <v>18.37</v>
      </c>
      <c r="N167" s="4">
        <v>24.6</v>
      </c>
      <c r="O167" s="4">
        <v>21.4</v>
      </c>
      <c r="P167" s="4">
        <v>28999.9</v>
      </c>
      <c r="Q167" s="6">
        <f t="shared" si="31"/>
        <v>19.776254773595198</v>
      </c>
      <c r="R167" s="4">
        <v>16</v>
      </c>
      <c r="S167" s="4">
        <v>3</v>
      </c>
      <c r="T167" s="6">
        <f t="shared" si="32"/>
        <v>1.2956901254773594</v>
      </c>
      <c r="U167" s="4">
        <v>1089</v>
      </c>
      <c r="V167" s="7">
        <f t="shared" si="33"/>
        <v>3.6584202466292277</v>
      </c>
      <c r="W167" s="7">
        <f t="shared" si="34"/>
        <v>3.8522730010223722</v>
      </c>
      <c r="X167" s="7">
        <f t="shared" si="35"/>
        <v>2.9844819641613083</v>
      </c>
      <c r="Y167" s="7">
        <f t="shared" si="36"/>
        <v>6.9939329752231894</v>
      </c>
      <c r="Z167" s="7">
        <f t="shared" si="22"/>
        <v>3.7495040759303713</v>
      </c>
      <c r="AA167" s="7">
        <f t="shared" si="23"/>
        <v>3.2570000000000001</v>
      </c>
      <c r="AB167" s="7">
        <f t="shared" si="24"/>
        <v>18.309999999999999</v>
      </c>
      <c r="AC167" s="7">
        <f t="shared" si="25"/>
        <v>21.8</v>
      </c>
      <c r="AD167" s="7">
        <f t="shared" si="26"/>
        <v>0</v>
      </c>
      <c r="AE167" s="7">
        <f t="shared" si="27"/>
        <v>2.9766917729839886</v>
      </c>
      <c r="AF167" s="7">
        <f t="shared" si="28"/>
        <v>1.1727373068432672</v>
      </c>
      <c r="AG167" s="7">
        <f t="shared" si="29"/>
        <v>6.7774187772541339</v>
      </c>
    </row>
    <row r="168" spans="1:33" x14ac:dyDescent="0.25">
      <c r="A168" s="4" t="s">
        <v>128</v>
      </c>
      <c r="B168" s="4">
        <v>2019</v>
      </c>
      <c r="C168" s="4" t="s">
        <v>92</v>
      </c>
      <c r="D168" s="5">
        <f t="shared" si="30"/>
        <v>0</v>
      </c>
      <c r="E168" s="4">
        <v>34.9</v>
      </c>
      <c r="F168" s="4">
        <v>38.200000000000003</v>
      </c>
      <c r="G168" s="4">
        <v>33.9</v>
      </c>
      <c r="H168" s="4">
        <v>25.2</v>
      </c>
      <c r="I168" s="4">
        <v>66</v>
      </c>
      <c r="J168" s="4">
        <v>873.2</v>
      </c>
      <c r="K168" s="4">
        <v>48.6</v>
      </c>
      <c r="L168" s="4">
        <v>3.1150000000000002</v>
      </c>
      <c r="M168" s="4">
        <v>28.74</v>
      </c>
      <c r="N168" s="4">
        <v>16.600000000000001</v>
      </c>
      <c r="O168" s="4">
        <v>18.899999999999999</v>
      </c>
      <c r="P168" s="4">
        <v>12959</v>
      </c>
      <c r="Q168" s="6">
        <f t="shared" si="31"/>
        <v>14.840815391662849</v>
      </c>
      <c r="R168" s="4">
        <v>5</v>
      </c>
      <c r="S168" s="4">
        <v>1</v>
      </c>
      <c r="T168" s="6">
        <f t="shared" si="32"/>
        <v>0.68712780577187349</v>
      </c>
      <c r="U168" s="4">
        <v>2278.3000000000002</v>
      </c>
      <c r="V168" s="7">
        <f t="shared" si="33"/>
        <v>3.5524868292083815</v>
      </c>
      <c r="W168" s="7">
        <f t="shared" si="34"/>
        <v>3.8836235309064482</v>
      </c>
      <c r="X168" s="7">
        <f t="shared" si="35"/>
        <v>2.6973811817596256</v>
      </c>
      <c r="Y168" s="7">
        <f t="shared" si="36"/>
        <v>7.731623657265092</v>
      </c>
      <c r="Z168" s="7">
        <f t="shared" si="22"/>
        <v>3.7909846770510898</v>
      </c>
      <c r="AA168" s="7">
        <f t="shared" si="23"/>
        <v>2.9910000000000001</v>
      </c>
      <c r="AB168" s="7">
        <f t="shared" si="24"/>
        <v>28.74</v>
      </c>
      <c r="AC168" s="7">
        <f t="shared" si="25"/>
        <v>14.8</v>
      </c>
      <c r="AD168" s="7">
        <f t="shared" si="26"/>
        <v>0</v>
      </c>
      <c r="AE168" s="7">
        <f t="shared" si="27"/>
        <v>2.62553296110302</v>
      </c>
      <c r="AF168" s="7">
        <f t="shared" si="28"/>
        <v>0.57372346528973039</v>
      </c>
      <c r="AG168" s="7">
        <f t="shared" si="29"/>
        <v>7.618595019073001</v>
      </c>
    </row>
    <row r="169" spans="1:33" x14ac:dyDescent="0.25">
      <c r="A169" s="4" t="s">
        <v>129</v>
      </c>
      <c r="B169" s="4">
        <v>2019</v>
      </c>
      <c r="C169" s="4" t="s">
        <v>92</v>
      </c>
      <c r="D169" s="5">
        <f t="shared" si="30"/>
        <v>0</v>
      </c>
      <c r="E169" s="4">
        <v>31.8</v>
      </c>
      <c r="F169" s="4">
        <v>28.4</v>
      </c>
      <c r="G169" s="4">
        <v>40.6</v>
      </c>
      <c r="H169" s="4">
        <v>19.3</v>
      </c>
      <c r="I169" s="4">
        <v>51.6</v>
      </c>
      <c r="J169" s="4">
        <v>896.6</v>
      </c>
      <c r="K169" s="4">
        <v>43.7</v>
      </c>
      <c r="L169" s="4">
        <v>4.641</v>
      </c>
      <c r="M169" s="4">
        <v>20.99</v>
      </c>
      <c r="N169" s="4">
        <v>21.7</v>
      </c>
      <c r="O169" s="4">
        <v>13.4</v>
      </c>
      <c r="P169" s="4">
        <v>22692.400000000001</v>
      </c>
      <c r="Q169" s="6">
        <f t="shared" si="31"/>
        <v>25.309391032790543</v>
      </c>
      <c r="R169" s="4">
        <v>7</v>
      </c>
      <c r="S169" s="4">
        <v>1</v>
      </c>
      <c r="T169" s="6">
        <f t="shared" si="32"/>
        <v>0.89225964755743925</v>
      </c>
      <c r="U169" s="4">
        <v>855</v>
      </c>
      <c r="V169" s="7">
        <f t="shared" si="33"/>
        <v>3.459466289786131</v>
      </c>
      <c r="W169" s="7">
        <f t="shared" si="34"/>
        <v>3.7773481021015445</v>
      </c>
      <c r="X169" s="7">
        <f t="shared" si="35"/>
        <v>3.2311755139274179</v>
      </c>
      <c r="Y169" s="7">
        <f t="shared" si="36"/>
        <v>6.752270376141742</v>
      </c>
      <c r="Z169" s="7">
        <f t="shared" si="22"/>
        <v>3.6813511876931448</v>
      </c>
      <c r="AA169" s="7">
        <f t="shared" si="23"/>
        <v>4.5270000000000001</v>
      </c>
      <c r="AB169" s="7">
        <f t="shared" si="24"/>
        <v>20.78</v>
      </c>
      <c r="AC169" s="7">
        <f t="shared" si="25"/>
        <v>25.1</v>
      </c>
      <c r="AD169" s="7">
        <f t="shared" si="26"/>
        <v>0</v>
      </c>
      <c r="AE169" s="7">
        <f t="shared" si="27"/>
        <v>3.1402983955980219</v>
      </c>
      <c r="AF169" s="7">
        <f t="shared" si="28"/>
        <v>1.0099876557064302</v>
      </c>
      <c r="AG169" s="7">
        <f t="shared" si="29"/>
        <v>6.7586750559679842</v>
      </c>
    </row>
    <row r="170" spans="1:33" x14ac:dyDescent="0.25">
      <c r="A170" s="4" t="s">
        <v>130</v>
      </c>
      <c r="B170" s="4">
        <v>2019</v>
      </c>
      <c r="C170" s="4" t="s">
        <v>92</v>
      </c>
      <c r="D170" s="5">
        <f t="shared" si="30"/>
        <v>0</v>
      </c>
      <c r="E170" s="4">
        <v>39.1</v>
      </c>
      <c r="F170" s="4">
        <v>35</v>
      </c>
      <c r="G170" s="4">
        <v>41.7</v>
      </c>
      <c r="H170" s="4">
        <v>28.8</v>
      </c>
      <c r="I170" s="4">
        <v>74.5</v>
      </c>
      <c r="J170" s="4">
        <v>1497.5</v>
      </c>
      <c r="K170" s="4">
        <v>66</v>
      </c>
      <c r="L170" s="4">
        <v>4.843</v>
      </c>
      <c r="M170" s="4">
        <v>25.35</v>
      </c>
      <c r="N170" s="4">
        <v>18.7</v>
      </c>
      <c r="O170" s="4">
        <v>16.899999999999999</v>
      </c>
      <c r="P170" s="4">
        <v>18206</v>
      </c>
      <c r="Q170" s="6">
        <f t="shared" si="31"/>
        <v>12.157595993322204</v>
      </c>
      <c r="R170" s="4">
        <v>1</v>
      </c>
      <c r="S170" s="4">
        <v>1</v>
      </c>
      <c r="T170" s="6">
        <f t="shared" si="32"/>
        <v>0.13355592654424039</v>
      </c>
      <c r="U170" s="4">
        <v>4091.2</v>
      </c>
      <c r="V170" s="7">
        <f t="shared" si="33"/>
        <v>3.6661224669913199</v>
      </c>
      <c r="W170" s="7">
        <f t="shared" si="34"/>
        <v>4.1896547420264252</v>
      </c>
      <c r="X170" s="7">
        <f t="shared" si="35"/>
        <v>2.4979541590756296</v>
      </c>
      <c r="Y170" s="7">
        <f t="shared" si="36"/>
        <v>8.3168380017324584</v>
      </c>
      <c r="Z170" s="7">
        <f t="shared" si="22"/>
        <v>4.1190371748124726</v>
      </c>
      <c r="AA170" s="7">
        <f t="shared" si="23"/>
        <v>4.3470000000000004</v>
      </c>
      <c r="AB170" s="7">
        <f t="shared" si="24"/>
        <v>25.03</v>
      </c>
      <c r="AC170" s="7">
        <f t="shared" si="25"/>
        <v>20.3</v>
      </c>
      <c r="AD170" s="7">
        <f t="shared" si="26"/>
        <v>0</v>
      </c>
      <c r="AE170" s="7">
        <f t="shared" si="27"/>
        <v>2.439016756579492</v>
      </c>
      <c r="AF170" s="7">
        <f t="shared" si="28"/>
        <v>0.13415615776764153</v>
      </c>
      <c r="AG170" s="7">
        <f t="shared" si="29"/>
        <v>8.3066202972758791</v>
      </c>
    </row>
    <row r="171" spans="1:33" x14ac:dyDescent="0.25">
      <c r="A171" s="4" t="s">
        <v>131</v>
      </c>
      <c r="B171" s="4">
        <v>2019</v>
      </c>
      <c r="C171" s="4" t="s">
        <v>92</v>
      </c>
      <c r="D171" s="5">
        <f t="shared" si="30"/>
        <v>0</v>
      </c>
      <c r="E171" s="4">
        <v>31.7</v>
      </c>
      <c r="F171" s="4">
        <v>30.9</v>
      </c>
      <c r="G171" s="4">
        <v>35.799999999999997</v>
      </c>
      <c r="H171" s="4">
        <v>20.8</v>
      </c>
      <c r="I171" s="4">
        <v>57.3</v>
      </c>
      <c r="J171" s="4">
        <v>1231.9000000000001</v>
      </c>
      <c r="K171" s="4">
        <v>70.5</v>
      </c>
      <c r="L171" s="4">
        <v>4.1289999999999996</v>
      </c>
      <c r="M171" s="4">
        <v>16.36</v>
      </c>
      <c r="N171" s="4">
        <v>20.9</v>
      </c>
      <c r="O171" s="4">
        <v>16.399999999999999</v>
      </c>
      <c r="P171" s="4">
        <v>13628.5</v>
      </c>
      <c r="Q171" s="6">
        <f t="shared" si="31"/>
        <v>11.062992125984252</v>
      </c>
      <c r="R171" s="4">
        <v>8</v>
      </c>
      <c r="S171" s="4">
        <v>1</v>
      </c>
      <c r="T171" s="6">
        <f t="shared" si="32"/>
        <v>0.73057878074519034</v>
      </c>
      <c r="U171" s="4">
        <v>1497.4</v>
      </c>
      <c r="V171" s="7">
        <f t="shared" si="33"/>
        <v>3.4563166808832348</v>
      </c>
      <c r="W171" s="7">
        <f t="shared" si="34"/>
        <v>4.255612709818223</v>
      </c>
      <c r="X171" s="7">
        <f t="shared" si="35"/>
        <v>2.4036054953092547</v>
      </c>
      <c r="Y171" s="7">
        <f t="shared" si="36"/>
        <v>7.3121531511298787</v>
      </c>
      <c r="Z171" s="7">
        <f t="shared" si="22"/>
        <v>4.2150861799182291</v>
      </c>
      <c r="AA171" s="7">
        <f t="shared" si="23"/>
        <v>3.8380000000000001</v>
      </c>
      <c r="AB171" s="7">
        <f t="shared" si="24"/>
        <v>16.18</v>
      </c>
      <c r="AC171" s="7">
        <f t="shared" si="25"/>
        <v>18.2</v>
      </c>
      <c r="AD171" s="7">
        <f t="shared" si="26"/>
        <v>0</v>
      </c>
      <c r="AE171" s="7">
        <f t="shared" si="27"/>
        <v>2.313536688580391</v>
      </c>
      <c r="AF171" s="7">
        <f t="shared" si="28"/>
        <v>0.56887444128403086</v>
      </c>
      <c r="AG171" s="7">
        <f t="shared" si="29"/>
        <v>7.2640301428995295</v>
      </c>
    </row>
    <row r="172" spans="1:33" x14ac:dyDescent="0.25">
      <c r="A172" s="4" t="s">
        <v>132</v>
      </c>
      <c r="B172" s="4">
        <v>2019</v>
      </c>
      <c r="C172" s="4" t="s">
        <v>99</v>
      </c>
      <c r="D172" s="5">
        <f t="shared" si="30"/>
        <v>1</v>
      </c>
      <c r="E172" s="4">
        <v>48.2</v>
      </c>
      <c r="F172" s="4">
        <v>37.1</v>
      </c>
      <c r="G172" s="4">
        <v>55.4</v>
      </c>
      <c r="H172" s="4">
        <v>41.4</v>
      </c>
      <c r="I172" s="4">
        <v>69.5</v>
      </c>
      <c r="J172" s="4">
        <v>1324.8</v>
      </c>
      <c r="K172" s="4">
        <v>143.30000000000001</v>
      </c>
      <c r="L172" s="4">
        <v>6.7229999999999999</v>
      </c>
      <c r="M172" s="4">
        <v>64.44</v>
      </c>
      <c r="N172" s="4">
        <v>37.700000000000003</v>
      </c>
      <c r="O172" s="4">
        <v>27.5</v>
      </c>
      <c r="P172" s="4">
        <v>36753.1</v>
      </c>
      <c r="Q172" s="6">
        <f t="shared" si="31"/>
        <v>27.742376207729468</v>
      </c>
      <c r="R172" s="4">
        <v>32</v>
      </c>
      <c r="S172" s="4">
        <v>7</v>
      </c>
      <c r="T172" s="6">
        <f t="shared" si="32"/>
        <v>2.943840579710145</v>
      </c>
      <c r="U172" s="4">
        <v>4768.3</v>
      </c>
      <c r="V172" s="7">
        <f t="shared" si="33"/>
        <v>3.8753590210565547</v>
      </c>
      <c r="W172" s="7">
        <f t="shared" si="34"/>
        <v>4.9649403348341261</v>
      </c>
      <c r="X172" s="7">
        <f t="shared" si="35"/>
        <v>3.322961071193907</v>
      </c>
      <c r="Y172" s="7">
        <f t="shared" si="36"/>
        <v>8.4699548225893668</v>
      </c>
      <c r="Z172" s="7">
        <f t="shared" si="22"/>
        <v>4.8426110420031252</v>
      </c>
      <c r="AA172" s="7">
        <f t="shared" si="23"/>
        <v>6.484</v>
      </c>
      <c r="AB172" s="7">
        <f t="shared" si="24"/>
        <v>63.05</v>
      </c>
      <c r="AC172" s="7">
        <f t="shared" si="25"/>
        <v>35.6</v>
      </c>
      <c r="AD172" s="7">
        <f t="shared" si="26"/>
        <v>0</v>
      </c>
      <c r="AE172" s="7">
        <f t="shared" si="27"/>
        <v>3.1869330496974877</v>
      </c>
      <c r="AF172" s="7">
        <f t="shared" si="28"/>
        <v>2.45417593373725</v>
      </c>
      <c r="AG172" s="7">
        <f t="shared" si="29"/>
        <v>8.4721958254855014</v>
      </c>
    </row>
    <row r="173" spans="1:33" x14ac:dyDescent="0.25">
      <c r="A173" s="4" t="s">
        <v>133</v>
      </c>
      <c r="B173" s="4">
        <v>2019</v>
      </c>
      <c r="C173" s="4" t="s">
        <v>92</v>
      </c>
      <c r="D173" s="5">
        <f t="shared" si="30"/>
        <v>0</v>
      </c>
      <c r="E173" s="4">
        <v>30.7</v>
      </c>
      <c r="F173" s="4">
        <v>25</v>
      </c>
      <c r="G173" s="4">
        <v>32.9</v>
      </c>
      <c r="H173" s="4">
        <v>25.9</v>
      </c>
      <c r="I173" s="4">
        <v>51.1</v>
      </c>
      <c r="J173" s="4">
        <v>633.4</v>
      </c>
      <c r="K173" s="4">
        <v>50.3</v>
      </c>
      <c r="L173" s="4">
        <v>4.26</v>
      </c>
      <c r="M173" s="4">
        <v>31.01</v>
      </c>
      <c r="N173" s="4">
        <v>23.2</v>
      </c>
      <c r="O173" s="4">
        <v>17.7</v>
      </c>
      <c r="P173" s="4">
        <v>10634.2</v>
      </c>
      <c r="Q173" s="6">
        <f t="shared" si="31"/>
        <v>16.789074834227979</v>
      </c>
      <c r="R173" s="4">
        <v>21</v>
      </c>
      <c r="S173" s="4">
        <v>1</v>
      </c>
      <c r="T173" s="6">
        <f t="shared" si="32"/>
        <v>3.4733185980423116</v>
      </c>
      <c r="U173" s="4">
        <v>134.19999999999999</v>
      </c>
      <c r="V173" s="7">
        <f t="shared" si="33"/>
        <v>3.4242626545931514</v>
      </c>
      <c r="W173" s="7">
        <f t="shared" si="34"/>
        <v>3.9180050771056933</v>
      </c>
      <c r="X173" s="7">
        <f t="shared" si="35"/>
        <v>2.8207283673811534</v>
      </c>
      <c r="Y173" s="7">
        <f t="shared" si="36"/>
        <v>4.9067551636088638</v>
      </c>
      <c r="Z173" s="7">
        <f t="shared" si="22"/>
        <v>3.8177123259569048</v>
      </c>
      <c r="AA173" s="7">
        <f t="shared" si="23"/>
        <v>4.1589999999999998</v>
      </c>
      <c r="AB173" s="7">
        <f t="shared" si="24"/>
        <v>30.68</v>
      </c>
      <c r="AC173" s="7">
        <f t="shared" si="25"/>
        <v>26</v>
      </c>
      <c r="AD173" s="7">
        <f t="shared" si="26"/>
        <v>0</v>
      </c>
      <c r="AE173" s="7">
        <f t="shared" si="27"/>
        <v>2.6771504970774469</v>
      </c>
      <c r="AF173" s="7">
        <f t="shared" si="28"/>
        <v>3.4937271716690486</v>
      </c>
      <c r="AG173" s="7">
        <f t="shared" si="29"/>
        <v>4.6249728132842707</v>
      </c>
    </row>
    <row r="174" spans="1:33" x14ac:dyDescent="0.25">
      <c r="A174" s="4" t="s">
        <v>134</v>
      </c>
      <c r="B174" s="4">
        <v>2019</v>
      </c>
      <c r="C174" s="4" t="s">
        <v>86</v>
      </c>
      <c r="D174" s="5">
        <f t="shared" si="30"/>
        <v>0</v>
      </c>
      <c r="E174" s="4"/>
      <c r="F174" s="4"/>
      <c r="G174" s="4"/>
      <c r="H174" s="4"/>
      <c r="I174" s="4"/>
      <c r="J174" s="4">
        <v>1199.5</v>
      </c>
      <c r="K174" s="4">
        <v>44.5</v>
      </c>
      <c r="L174" s="4">
        <v>2.0110000000000001</v>
      </c>
      <c r="M174" s="4">
        <v>32.39</v>
      </c>
      <c r="N174" s="4">
        <v>12.2</v>
      </c>
      <c r="O174" s="4">
        <v>11.9</v>
      </c>
      <c r="P174" s="4">
        <v>4381</v>
      </c>
      <c r="Q174" s="6">
        <f t="shared" si="31"/>
        <v>3.6523551479783243</v>
      </c>
      <c r="R174" s="4">
        <v>12</v>
      </c>
      <c r="S174" s="4">
        <v>2</v>
      </c>
      <c r="T174" s="6">
        <f t="shared" si="32"/>
        <v>1.1671529804085035</v>
      </c>
      <c r="U174" s="4">
        <v>206.3</v>
      </c>
      <c r="V174" s="7" t="str">
        <f t="shared" si="33"/>
        <v/>
      </c>
      <c r="W174" s="7">
        <f t="shared" si="34"/>
        <v>3.7954891891721947</v>
      </c>
      <c r="X174" s="7">
        <f t="shared" si="35"/>
        <v>1.2953722055341492</v>
      </c>
      <c r="Y174" s="7">
        <f t="shared" si="36"/>
        <v>5.3341670194417343</v>
      </c>
      <c r="Z174" s="7">
        <f t="shared" si="22"/>
        <v>3.7256934272366524</v>
      </c>
      <c r="AA174" s="7">
        <f t="shared" si="23"/>
        <v>1.923</v>
      </c>
      <c r="AB174" s="7">
        <f t="shared" si="24"/>
        <v>31.89</v>
      </c>
      <c r="AC174" s="7">
        <f t="shared" si="25"/>
        <v>11.4</v>
      </c>
      <c r="AD174" s="7">
        <f t="shared" si="26"/>
        <v>0</v>
      </c>
      <c r="AE174" s="7">
        <f t="shared" si="27"/>
        <v>1.1276376427330619</v>
      </c>
      <c r="AF174" s="7">
        <f t="shared" si="28"/>
        <v>0.90999338186631362</v>
      </c>
      <c r="AG174" s="7">
        <f t="shared" si="29"/>
        <v>5.2983173665480363</v>
      </c>
    </row>
    <row r="175" spans="1:33" x14ac:dyDescent="0.25">
      <c r="A175" s="4" t="s">
        <v>135</v>
      </c>
      <c r="B175" s="4">
        <v>2019</v>
      </c>
      <c r="C175" s="4" t="s">
        <v>96</v>
      </c>
      <c r="D175" s="5">
        <f t="shared" si="30"/>
        <v>0</v>
      </c>
      <c r="E175" s="4"/>
      <c r="F175" s="4"/>
      <c r="G175" s="4"/>
      <c r="H175" s="4"/>
      <c r="I175" s="4"/>
      <c r="J175" s="4">
        <v>1252.7</v>
      </c>
      <c r="K175" s="4">
        <v>39.700000000000003</v>
      </c>
      <c r="L175" s="4">
        <v>1.4410000000000001</v>
      </c>
      <c r="M175" s="4">
        <v>13.85</v>
      </c>
      <c r="N175" s="4">
        <v>11.2</v>
      </c>
      <c r="O175" s="4">
        <v>12.4</v>
      </c>
      <c r="P175" s="4">
        <v>5567.4</v>
      </c>
      <c r="Q175" s="6">
        <f t="shared" si="31"/>
        <v>4.4443202682206433</v>
      </c>
      <c r="R175" s="4">
        <v>6</v>
      </c>
      <c r="S175" s="4">
        <v>1</v>
      </c>
      <c r="T175" s="6">
        <f t="shared" si="32"/>
        <v>0.55879300710465385</v>
      </c>
      <c r="U175" s="4">
        <v>108.3</v>
      </c>
      <c r="V175" s="7" t="str">
        <f t="shared" si="33"/>
        <v/>
      </c>
      <c r="W175" s="7">
        <f t="shared" si="34"/>
        <v>3.6813511876931448</v>
      </c>
      <c r="X175" s="7">
        <f t="shared" si="35"/>
        <v>1.4916269367370423</v>
      </c>
      <c r="Y175" s="7">
        <f t="shared" si="36"/>
        <v>4.694096395182493</v>
      </c>
      <c r="Z175" s="7">
        <f t="shared" si="22"/>
        <v>3.6988297849671046</v>
      </c>
      <c r="AA175" s="7">
        <f t="shared" si="23"/>
        <v>1.401</v>
      </c>
      <c r="AB175" s="7">
        <f t="shared" si="24"/>
        <v>13.84</v>
      </c>
      <c r="AC175" s="7">
        <f t="shared" si="25"/>
        <v>14.9</v>
      </c>
      <c r="AD175" s="7">
        <f t="shared" si="26"/>
        <v>0</v>
      </c>
      <c r="AE175" s="7">
        <f t="shared" si="27"/>
        <v>1.4244040601401402</v>
      </c>
      <c r="AF175" s="7">
        <f t="shared" si="28"/>
        <v>0.56767496553401997</v>
      </c>
      <c r="AG175" s="7">
        <f t="shared" si="29"/>
        <v>4.7095302013123339</v>
      </c>
    </row>
    <row r="176" spans="1:33" x14ac:dyDescent="0.25">
      <c r="A176" s="4" t="s">
        <v>136</v>
      </c>
      <c r="B176" s="4">
        <v>2019</v>
      </c>
      <c r="C176" s="4" t="s">
        <v>88</v>
      </c>
      <c r="D176" s="5">
        <f t="shared" si="30"/>
        <v>1</v>
      </c>
      <c r="E176" s="4">
        <v>86.8</v>
      </c>
      <c r="F176" s="4">
        <v>86.8</v>
      </c>
      <c r="G176" s="4">
        <v>87.2</v>
      </c>
      <c r="H176" s="4">
        <v>87.3</v>
      </c>
      <c r="I176" s="4">
        <v>84.2</v>
      </c>
      <c r="J176" s="4">
        <v>9038.6</v>
      </c>
      <c r="K176" s="4">
        <v>148.69999999999999</v>
      </c>
      <c r="L176" s="4">
        <v>26.510999999999999</v>
      </c>
      <c r="M176" s="4">
        <v>79.23</v>
      </c>
      <c r="N176" s="4">
        <v>37.1</v>
      </c>
      <c r="O176" s="4">
        <v>54.3</v>
      </c>
      <c r="P176" s="4">
        <v>119766.9</v>
      </c>
      <c r="Q176" s="6">
        <f t="shared" si="31"/>
        <v>13.250602969486424</v>
      </c>
      <c r="R176" s="4">
        <v>206</v>
      </c>
      <c r="S176" s="4">
        <v>49</v>
      </c>
      <c r="T176" s="6">
        <f t="shared" si="32"/>
        <v>2.821233376850397</v>
      </c>
      <c r="U176" s="4">
        <v>5241.8999999999996</v>
      </c>
      <c r="V176" s="7">
        <f t="shared" si="33"/>
        <v>4.4636066216663046</v>
      </c>
      <c r="W176" s="7">
        <f t="shared" si="34"/>
        <v>5.0019308534661091</v>
      </c>
      <c r="X176" s="7">
        <f t="shared" si="35"/>
        <v>2.5840430585278642</v>
      </c>
      <c r="Y176" s="7">
        <f t="shared" si="36"/>
        <v>8.5646300593408586</v>
      </c>
      <c r="Z176" s="7">
        <f t="shared" si="22"/>
        <v>4.9330340480727042</v>
      </c>
      <c r="AA176" s="7">
        <f t="shared" si="23"/>
        <v>25.812999999999999</v>
      </c>
      <c r="AB176" s="7">
        <f t="shared" si="24"/>
        <v>79.67</v>
      </c>
      <c r="AC176" s="7">
        <f t="shared" si="25"/>
        <v>36.799999999999997</v>
      </c>
      <c r="AD176" s="7">
        <f t="shared" si="26"/>
        <v>0</v>
      </c>
      <c r="AE176" s="7">
        <f t="shared" si="27"/>
        <v>2.4836808520646083</v>
      </c>
      <c r="AF176" s="7">
        <f t="shared" si="28"/>
        <v>2.8157228152704898</v>
      </c>
      <c r="AG176" s="7">
        <f t="shared" si="29"/>
        <v>8.5392677457345485</v>
      </c>
    </row>
    <row r="177" spans="1:33" x14ac:dyDescent="0.25">
      <c r="A177" s="4" t="s">
        <v>137</v>
      </c>
      <c r="B177" s="4">
        <v>2019</v>
      </c>
      <c r="C177" s="4" t="s">
        <v>92</v>
      </c>
      <c r="D177" s="5">
        <f t="shared" si="30"/>
        <v>0</v>
      </c>
      <c r="E177" s="4">
        <v>38.4</v>
      </c>
      <c r="F177" s="4">
        <v>35.700000000000003</v>
      </c>
      <c r="G177" s="4">
        <v>42.1</v>
      </c>
      <c r="H177" s="4">
        <v>30.5</v>
      </c>
      <c r="I177" s="4">
        <v>58.7</v>
      </c>
      <c r="J177" s="4">
        <v>3645.8</v>
      </c>
      <c r="K177" s="4">
        <v>48.3</v>
      </c>
      <c r="L177" s="4">
        <v>3.226</v>
      </c>
      <c r="M177" s="4">
        <v>15.01</v>
      </c>
      <c r="N177" s="4">
        <v>19.399999999999999</v>
      </c>
      <c r="O177" s="4">
        <v>16.7</v>
      </c>
      <c r="P177" s="4">
        <v>54223.5</v>
      </c>
      <c r="Q177" s="6">
        <f t="shared" si="31"/>
        <v>14.872867409073454</v>
      </c>
      <c r="R177" s="4">
        <v>20</v>
      </c>
      <c r="S177" s="4">
        <v>2</v>
      </c>
      <c r="T177" s="6">
        <f t="shared" si="32"/>
        <v>0.60343408854023806</v>
      </c>
      <c r="U177" s="4">
        <v>3892.5</v>
      </c>
      <c r="V177" s="7">
        <f t="shared" si="33"/>
        <v>3.648057459593681</v>
      </c>
      <c r="W177" s="7">
        <f t="shared" si="34"/>
        <v>3.8774315606585268</v>
      </c>
      <c r="X177" s="7">
        <f t="shared" si="35"/>
        <v>2.6995385736963504</v>
      </c>
      <c r="Y177" s="7">
        <f t="shared" si="36"/>
        <v>8.267063775017041</v>
      </c>
      <c r="Z177" s="7">
        <f t="shared" si="22"/>
        <v>3.6963514689526371</v>
      </c>
      <c r="AA177" s="7">
        <f t="shared" si="23"/>
        <v>3.0640000000000001</v>
      </c>
      <c r="AB177" s="7">
        <f t="shared" si="24"/>
        <v>14.42</v>
      </c>
      <c r="AC177" s="7">
        <f t="shared" si="25"/>
        <v>19.399999999999999</v>
      </c>
      <c r="AD177" s="7">
        <f t="shared" si="26"/>
        <v>0</v>
      </c>
      <c r="AE177" s="7">
        <f t="shared" si="27"/>
        <v>2.6448765277619044</v>
      </c>
      <c r="AF177" s="7">
        <f t="shared" si="28"/>
        <v>0.55076694296808304</v>
      </c>
      <c r="AG177" s="7">
        <f t="shared" si="29"/>
        <v>8.2471152529128133</v>
      </c>
    </row>
    <row r="178" spans="1:33" x14ac:dyDescent="0.25">
      <c r="A178" s="4" t="s">
        <v>138</v>
      </c>
      <c r="B178" s="4">
        <v>2019</v>
      </c>
      <c r="C178" s="4" t="s">
        <v>99</v>
      </c>
      <c r="D178" s="5">
        <f t="shared" si="30"/>
        <v>1</v>
      </c>
      <c r="E178" s="4">
        <v>37.799999999999997</v>
      </c>
      <c r="F178" s="4">
        <v>34.700000000000003</v>
      </c>
      <c r="G178" s="4">
        <v>38.6</v>
      </c>
      <c r="H178" s="4">
        <v>30.5</v>
      </c>
      <c r="I178" s="4">
        <v>67.3</v>
      </c>
      <c r="J178" s="4">
        <v>1862.2</v>
      </c>
      <c r="K178" s="4">
        <v>45.2</v>
      </c>
      <c r="L178" s="4">
        <v>2.68</v>
      </c>
      <c r="M178" s="4">
        <v>10.58</v>
      </c>
      <c r="N178" s="4">
        <v>15.3</v>
      </c>
      <c r="O178" s="4">
        <v>14.4</v>
      </c>
      <c r="P178" s="4">
        <v>7799.2</v>
      </c>
      <c r="Q178" s="6">
        <f t="shared" si="31"/>
        <v>4.1881645365696487</v>
      </c>
      <c r="R178" s="4">
        <v>12</v>
      </c>
      <c r="S178" s="4">
        <v>1</v>
      </c>
      <c r="T178" s="6">
        <f t="shared" si="32"/>
        <v>0.69809902266136825</v>
      </c>
      <c r="U178" s="4">
        <v>379.3</v>
      </c>
      <c r="V178" s="7">
        <f t="shared" si="33"/>
        <v>3.6323091026255421</v>
      </c>
      <c r="W178" s="7">
        <f t="shared" si="34"/>
        <v>3.8110970868381857</v>
      </c>
      <c r="X178" s="7">
        <f t="shared" si="35"/>
        <v>1.4322625798606323</v>
      </c>
      <c r="Y178" s="7">
        <f t="shared" si="36"/>
        <v>5.9409604149342137</v>
      </c>
      <c r="Z178" s="7">
        <f t="shared" si="22"/>
        <v>3.6888794541139363</v>
      </c>
      <c r="AA178" s="7">
        <f t="shared" si="23"/>
        <v>2.609</v>
      </c>
      <c r="AB178" s="7">
        <f t="shared" si="24"/>
        <v>10.49</v>
      </c>
      <c r="AC178" s="7">
        <f t="shared" si="25"/>
        <v>18.399999999999999</v>
      </c>
      <c r="AD178" s="7">
        <f t="shared" si="26"/>
        <v>0</v>
      </c>
      <c r="AE178" s="7">
        <f t="shared" si="27"/>
        <v>1.2475175867241108</v>
      </c>
      <c r="AF178" s="7">
        <f t="shared" si="28"/>
        <v>0.5932797583733348</v>
      </c>
      <c r="AG178" s="7">
        <f t="shared" si="29"/>
        <v>5.85821882796062</v>
      </c>
    </row>
    <row r="179" spans="1:33" x14ac:dyDescent="0.25">
      <c r="A179" s="4" t="s">
        <v>139</v>
      </c>
      <c r="B179" s="4">
        <v>2019</v>
      </c>
      <c r="C179" s="4" t="s">
        <v>96</v>
      </c>
      <c r="D179" s="5">
        <f t="shared" si="30"/>
        <v>0</v>
      </c>
      <c r="E179" s="4">
        <v>36.5</v>
      </c>
      <c r="F179" s="4">
        <v>36.700000000000003</v>
      </c>
      <c r="G179" s="4">
        <v>35.1</v>
      </c>
      <c r="H179" s="4">
        <v>29.4</v>
      </c>
      <c r="I179" s="4">
        <v>66.2</v>
      </c>
      <c r="J179" s="4">
        <v>1290.9000000000001</v>
      </c>
      <c r="K179" s="4">
        <v>90.9</v>
      </c>
      <c r="L179" s="4">
        <v>3.5059999999999998</v>
      </c>
      <c r="M179" s="4">
        <v>32.06</v>
      </c>
      <c r="N179" s="4">
        <v>27.2</v>
      </c>
      <c r="O179" s="4">
        <v>23.8</v>
      </c>
      <c r="P179" s="4">
        <v>33944.400000000001</v>
      </c>
      <c r="Q179" s="6">
        <f t="shared" si="31"/>
        <v>26.295142923541714</v>
      </c>
      <c r="R179" s="4">
        <v>26</v>
      </c>
      <c r="S179" s="4">
        <v>6</v>
      </c>
      <c r="T179" s="6">
        <f t="shared" si="32"/>
        <v>2.4788906964133552</v>
      </c>
      <c r="U179" s="4">
        <v>6413.8</v>
      </c>
      <c r="V179" s="7">
        <f t="shared" si="33"/>
        <v>3.597312260588446</v>
      </c>
      <c r="W179" s="7">
        <f t="shared" si="34"/>
        <v>4.5097600011834329</v>
      </c>
      <c r="X179" s="7">
        <f t="shared" si="35"/>
        <v>3.2693842424150779</v>
      </c>
      <c r="Y179" s="7">
        <f t="shared" si="36"/>
        <v>8.7663630996346544</v>
      </c>
      <c r="Z179" s="7">
        <f t="shared" si="22"/>
        <v>4.4391156016580089</v>
      </c>
      <c r="AA179" s="7">
        <f t="shared" si="23"/>
        <v>3.3250000000000002</v>
      </c>
      <c r="AB179" s="7">
        <f t="shared" si="24"/>
        <v>31.82</v>
      </c>
      <c r="AC179" s="7">
        <f t="shared" si="25"/>
        <v>24.7</v>
      </c>
      <c r="AD179" s="7">
        <f t="shared" si="26"/>
        <v>0</v>
      </c>
      <c r="AE179" s="7">
        <f t="shared" si="27"/>
        <v>3.2310904939974567</v>
      </c>
      <c r="AF179" s="7">
        <f t="shared" si="28"/>
        <v>2.6695979899497488</v>
      </c>
      <c r="AG179" s="7">
        <f t="shared" si="29"/>
        <v>8.7119866497055121</v>
      </c>
    </row>
    <row r="180" spans="1:33" x14ac:dyDescent="0.25">
      <c r="A180" s="4" t="s">
        <v>140</v>
      </c>
      <c r="B180" s="4">
        <v>2019</v>
      </c>
      <c r="C180" s="4" t="s">
        <v>92</v>
      </c>
      <c r="D180" s="5">
        <f t="shared" si="30"/>
        <v>0</v>
      </c>
      <c r="E180" s="4">
        <v>40.5</v>
      </c>
      <c r="F180" s="4">
        <v>35.4</v>
      </c>
      <c r="G180" s="4">
        <v>47.8</v>
      </c>
      <c r="H180" s="4">
        <v>27</v>
      </c>
      <c r="I180" s="4">
        <v>72.5</v>
      </c>
      <c r="J180" s="4">
        <v>1129.5</v>
      </c>
      <c r="K180" s="4">
        <v>46.8</v>
      </c>
      <c r="L180" s="4">
        <v>3.9390000000000001</v>
      </c>
      <c r="M180" s="4">
        <v>49.88</v>
      </c>
      <c r="N180" s="4">
        <v>22.7</v>
      </c>
      <c r="O180" s="4">
        <v>23.2</v>
      </c>
      <c r="P180" s="4"/>
      <c r="Q180" s="6" t="str">
        <f t="shared" si="31"/>
        <v/>
      </c>
      <c r="R180" s="4">
        <v>0</v>
      </c>
      <c r="S180" s="4">
        <v>0</v>
      </c>
      <c r="T180" s="6">
        <f t="shared" si="32"/>
        <v>0</v>
      </c>
      <c r="U180" s="4">
        <v>3414.1</v>
      </c>
      <c r="V180" s="7">
        <f t="shared" si="33"/>
        <v>3.7013019741124933</v>
      </c>
      <c r="W180" s="7">
        <f t="shared" si="34"/>
        <v>3.8458832029236012</v>
      </c>
      <c r="X180" s="7" t="str">
        <f t="shared" si="35"/>
        <v/>
      </c>
      <c r="Y180" s="7">
        <f t="shared" si="36"/>
        <v>8.1359620541530315</v>
      </c>
      <c r="Z180" s="7">
        <f t="shared" si="22"/>
        <v>3.7495040759303713</v>
      </c>
      <c r="AA180" s="7">
        <f t="shared" si="23"/>
        <v>3.8239999999999998</v>
      </c>
      <c r="AB180" s="7">
        <f t="shared" si="24"/>
        <v>48.7</v>
      </c>
      <c r="AC180" s="7">
        <f t="shared" si="25"/>
        <v>22.7</v>
      </c>
      <c r="AD180" s="7">
        <f t="shared" si="26"/>
        <v>0</v>
      </c>
      <c r="AE180" s="7" t="str">
        <f t="shared" si="27"/>
        <v/>
      </c>
      <c r="AF180" s="7">
        <f t="shared" si="28"/>
        <v>0</v>
      </c>
      <c r="AG180" s="7">
        <f t="shared" si="29"/>
        <v>8.0529012195558014</v>
      </c>
    </row>
    <row r="181" spans="1:33" x14ac:dyDescent="0.25">
      <c r="A181" s="4" t="s">
        <v>141</v>
      </c>
      <c r="B181" s="4">
        <v>2019</v>
      </c>
      <c r="C181" s="4" t="s">
        <v>86</v>
      </c>
      <c r="D181" s="5">
        <f t="shared" si="30"/>
        <v>0</v>
      </c>
      <c r="E181" s="4">
        <v>35.6</v>
      </c>
      <c r="F181" s="4">
        <v>35.1</v>
      </c>
      <c r="G181" s="4">
        <v>41.3</v>
      </c>
      <c r="H181" s="4">
        <v>19.3</v>
      </c>
      <c r="I181" s="4">
        <v>73.5</v>
      </c>
      <c r="J181" s="4">
        <v>1766.3</v>
      </c>
      <c r="K181" s="4">
        <v>54.6</v>
      </c>
      <c r="L181" s="4">
        <v>2.5539999999999998</v>
      </c>
      <c r="M181" s="4">
        <v>14</v>
      </c>
      <c r="N181" s="4">
        <v>11.7</v>
      </c>
      <c r="O181" s="4">
        <v>18.899999999999999</v>
      </c>
      <c r="P181" s="4">
        <v>4917.7</v>
      </c>
      <c r="Q181" s="6">
        <f t="shared" si="31"/>
        <v>2.7841816226009173</v>
      </c>
      <c r="R181" s="4">
        <v>13</v>
      </c>
      <c r="S181" s="4">
        <v>1</v>
      </c>
      <c r="T181" s="6">
        <f t="shared" si="32"/>
        <v>0.79261733567344161</v>
      </c>
      <c r="U181" s="4">
        <v>1461.4</v>
      </c>
      <c r="V181" s="7">
        <f t="shared" si="33"/>
        <v>3.572345637857985</v>
      </c>
      <c r="W181" s="7">
        <f t="shared" si="34"/>
        <v>4.0000338827508592</v>
      </c>
      <c r="X181" s="7">
        <f t="shared" si="35"/>
        <v>1.0239539783474703</v>
      </c>
      <c r="Y181" s="7">
        <f t="shared" si="36"/>
        <v>7.2878342006998853</v>
      </c>
      <c r="Z181" s="7">
        <f t="shared" si="22"/>
        <v>3.9219733362813143</v>
      </c>
      <c r="AA181" s="7">
        <f t="shared" si="23"/>
        <v>2.4710000000000001</v>
      </c>
      <c r="AB181" s="7">
        <f t="shared" si="24"/>
        <v>14</v>
      </c>
      <c r="AC181" s="7">
        <f t="shared" si="25"/>
        <v>11.8</v>
      </c>
      <c r="AD181" s="7">
        <f t="shared" si="26"/>
        <v>0</v>
      </c>
      <c r="AE181" s="7">
        <f t="shared" si="27"/>
        <v>0.98220684953706361</v>
      </c>
      <c r="AF181" s="7">
        <f t="shared" si="28"/>
        <v>0.79586152009550348</v>
      </c>
      <c r="AG181" s="7">
        <f t="shared" si="29"/>
        <v>7.1285761349267016</v>
      </c>
    </row>
    <row r="182" spans="1:33" x14ac:dyDescent="0.25">
      <c r="A182" s="4" t="s">
        <v>142</v>
      </c>
      <c r="B182" s="4">
        <v>2019</v>
      </c>
      <c r="C182" s="4" t="s">
        <v>86</v>
      </c>
      <c r="D182" s="5">
        <f t="shared" si="30"/>
        <v>0</v>
      </c>
      <c r="E182" s="4">
        <v>30.9</v>
      </c>
      <c r="F182" s="4">
        <v>28</v>
      </c>
      <c r="G182" s="4">
        <v>38.4</v>
      </c>
      <c r="H182" s="4">
        <v>17.7</v>
      </c>
      <c r="I182" s="4">
        <v>56.3</v>
      </c>
      <c r="J182" s="4">
        <v>1009.3</v>
      </c>
      <c r="K182" s="4">
        <v>58.9</v>
      </c>
      <c r="L182" s="4">
        <v>2.0179999999999998</v>
      </c>
      <c r="M182" s="4">
        <v>17.25</v>
      </c>
      <c r="N182" s="4">
        <v>11.8</v>
      </c>
      <c r="O182" s="4">
        <v>14.1</v>
      </c>
      <c r="P182" s="4">
        <v>5280.6</v>
      </c>
      <c r="Q182" s="6">
        <f t="shared" si="31"/>
        <v>5.231942930744081</v>
      </c>
      <c r="R182" s="4">
        <v>7</v>
      </c>
      <c r="S182" s="4">
        <v>1</v>
      </c>
      <c r="T182" s="6">
        <f t="shared" si="32"/>
        <v>0.79262855444367386</v>
      </c>
      <c r="U182" s="4">
        <v>3300</v>
      </c>
      <c r="V182" s="7">
        <f t="shared" si="33"/>
        <v>3.4307561839036995</v>
      </c>
      <c r="W182" s="7">
        <f t="shared" si="34"/>
        <v>4.0758410906575406</v>
      </c>
      <c r="X182" s="7">
        <f t="shared" si="35"/>
        <v>1.6547827063630074</v>
      </c>
      <c r="Y182" s="7">
        <f t="shared" si="36"/>
        <v>8.1019807318531925</v>
      </c>
      <c r="Z182" s="7">
        <f t="shared" si="22"/>
        <v>3.9796816539019608</v>
      </c>
      <c r="AA182" s="7">
        <f t="shared" si="23"/>
        <v>1.8620000000000001</v>
      </c>
      <c r="AB182" s="7">
        <f t="shared" si="24"/>
        <v>17.05</v>
      </c>
      <c r="AC182" s="7">
        <f t="shared" si="25"/>
        <v>10.9</v>
      </c>
      <c r="AD182" s="7">
        <f t="shared" si="26"/>
        <v>0</v>
      </c>
      <c r="AE182" s="7">
        <f t="shared" si="27"/>
        <v>1.5372679135724769</v>
      </c>
      <c r="AF182" s="7">
        <f t="shared" si="28"/>
        <v>0.79302141157811257</v>
      </c>
      <c r="AG182" s="7">
        <f t="shared" si="29"/>
        <v>8.0721553081882504</v>
      </c>
    </row>
    <row r="183" spans="1:33" x14ac:dyDescent="0.25">
      <c r="A183" s="4" t="s">
        <v>143</v>
      </c>
      <c r="B183" s="4">
        <v>2019</v>
      </c>
      <c r="C183" s="4" t="s">
        <v>96</v>
      </c>
      <c r="D183" s="5">
        <f t="shared" si="30"/>
        <v>0</v>
      </c>
      <c r="E183" s="4">
        <v>28.9</v>
      </c>
      <c r="F183" s="4">
        <v>27.5</v>
      </c>
      <c r="G183" s="4">
        <v>27.7</v>
      </c>
      <c r="H183" s="4">
        <v>20.5</v>
      </c>
      <c r="I183" s="4">
        <v>65</v>
      </c>
      <c r="J183" s="4">
        <v>786.3</v>
      </c>
      <c r="K183" s="4">
        <v>39.6</v>
      </c>
      <c r="L183" s="4">
        <v>1.69</v>
      </c>
      <c r="M183" s="4">
        <v>13.81</v>
      </c>
      <c r="N183" s="4">
        <v>20.7</v>
      </c>
      <c r="O183" s="4">
        <v>14.3</v>
      </c>
      <c r="P183" s="4">
        <v>15634.7</v>
      </c>
      <c r="Q183" s="6">
        <f t="shared" si="31"/>
        <v>19.883886557293657</v>
      </c>
      <c r="R183" s="4">
        <v>7</v>
      </c>
      <c r="S183" s="4">
        <v>1</v>
      </c>
      <c r="T183" s="6">
        <f t="shared" si="32"/>
        <v>1.0174233753020476</v>
      </c>
      <c r="U183" s="4">
        <v>259.60000000000002</v>
      </c>
      <c r="V183" s="7">
        <f t="shared" si="33"/>
        <v>3.3638415951183864</v>
      </c>
      <c r="W183" s="7">
        <f t="shared" si="34"/>
        <v>3.6788291182604347</v>
      </c>
      <c r="X183" s="7">
        <f t="shared" si="35"/>
        <v>2.9899096829905254</v>
      </c>
      <c r="Y183" s="7">
        <f t="shared" si="36"/>
        <v>5.5629866646907447</v>
      </c>
      <c r="Z183" s="7">
        <f t="shared" si="22"/>
        <v>3.5890591188317256</v>
      </c>
      <c r="AA183" s="7">
        <f t="shared" si="23"/>
        <v>1.6379999999999999</v>
      </c>
      <c r="AB183" s="7">
        <f t="shared" si="24"/>
        <v>13.74</v>
      </c>
      <c r="AC183" s="7">
        <f t="shared" si="25"/>
        <v>19.399999999999999</v>
      </c>
      <c r="AD183" s="7">
        <f t="shared" si="26"/>
        <v>0</v>
      </c>
      <c r="AE183" s="7">
        <f t="shared" si="27"/>
        <v>3.0606120251719737</v>
      </c>
      <c r="AF183" s="7">
        <f t="shared" si="28"/>
        <v>1.0278812797121932</v>
      </c>
      <c r="AG183" s="7">
        <f t="shared" si="29"/>
        <v>5.4847969334906548</v>
      </c>
    </row>
    <row r="184" spans="1:33" x14ac:dyDescent="0.25">
      <c r="A184" s="4" t="s">
        <v>144</v>
      </c>
      <c r="B184" s="4">
        <v>2019</v>
      </c>
      <c r="C184" s="4" t="s">
        <v>88</v>
      </c>
      <c r="D184" s="5">
        <f t="shared" si="30"/>
        <v>1</v>
      </c>
      <c r="E184" s="4">
        <v>38.700000000000003</v>
      </c>
      <c r="F184" s="4">
        <v>28.6</v>
      </c>
      <c r="G184" s="4">
        <v>50.7</v>
      </c>
      <c r="H184" s="4">
        <v>23.1</v>
      </c>
      <c r="I184" s="4">
        <v>71.599999999999994</v>
      </c>
      <c r="J184" s="4">
        <v>1171.7</v>
      </c>
      <c r="K184" s="4">
        <v>70.599999999999994</v>
      </c>
      <c r="L184" s="4">
        <v>3.41</v>
      </c>
      <c r="M184" s="4">
        <v>17.78</v>
      </c>
      <c r="N184" s="4">
        <v>12.7</v>
      </c>
      <c r="O184" s="4">
        <v>15.2</v>
      </c>
      <c r="P184" s="4">
        <v>15624</v>
      </c>
      <c r="Q184" s="6">
        <f t="shared" si="31"/>
        <v>13.334471281044635</v>
      </c>
      <c r="R184" s="4">
        <v>12</v>
      </c>
      <c r="S184" s="4">
        <v>2</v>
      </c>
      <c r="T184" s="6">
        <f t="shared" si="32"/>
        <v>1.1948450968677991</v>
      </c>
      <c r="U184" s="4">
        <v>5966</v>
      </c>
      <c r="V184" s="7">
        <f t="shared" si="33"/>
        <v>3.655839600035736</v>
      </c>
      <c r="W184" s="7">
        <f t="shared" si="34"/>
        <v>4.257030144499196</v>
      </c>
      <c r="X184" s="7">
        <f t="shared" si="35"/>
        <v>2.5903525078824048</v>
      </c>
      <c r="Y184" s="7">
        <f t="shared" si="36"/>
        <v>8.6939995675220825</v>
      </c>
      <c r="Z184" s="7">
        <f t="shared" si="22"/>
        <v>4.133565275375382</v>
      </c>
      <c r="AA184" s="7">
        <f t="shared" si="23"/>
        <v>3.31</v>
      </c>
      <c r="AB184" s="7">
        <f t="shared" si="24"/>
        <v>17.899999999999999</v>
      </c>
      <c r="AC184" s="7">
        <f t="shared" si="25"/>
        <v>14.8</v>
      </c>
      <c r="AD184" s="7">
        <f t="shared" si="26"/>
        <v>0</v>
      </c>
      <c r="AE184" s="7">
        <f t="shared" si="27"/>
        <v>2.5225012483603204</v>
      </c>
      <c r="AF184" s="7">
        <f t="shared" si="28"/>
        <v>0.86154906521926422</v>
      </c>
      <c r="AG184" s="7">
        <f t="shared" si="29"/>
        <v>8.516753094587834</v>
      </c>
    </row>
    <row r="185" spans="1:33" x14ac:dyDescent="0.25">
      <c r="A185" s="4" t="s">
        <v>145</v>
      </c>
      <c r="B185" s="4">
        <v>2019</v>
      </c>
      <c r="C185" s="4" t="s">
        <v>86</v>
      </c>
      <c r="D185" s="5">
        <f t="shared" si="30"/>
        <v>0</v>
      </c>
      <c r="E185" s="4">
        <v>31.4</v>
      </c>
      <c r="F185" s="4">
        <v>34.1</v>
      </c>
      <c r="G185" s="4">
        <v>38.4</v>
      </c>
      <c r="H185" s="4">
        <v>19.2</v>
      </c>
      <c r="I185" s="4">
        <v>43.8</v>
      </c>
      <c r="J185" s="4">
        <v>1022.6</v>
      </c>
      <c r="K185" s="4">
        <v>52.9</v>
      </c>
      <c r="L185" s="4">
        <v>2.4279999999999999</v>
      </c>
      <c r="M185" s="4">
        <v>16.600000000000001</v>
      </c>
      <c r="N185" s="4">
        <v>15.3</v>
      </c>
      <c r="O185" s="4">
        <v>15.8</v>
      </c>
      <c r="P185" s="4">
        <v>1865</v>
      </c>
      <c r="Q185" s="6">
        <f t="shared" si="31"/>
        <v>1.8237825151574418</v>
      </c>
      <c r="R185" s="4">
        <v>6</v>
      </c>
      <c r="S185" s="4">
        <v>0</v>
      </c>
      <c r="T185" s="6">
        <f t="shared" si="32"/>
        <v>0.58673968316057112</v>
      </c>
      <c r="U185" s="4">
        <v>725.2</v>
      </c>
      <c r="V185" s="7">
        <f t="shared" si="33"/>
        <v>3.4468078929142076</v>
      </c>
      <c r="W185" s="7">
        <f t="shared" si="34"/>
        <v>3.9684033388642534</v>
      </c>
      <c r="X185" s="7">
        <f t="shared" si="35"/>
        <v>0.60091264943201705</v>
      </c>
      <c r="Y185" s="7">
        <f t="shared" si="36"/>
        <v>6.5878254589802356</v>
      </c>
      <c r="Z185" s="7">
        <f t="shared" si="22"/>
        <v>3.8732821771117156</v>
      </c>
      <c r="AA185" s="7">
        <f t="shared" si="23"/>
        <v>2.4</v>
      </c>
      <c r="AB185" s="7">
        <f t="shared" si="24"/>
        <v>16.59</v>
      </c>
      <c r="AC185" s="7">
        <f t="shared" si="25"/>
        <v>18.100000000000001</v>
      </c>
      <c r="AD185" s="7">
        <f t="shared" si="26"/>
        <v>0</v>
      </c>
      <c r="AE185" s="7">
        <f t="shared" si="27"/>
        <v>0.49097606078342659</v>
      </c>
      <c r="AF185" s="7">
        <f t="shared" si="28"/>
        <v>0.68446269678302529</v>
      </c>
      <c r="AG185" s="7">
        <f t="shared" si="29"/>
        <v>6.3841820823936439</v>
      </c>
    </row>
    <row r="186" spans="1:33" x14ac:dyDescent="0.25">
      <c r="A186" s="4" t="s">
        <v>146</v>
      </c>
      <c r="B186" s="4">
        <v>2019</v>
      </c>
      <c r="C186" s="4" t="s">
        <v>99</v>
      </c>
      <c r="D186" s="5">
        <f t="shared" si="30"/>
        <v>1</v>
      </c>
      <c r="E186" s="4">
        <v>43.5</v>
      </c>
      <c r="F186" s="4">
        <v>35.200000000000003</v>
      </c>
      <c r="G186" s="4">
        <v>44.5</v>
      </c>
      <c r="H186" s="4">
        <v>39.1</v>
      </c>
      <c r="I186" s="4">
        <v>71.900000000000006</v>
      </c>
      <c r="J186" s="4">
        <v>1154.8</v>
      </c>
      <c r="K186" s="4">
        <v>102.5</v>
      </c>
      <c r="L186" s="4">
        <v>6.1210000000000004</v>
      </c>
      <c r="M186" s="4">
        <v>25.56</v>
      </c>
      <c r="N186" s="4">
        <v>24.9</v>
      </c>
      <c r="O186" s="4">
        <v>27.9</v>
      </c>
      <c r="P186" s="4">
        <v>25474.400000000001</v>
      </c>
      <c r="Q186" s="6">
        <f t="shared" si="31"/>
        <v>22.059577416002774</v>
      </c>
      <c r="R186" s="4">
        <v>7</v>
      </c>
      <c r="S186" s="4">
        <v>2</v>
      </c>
      <c r="T186" s="6">
        <f t="shared" si="32"/>
        <v>0.77935573259438873</v>
      </c>
      <c r="U186" s="4">
        <v>4398.1000000000004</v>
      </c>
      <c r="V186" s="7">
        <f t="shared" si="33"/>
        <v>3.7727609380946383</v>
      </c>
      <c r="W186" s="7">
        <f t="shared" si="34"/>
        <v>4.6298627985784631</v>
      </c>
      <c r="X186" s="7">
        <f t="shared" si="35"/>
        <v>3.0937468575223277</v>
      </c>
      <c r="Y186" s="7">
        <f t="shared" si="36"/>
        <v>8.3891552535295322</v>
      </c>
      <c r="Z186" s="7">
        <f t="shared" si="22"/>
        <v>4.5485998344996972</v>
      </c>
      <c r="AA186" s="7">
        <f t="shared" si="23"/>
        <v>5.62</v>
      </c>
      <c r="AB186" s="7">
        <f t="shared" si="24"/>
        <v>25.05</v>
      </c>
      <c r="AC186" s="7">
        <f t="shared" si="25"/>
        <v>22.4</v>
      </c>
      <c r="AD186" s="7">
        <f t="shared" si="26"/>
        <v>0</v>
      </c>
      <c r="AE186" s="7">
        <f t="shared" si="27"/>
        <v>3.0573898039259118</v>
      </c>
      <c r="AF186" s="7">
        <f t="shared" si="28"/>
        <v>0.70274068868587491</v>
      </c>
      <c r="AG186" s="7">
        <f t="shared" si="29"/>
        <v>8.2884590417887836</v>
      </c>
    </row>
    <row r="187" spans="1:33" x14ac:dyDescent="0.25">
      <c r="A187" s="4" t="s">
        <v>147</v>
      </c>
      <c r="B187" s="4">
        <v>2019</v>
      </c>
      <c r="C187" s="4" t="s">
        <v>96</v>
      </c>
      <c r="D187" s="5">
        <f t="shared" si="30"/>
        <v>0</v>
      </c>
      <c r="E187" s="4">
        <v>32.700000000000003</v>
      </c>
      <c r="F187" s="4">
        <v>30.1</v>
      </c>
      <c r="G187" s="4">
        <v>31.8</v>
      </c>
      <c r="H187" s="4">
        <v>29.7</v>
      </c>
      <c r="I187" s="4">
        <v>52</v>
      </c>
      <c r="J187" s="4">
        <v>823</v>
      </c>
      <c r="K187" s="4">
        <v>37.1</v>
      </c>
      <c r="L187" s="4">
        <v>1.9550000000000001</v>
      </c>
      <c r="M187" s="4">
        <v>19.84</v>
      </c>
      <c r="N187" s="4">
        <v>17.5</v>
      </c>
      <c r="O187" s="4">
        <v>10.8</v>
      </c>
      <c r="P187" s="4">
        <v>10894.3</v>
      </c>
      <c r="Q187" s="6">
        <f t="shared" si="31"/>
        <v>13.23730255164034</v>
      </c>
      <c r="R187" s="4">
        <v>3</v>
      </c>
      <c r="S187" s="4">
        <v>1</v>
      </c>
      <c r="T187" s="6">
        <f t="shared" si="32"/>
        <v>0.48602673147023084</v>
      </c>
      <c r="U187" s="4">
        <v>476.3</v>
      </c>
      <c r="V187" s="7">
        <f t="shared" si="33"/>
        <v>3.487375077903208</v>
      </c>
      <c r="W187" s="7">
        <f t="shared" si="34"/>
        <v>3.6136169696133895</v>
      </c>
      <c r="X187" s="7">
        <f t="shared" si="35"/>
        <v>2.5830387949817473</v>
      </c>
      <c r="Y187" s="7">
        <f t="shared" si="36"/>
        <v>6.1681452240118508</v>
      </c>
      <c r="Z187" s="7">
        <f t="shared" si="22"/>
        <v>3.5234150143864045</v>
      </c>
      <c r="AA187" s="7">
        <f t="shared" si="23"/>
        <v>1.857</v>
      </c>
      <c r="AB187" s="7">
        <f t="shared" si="24"/>
        <v>19.87</v>
      </c>
      <c r="AC187" s="7">
        <f t="shared" si="25"/>
        <v>20</v>
      </c>
      <c r="AD187" s="7">
        <f t="shared" si="26"/>
        <v>0</v>
      </c>
      <c r="AE187" s="7">
        <f t="shared" si="27"/>
        <v>2.5654685903302572</v>
      </c>
      <c r="AF187" s="7">
        <f t="shared" si="28"/>
        <v>0.49103854652590229</v>
      </c>
      <c r="AG187" s="7">
        <f t="shared" si="29"/>
        <v>6.1670971157511403</v>
      </c>
    </row>
    <row r="188" spans="1:33" x14ac:dyDescent="0.25">
      <c r="A188" s="4" t="s">
        <v>148</v>
      </c>
      <c r="B188" s="4">
        <v>2019</v>
      </c>
      <c r="C188" s="4" t="s">
        <v>96</v>
      </c>
      <c r="D188" s="5">
        <f t="shared" si="30"/>
        <v>0</v>
      </c>
      <c r="E188" s="4"/>
      <c r="F188" s="4"/>
      <c r="G188" s="4"/>
      <c r="H188" s="4"/>
      <c r="I188" s="4"/>
      <c r="J188" s="4">
        <v>601.70000000000005</v>
      </c>
      <c r="K188" s="4">
        <v>32.1</v>
      </c>
      <c r="L188" s="4">
        <v>1.732</v>
      </c>
      <c r="M188" s="4">
        <v>14.39</v>
      </c>
      <c r="N188" s="4">
        <v>16.100000000000001</v>
      </c>
      <c r="O188" s="4">
        <v>9.4</v>
      </c>
      <c r="P188" s="4">
        <v>2033.7</v>
      </c>
      <c r="Q188" s="6">
        <f t="shared" si="31"/>
        <v>3.3799235499418314</v>
      </c>
      <c r="R188" s="4">
        <v>3</v>
      </c>
      <c r="S188" s="4">
        <v>2</v>
      </c>
      <c r="T188" s="6">
        <f t="shared" si="32"/>
        <v>0.83097889313611428</v>
      </c>
      <c r="U188" s="4">
        <v>5</v>
      </c>
      <c r="V188" s="7" t="str">
        <f t="shared" si="33"/>
        <v/>
      </c>
      <c r="W188" s="7">
        <f t="shared" si="34"/>
        <v>3.4688560301359703</v>
      </c>
      <c r="X188" s="7">
        <f t="shared" si="35"/>
        <v>1.2178530908787235</v>
      </c>
      <c r="Y188" s="7">
        <f t="shared" si="36"/>
        <v>1.791759469228055</v>
      </c>
      <c r="Z188" s="7">
        <f t="shared" si="22"/>
        <v>3.4210000089583352</v>
      </c>
      <c r="AA188" s="7">
        <f t="shared" si="23"/>
        <v>1.738</v>
      </c>
      <c r="AB188" s="7">
        <f t="shared" si="24"/>
        <v>14.41</v>
      </c>
      <c r="AC188" s="7">
        <f t="shared" si="25"/>
        <v>15.6</v>
      </c>
      <c r="AD188" s="7">
        <f t="shared" si="26"/>
        <v>0</v>
      </c>
      <c r="AE188" s="7">
        <f t="shared" si="27"/>
        <v>1.1667429953905464</v>
      </c>
      <c r="AF188" s="7">
        <f t="shared" si="28"/>
        <v>0.84674005080440307</v>
      </c>
      <c r="AG188" s="7">
        <f t="shared" si="29"/>
        <v>1.8082887711792655</v>
      </c>
    </row>
    <row r="189" spans="1:33" x14ac:dyDescent="0.25">
      <c r="A189" s="4" t="s">
        <v>149</v>
      </c>
      <c r="B189" s="4">
        <v>2019</v>
      </c>
      <c r="C189" s="4" t="s">
        <v>92</v>
      </c>
      <c r="D189" s="5">
        <f t="shared" si="30"/>
        <v>0</v>
      </c>
      <c r="E189" s="4">
        <v>57.5</v>
      </c>
      <c r="F189" s="4">
        <v>44.8</v>
      </c>
      <c r="G189" s="4">
        <v>65</v>
      </c>
      <c r="H189" s="4">
        <v>52.4</v>
      </c>
      <c r="I189" s="4">
        <v>74.099999999999994</v>
      </c>
      <c r="J189" s="4">
        <v>1141.0999999999999</v>
      </c>
      <c r="K189" s="4">
        <v>97.4</v>
      </c>
      <c r="L189" s="4">
        <v>19.776</v>
      </c>
      <c r="M189" s="4">
        <v>87.16</v>
      </c>
      <c r="N189" s="4">
        <v>44.6</v>
      </c>
      <c r="O189" s="4">
        <v>50.3</v>
      </c>
      <c r="P189" s="4">
        <v>35430.300000000003</v>
      </c>
      <c r="Q189" s="6">
        <f t="shared" si="31"/>
        <v>31.049250722986596</v>
      </c>
      <c r="R189" s="4">
        <v>70</v>
      </c>
      <c r="S189" s="4">
        <v>7</v>
      </c>
      <c r="T189" s="6">
        <f t="shared" si="32"/>
        <v>6.7478748575935512</v>
      </c>
      <c r="U189" s="4">
        <v>4850.5</v>
      </c>
      <c r="V189" s="7">
        <f t="shared" si="33"/>
        <v>4.0517849478033048</v>
      </c>
      <c r="W189" s="7">
        <f t="shared" si="34"/>
        <v>4.5788262106484892</v>
      </c>
      <c r="X189" s="7">
        <f t="shared" si="35"/>
        <v>3.4355746767835438</v>
      </c>
      <c r="Y189" s="7">
        <f t="shared" si="36"/>
        <v>8.4870432144653538</v>
      </c>
      <c r="Z189" s="7">
        <f t="shared" si="22"/>
        <v>4.5108595065168497</v>
      </c>
      <c r="AA189" s="7">
        <f t="shared" si="23"/>
        <v>18.283000000000001</v>
      </c>
      <c r="AB189" s="7">
        <f t="shared" si="24"/>
        <v>87.12</v>
      </c>
      <c r="AC189" s="7">
        <f t="shared" si="25"/>
        <v>42.6</v>
      </c>
      <c r="AD189" s="7">
        <f t="shared" si="26"/>
        <v>0</v>
      </c>
      <c r="AE189" s="7">
        <f t="shared" si="27"/>
        <v>3.4018133680222853</v>
      </c>
      <c r="AF189" s="7">
        <f t="shared" si="28"/>
        <v>6.9992821249102652</v>
      </c>
      <c r="AG189" s="7">
        <f t="shared" si="29"/>
        <v>8.4377819509919512</v>
      </c>
    </row>
    <row r="190" spans="1:33" x14ac:dyDescent="0.25">
      <c r="A190" s="4" t="s">
        <v>150</v>
      </c>
      <c r="B190" s="4">
        <v>2019</v>
      </c>
      <c r="C190" s="4" t="s">
        <v>105</v>
      </c>
      <c r="D190" s="5">
        <f t="shared" si="30"/>
        <v>0</v>
      </c>
      <c r="E190" s="4">
        <v>35.6</v>
      </c>
      <c r="F190" s="4">
        <v>30.5</v>
      </c>
      <c r="G190" s="4">
        <v>37</v>
      </c>
      <c r="H190" s="4">
        <v>28.9</v>
      </c>
      <c r="I190" s="4">
        <v>64.900000000000006</v>
      </c>
      <c r="J190" s="4">
        <v>1872.6</v>
      </c>
      <c r="K190" s="4">
        <v>41.7</v>
      </c>
      <c r="L190" s="4">
        <v>3.1760000000000002</v>
      </c>
      <c r="M190" s="4">
        <v>24.74</v>
      </c>
      <c r="N190" s="4">
        <v>14.6</v>
      </c>
      <c r="O190" s="4">
        <v>23.4</v>
      </c>
      <c r="P190" s="4">
        <v>16566.8</v>
      </c>
      <c r="Q190" s="6">
        <f t="shared" si="31"/>
        <v>8.8469507636441307</v>
      </c>
      <c r="R190" s="4">
        <v>7</v>
      </c>
      <c r="S190" s="4">
        <v>2</v>
      </c>
      <c r="T190" s="6">
        <f t="shared" si="32"/>
        <v>0.48061518743992315</v>
      </c>
      <c r="U190" s="4">
        <v>82</v>
      </c>
      <c r="V190" s="7">
        <f t="shared" si="33"/>
        <v>3.572345637857985</v>
      </c>
      <c r="W190" s="7">
        <f t="shared" si="34"/>
        <v>3.730501128804756</v>
      </c>
      <c r="X190" s="7">
        <f t="shared" si="35"/>
        <v>2.1800728531691727</v>
      </c>
      <c r="Y190" s="7">
        <f t="shared" si="36"/>
        <v>4.4188406077965983</v>
      </c>
      <c r="Z190" s="7">
        <f t="shared" si="22"/>
        <v>3.6661224669913199</v>
      </c>
      <c r="AA190" s="7">
        <f t="shared" si="23"/>
        <v>2.94</v>
      </c>
      <c r="AB190" s="7">
        <f t="shared" si="24"/>
        <v>24.66</v>
      </c>
      <c r="AC190" s="7">
        <f t="shared" si="25"/>
        <v>14.5</v>
      </c>
      <c r="AD190" s="7">
        <f t="shared" si="26"/>
        <v>0</v>
      </c>
      <c r="AE190" s="7">
        <f t="shared" si="27"/>
        <v>2.1073325872151596</v>
      </c>
      <c r="AF190" s="7">
        <f t="shared" si="28"/>
        <v>0.48348106365834009</v>
      </c>
      <c r="AG190" s="7">
        <f t="shared" si="29"/>
        <v>4.42484663185681</v>
      </c>
    </row>
    <row r="191" spans="1:33" x14ac:dyDescent="0.25">
      <c r="A191" s="4" t="s">
        <v>151</v>
      </c>
      <c r="B191" s="4">
        <v>2019</v>
      </c>
      <c r="C191" s="4" t="s">
        <v>105</v>
      </c>
      <c r="D191" s="5">
        <f t="shared" si="30"/>
        <v>0</v>
      </c>
      <c r="E191" s="4">
        <v>31.9</v>
      </c>
      <c r="F191" s="4">
        <v>26.3</v>
      </c>
      <c r="G191" s="4">
        <v>39.700000000000003</v>
      </c>
      <c r="H191" s="4">
        <v>19.8</v>
      </c>
      <c r="I191" s="4">
        <v>58.1</v>
      </c>
      <c r="J191" s="4">
        <v>625.79999999999995</v>
      </c>
      <c r="K191" s="4">
        <v>45.5</v>
      </c>
      <c r="L191" s="4">
        <v>3.19</v>
      </c>
      <c r="M191" s="4">
        <v>15.24</v>
      </c>
      <c r="N191" s="4">
        <v>14.1</v>
      </c>
      <c r="O191" s="4">
        <v>27.5</v>
      </c>
      <c r="P191" s="4">
        <v>1663.8</v>
      </c>
      <c r="Q191" s="6">
        <f t="shared" si="31"/>
        <v>2.6586768935762226</v>
      </c>
      <c r="R191" s="4">
        <v>2</v>
      </c>
      <c r="S191" s="4">
        <v>1</v>
      </c>
      <c r="T191" s="6">
        <f t="shared" si="32"/>
        <v>0.4793863854266539</v>
      </c>
      <c r="U191" s="4">
        <v>243</v>
      </c>
      <c r="V191" s="7">
        <f t="shared" si="33"/>
        <v>3.4626060097907989</v>
      </c>
      <c r="W191" s="7">
        <f t="shared" si="34"/>
        <v>3.8177123259569048</v>
      </c>
      <c r="X191" s="7">
        <f t="shared" si="35"/>
        <v>0.97782859061500571</v>
      </c>
      <c r="Y191" s="7">
        <f t="shared" si="36"/>
        <v>5.4971682252932021</v>
      </c>
      <c r="Z191" s="7">
        <f t="shared" si="22"/>
        <v>3.784189633918261</v>
      </c>
      <c r="AA191" s="7">
        <f t="shared" si="23"/>
        <v>3.1779999999999999</v>
      </c>
      <c r="AB191" s="7">
        <f t="shared" si="24"/>
        <v>15.23</v>
      </c>
      <c r="AC191" s="7">
        <f t="shared" si="25"/>
        <v>13.9</v>
      </c>
      <c r="AD191" s="7">
        <f t="shared" si="26"/>
        <v>0</v>
      </c>
      <c r="AE191" s="7">
        <f t="shared" si="27"/>
        <v>0.93528373802241171</v>
      </c>
      <c r="AF191" s="7">
        <f t="shared" si="28"/>
        <v>0.4874878128046799</v>
      </c>
      <c r="AG191" s="7">
        <f t="shared" si="29"/>
        <v>5.4621354517774314</v>
      </c>
    </row>
    <row r="192" spans="1:33" x14ac:dyDescent="0.25">
      <c r="A192" s="4" t="s">
        <v>152</v>
      </c>
      <c r="B192" s="4">
        <v>2019</v>
      </c>
      <c r="C192" s="4" t="s">
        <v>88</v>
      </c>
      <c r="D192" s="5">
        <f t="shared" si="30"/>
        <v>1</v>
      </c>
      <c r="E192" s="4">
        <v>51.7</v>
      </c>
      <c r="F192" s="4">
        <v>41.5</v>
      </c>
      <c r="G192" s="4">
        <v>62.9</v>
      </c>
      <c r="H192" s="4">
        <v>40.299999999999997</v>
      </c>
      <c r="I192" s="4">
        <v>72.7</v>
      </c>
      <c r="J192" s="4">
        <v>3113.7</v>
      </c>
      <c r="K192" s="4">
        <v>110.7</v>
      </c>
      <c r="L192" s="4">
        <v>7.1929999999999996</v>
      </c>
      <c r="M192" s="4">
        <v>44.06</v>
      </c>
      <c r="N192" s="4">
        <v>20</v>
      </c>
      <c r="O192" s="4">
        <v>23.3</v>
      </c>
      <c r="P192" s="4">
        <v>46748.3</v>
      </c>
      <c r="Q192" s="6">
        <f t="shared" si="31"/>
        <v>15.013745704467356</v>
      </c>
      <c r="R192" s="4">
        <v>12</v>
      </c>
      <c r="S192" s="4">
        <v>6</v>
      </c>
      <c r="T192" s="6">
        <f t="shared" si="32"/>
        <v>0.57809037479525971</v>
      </c>
      <c r="U192" s="4">
        <v>10030.9</v>
      </c>
      <c r="V192" s="7">
        <f t="shared" si="33"/>
        <v>3.9454577815143836</v>
      </c>
      <c r="W192" s="7">
        <f t="shared" si="34"/>
        <v>4.7068238397145912</v>
      </c>
      <c r="X192" s="7">
        <f t="shared" si="35"/>
        <v>2.7089661617799434</v>
      </c>
      <c r="Y192" s="7">
        <f t="shared" si="36"/>
        <v>9.2135252947209469</v>
      </c>
      <c r="Z192" s="7">
        <f t="shared" ref="Z192:Z255" si="37">IF(B192=2017,"",W129)</f>
        <v>4.6356993910229143</v>
      </c>
      <c r="AA192" s="7">
        <f t="shared" ref="AA192:AA255" si="38">IF(B192=2017,"",L129)</f>
        <v>6.9340000000000002</v>
      </c>
      <c r="AB192" s="7">
        <f t="shared" ref="AB192:AB255" si="39">IF(B192=2017,"",M129)</f>
        <v>32.94</v>
      </c>
      <c r="AC192" s="7">
        <f t="shared" ref="AC192:AC255" si="40">IF(B192=2017,"",N129)</f>
        <v>20.100000000000001</v>
      </c>
      <c r="AD192" s="7">
        <f t="shared" ref="AD192:AD255" si="41">IF(B192=2017,"",O129)</f>
        <v>0</v>
      </c>
      <c r="AE192" s="7">
        <f t="shared" ref="AE192:AE255" si="42">IF(B192=2017,"",X129)</f>
        <v>2.8343256184446379</v>
      </c>
      <c r="AF192" s="7">
        <f t="shared" ref="AF192:AF255" si="43">IF(B192=2017,"",T129)</f>
        <v>0.55644659749271708</v>
      </c>
      <c r="AG192" s="7">
        <f t="shared" ref="AG192:AG255" si="44">IF(B192=2017,"",Y129)</f>
        <v>9.1465056031468546</v>
      </c>
    </row>
    <row r="193" spans="1:33" x14ac:dyDescent="0.25">
      <c r="A193" s="4" t="s">
        <v>153</v>
      </c>
      <c r="B193" s="4">
        <v>2019</v>
      </c>
      <c r="C193" s="4" t="s">
        <v>86</v>
      </c>
      <c r="D193" s="5">
        <f t="shared" si="30"/>
        <v>0</v>
      </c>
      <c r="E193" s="4">
        <v>34.9</v>
      </c>
      <c r="F193" s="4">
        <v>34.4</v>
      </c>
      <c r="G193" s="4">
        <v>39.200000000000003</v>
      </c>
      <c r="H193" s="4">
        <v>20.399999999999999</v>
      </c>
      <c r="I193" s="4">
        <v>71.400000000000006</v>
      </c>
      <c r="J193" s="4">
        <v>1598.8</v>
      </c>
      <c r="K193" s="4">
        <v>51.5</v>
      </c>
      <c r="L193" s="4">
        <v>2.129</v>
      </c>
      <c r="M193" s="4">
        <v>19.059999999999999</v>
      </c>
      <c r="N193" s="4">
        <v>13.5</v>
      </c>
      <c r="O193" s="4">
        <v>20.3</v>
      </c>
      <c r="P193" s="4">
        <v>2409.1999999999998</v>
      </c>
      <c r="Q193" s="6">
        <f t="shared" si="31"/>
        <v>1.5068801601200901</v>
      </c>
      <c r="R193" s="4">
        <v>8</v>
      </c>
      <c r="S193" s="4">
        <v>1</v>
      </c>
      <c r="T193" s="6">
        <f t="shared" si="32"/>
        <v>0.56292219164373281</v>
      </c>
      <c r="U193" s="4">
        <v>105.5</v>
      </c>
      <c r="V193" s="7">
        <f t="shared" si="33"/>
        <v>3.5524868292083815</v>
      </c>
      <c r="W193" s="7">
        <f t="shared" si="34"/>
        <v>3.9415818076696905</v>
      </c>
      <c r="X193" s="7">
        <f t="shared" si="35"/>
        <v>0.41004139433239756</v>
      </c>
      <c r="Y193" s="7">
        <f t="shared" si="36"/>
        <v>4.6681449851494801</v>
      </c>
      <c r="Z193" s="7">
        <f t="shared" si="37"/>
        <v>3.858622228701031</v>
      </c>
      <c r="AA193" s="7">
        <f t="shared" si="38"/>
        <v>2.0329999999999999</v>
      </c>
      <c r="AB193" s="7">
        <f t="shared" si="39"/>
        <v>18.2</v>
      </c>
      <c r="AC193" s="7">
        <f t="shared" si="40"/>
        <v>11.4</v>
      </c>
      <c r="AD193" s="7">
        <f t="shared" si="41"/>
        <v>0</v>
      </c>
      <c r="AE193" s="7">
        <f t="shared" si="42"/>
        <v>0.28033932203062989</v>
      </c>
      <c r="AF193" s="7">
        <f t="shared" si="43"/>
        <v>0.43583836622875288</v>
      </c>
      <c r="AG193" s="7">
        <f t="shared" si="44"/>
        <v>4.5941092386286666</v>
      </c>
    </row>
    <row r="194" spans="1:33" x14ac:dyDescent="0.25">
      <c r="A194" s="4" t="s">
        <v>85</v>
      </c>
      <c r="B194" s="4">
        <v>2020</v>
      </c>
      <c r="C194" s="4" t="s">
        <v>86</v>
      </c>
      <c r="D194" s="5">
        <f t="shared" si="30"/>
        <v>0</v>
      </c>
      <c r="E194" s="4">
        <v>39.200000000000003</v>
      </c>
      <c r="F194" s="4">
        <v>31.3</v>
      </c>
      <c r="G194" s="4">
        <v>47.8</v>
      </c>
      <c r="H194" s="4">
        <v>28.9</v>
      </c>
      <c r="I194" s="4">
        <v>60.8</v>
      </c>
      <c r="J194" s="4">
        <v>1904.5</v>
      </c>
      <c r="K194" s="4">
        <v>46.6</v>
      </c>
      <c r="L194" s="4">
        <v>2.5169999999999999</v>
      </c>
      <c r="M194" s="4">
        <v>31.59</v>
      </c>
      <c r="N194" s="4">
        <v>13.9</v>
      </c>
      <c r="O194" s="4">
        <v>18.399999999999999</v>
      </c>
      <c r="P194" s="4">
        <v>7589.9</v>
      </c>
      <c r="Q194" s="6">
        <f t="shared" si="31"/>
        <v>3.9852454712522971</v>
      </c>
      <c r="R194" s="4">
        <v>7</v>
      </c>
      <c r="S194" s="4">
        <v>2</v>
      </c>
      <c r="T194" s="6">
        <f t="shared" si="32"/>
        <v>0.47256497768443162</v>
      </c>
      <c r="U194" s="4">
        <v>142.19999999999999</v>
      </c>
      <c r="V194" s="7">
        <f t="shared" si="33"/>
        <v>3.6686767467964168</v>
      </c>
      <c r="W194" s="7">
        <f t="shared" si="34"/>
        <v>3.8416005411316001</v>
      </c>
      <c r="X194" s="7">
        <f t="shared" si="35"/>
        <v>1.3825989091536561</v>
      </c>
      <c r="Y194" s="7">
        <f t="shared" si="36"/>
        <v>4.9642422545265452</v>
      </c>
      <c r="Z194" s="7">
        <f t="shared" si="37"/>
        <v>3.7954891891721947</v>
      </c>
      <c r="AA194" s="7">
        <f t="shared" si="38"/>
        <v>2.3319999999999999</v>
      </c>
      <c r="AB194" s="7">
        <f t="shared" si="39"/>
        <v>31.59</v>
      </c>
      <c r="AC194" s="7">
        <f t="shared" si="40"/>
        <v>14.6</v>
      </c>
      <c r="AD194" s="7">
        <f t="shared" si="41"/>
        <v>16.3</v>
      </c>
      <c r="AE194" s="7">
        <f t="shared" si="42"/>
        <v>1.2904217394377582</v>
      </c>
      <c r="AF194" s="7">
        <f t="shared" si="43"/>
        <v>0.47184649260773825</v>
      </c>
      <c r="AG194" s="7">
        <f t="shared" si="44"/>
        <v>4.9508852896904818</v>
      </c>
    </row>
    <row r="195" spans="1:33" x14ac:dyDescent="0.25">
      <c r="A195" s="4" t="s">
        <v>87</v>
      </c>
      <c r="B195" s="4">
        <v>2020</v>
      </c>
      <c r="C195" s="4" t="s">
        <v>88</v>
      </c>
      <c r="D195" s="5">
        <f t="shared" si="30"/>
        <v>1</v>
      </c>
      <c r="E195" s="4">
        <v>48.6</v>
      </c>
      <c r="F195" s="4">
        <v>37.1</v>
      </c>
      <c r="G195" s="4">
        <v>63.9</v>
      </c>
      <c r="H195" s="4">
        <v>35.9</v>
      </c>
      <c r="I195" s="4">
        <v>62.4</v>
      </c>
      <c r="J195" s="4">
        <v>1167.9000000000001</v>
      </c>
      <c r="K195" s="4">
        <v>251.2</v>
      </c>
      <c r="L195" s="4">
        <v>9.3719999999999999</v>
      </c>
      <c r="M195" s="4">
        <v>57.56</v>
      </c>
      <c r="N195" s="4">
        <v>30.1</v>
      </c>
      <c r="O195" s="4">
        <v>26.2</v>
      </c>
      <c r="P195" s="4">
        <v>7320</v>
      </c>
      <c r="Q195" s="6">
        <f t="shared" si="31"/>
        <v>6.2676599023889024</v>
      </c>
      <c r="R195" s="4">
        <v>11</v>
      </c>
      <c r="S195" s="4">
        <v>4</v>
      </c>
      <c r="T195" s="6">
        <f t="shared" si="32"/>
        <v>1.2843565373747752</v>
      </c>
      <c r="U195" s="4">
        <v>28035.5</v>
      </c>
      <c r="V195" s="7">
        <f t="shared" si="33"/>
        <v>3.8836235309064482</v>
      </c>
      <c r="W195" s="7">
        <f t="shared" si="34"/>
        <v>5.5262494345940434</v>
      </c>
      <c r="X195" s="7">
        <f t="shared" si="35"/>
        <v>1.8354030636708374</v>
      </c>
      <c r="Y195" s="7">
        <f t="shared" si="36"/>
        <v>10.241262511674343</v>
      </c>
      <c r="Z195" s="7">
        <f t="shared" si="37"/>
        <v>5.7051149198899793</v>
      </c>
      <c r="AA195" s="7">
        <f t="shared" si="38"/>
        <v>8.7629999999999999</v>
      </c>
      <c r="AB195" s="7">
        <f t="shared" si="39"/>
        <v>58.64</v>
      </c>
      <c r="AC195" s="7">
        <f t="shared" si="40"/>
        <v>27.8</v>
      </c>
      <c r="AD195" s="7">
        <f t="shared" si="41"/>
        <v>24</v>
      </c>
      <c r="AE195" s="7">
        <f t="shared" si="42"/>
        <v>1.9211688706144259</v>
      </c>
      <c r="AF195" s="7">
        <f t="shared" si="43"/>
        <v>1.2150668286755772</v>
      </c>
      <c r="AG195" s="7">
        <f t="shared" si="44"/>
        <v>10.200940484291477</v>
      </c>
    </row>
    <row r="196" spans="1:33" x14ac:dyDescent="0.25">
      <c r="A196" s="4" t="s">
        <v>89</v>
      </c>
      <c r="B196" s="4">
        <v>2020</v>
      </c>
      <c r="C196" s="4" t="s">
        <v>88</v>
      </c>
      <c r="D196" s="5">
        <f t="shared" si="30"/>
        <v>1</v>
      </c>
      <c r="E196" s="4">
        <v>54.9</v>
      </c>
      <c r="F196" s="4">
        <v>41.4</v>
      </c>
      <c r="G196" s="4">
        <v>76.099999999999994</v>
      </c>
      <c r="H196" s="4">
        <v>38.700000000000003</v>
      </c>
      <c r="I196" s="4">
        <v>64.900000000000006</v>
      </c>
      <c r="J196" s="4">
        <v>2580.6</v>
      </c>
      <c r="K196" s="4">
        <v>150.5</v>
      </c>
      <c r="L196" s="4">
        <v>13.499000000000001</v>
      </c>
      <c r="M196" s="4">
        <v>84.41</v>
      </c>
      <c r="N196" s="4">
        <v>20.100000000000001</v>
      </c>
      <c r="O196" s="4">
        <v>22.2</v>
      </c>
      <c r="P196" s="4">
        <v>58487.7</v>
      </c>
      <c r="Q196" s="6">
        <f t="shared" si="31"/>
        <v>22.664380376656592</v>
      </c>
      <c r="R196" s="4">
        <v>12</v>
      </c>
      <c r="S196" s="4">
        <v>5</v>
      </c>
      <c r="T196" s="6">
        <f t="shared" si="32"/>
        <v>0.65876152832674573</v>
      </c>
      <c r="U196" s="4">
        <v>14562.3</v>
      </c>
      <c r="V196" s="7">
        <f t="shared" si="33"/>
        <v>4.0055133485154846</v>
      </c>
      <c r="W196" s="7">
        <f t="shared" si="34"/>
        <v>5.01396308418893</v>
      </c>
      <c r="X196" s="7">
        <f t="shared" si="35"/>
        <v>3.1207945456849679</v>
      </c>
      <c r="Y196" s="7">
        <f t="shared" si="36"/>
        <v>9.5862599444214673</v>
      </c>
      <c r="Z196" s="7">
        <f t="shared" si="37"/>
        <v>4.9931499797552359</v>
      </c>
      <c r="AA196" s="7">
        <f t="shared" si="38"/>
        <v>12.864000000000001</v>
      </c>
      <c r="AB196" s="7">
        <f t="shared" si="39"/>
        <v>79.87</v>
      </c>
      <c r="AC196" s="7">
        <f t="shared" si="40"/>
        <v>21.9</v>
      </c>
      <c r="AD196" s="7">
        <f t="shared" si="41"/>
        <v>24.2</v>
      </c>
      <c r="AE196" s="7">
        <f t="shared" si="42"/>
        <v>3.1771849379951953</v>
      </c>
      <c r="AF196" s="7">
        <f t="shared" si="43"/>
        <v>0.69209787078125629</v>
      </c>
      <c r="AG196" s="7">
        <f t="shared" si="44"/>
        <v>9.5455260670719309</v>
      </c>
    </row>
    <row r="197" spans="1:33" x14ac:dyDescent="0.25">
      <c r="A197" s="4" t="s">
        <v>90</v>
      </c>
      <c r="B197" s="4">
        <v>2020</v>
      </c>
      <c r="C197" s="4" t="s">
        <v>88</v>
      </c>
      <c r="D197" s="5">
        <f t="shared" ref="D197:D260" si="45">IF(OR(C197="ĐNB",C197="ĐBSH"),1,0)</f>
        <v>1</v>
      </c>
      <c r="E197" s="4">
        <v>29.8</v>
      </c>
      <c r="F197" s="4">
        <v>25.9</v>
      </c>
      <c r="G197" s="4">
        <v>31.5</v>
      </c>
      <c r="H197" s="4">
        <v>19.399999999999999</v>
      </c>
      <c r="I197" s="4">
        <v>68.3</v>
      </c>
      <c r="J197" s="4">
        <v>1011.1</v>
      </c>
      <c r="K197" s="4">
        <v>67.7</v>
      </c>
      <c r="L197" s="4">
        <v>5.7670000000000003</v>
      </c>
      <c r="M197" s="4">
        <v>24.03</v>
      </c>
      <c r="N197" s="4">
        <v>18.100000000000001</v>
      </c>
      <c r="O197" s="4">
        <v>21.2</v>
      </c>
      <c r="P197" s="4">
        <v>2814.6</v>
      </c>
      <c r="Q197" s="6">
        <f t="shared" ref="Q197:Q260" si="46">IF(P197="","",P197/J197)</f>
        <v>2.7837009197903271</v>
      </c>
      <c r="R197" s="4">
        <v>7</v>
      </c>
      <c r="S197" s="4">
        <v>4</v>
      </c>
      <c r="T197" s="6">
        <f t="shared" ref="T197:T260" si="47">(R197+S197)/J197*100</f>
        <v>1.087924043121353</v>
      </c>
      <c r="U197" s="4">
        <v>3227.1</v>
      </c>
      <c r="V197" s="7">
        <f t="shared" ref="V197:V260" si="48">IF(E197="","",LN(E197))</f>
        <v>3.3945083935113587</v>
      </c>
      <c r="W197" s="7">
        <f t="shared" ref="W197:W260" si="49">IF(K197="","",LN(K197))</f>
        <v>4.2150861799182291</v>
      </c>
      <c r="X197" s="7">
        <f t="shared" ref="X197:X260" si="50">IF(Q197="","",LN(Q197))</f>
        <v>1.0237813084651139</v>
      </c>
      <c r="Y197" s="7">
        <f t="shared" ref="Y197:Y260" si="51">LN(1+U197)</f>
        <v>8.0796490078443259</v>
      </c>
      <c r="Z197" s="7">
        <f t="shared" si="37"/>
        <v>4.1367652781060524</v>
      </c>
      <c r="AA197" s="7">
        <f t="shared" si="38"/>
        <v>5.1189999999999998</v>
      </c>
      <c r="AB197" s="7">
        <f t="shared" si="39"/>
        <v>23.9</v>
      </c>
      <c r="AC197" s="7">
        <f t="shared" si="40"/>
        <v>15.8</v>
      </c>
      <c r="AD197" s="7">
        <f t="shared" si="41"/>
        <v>22.8</v>
      </c>
      <c r="AE197" s="7">
        <f t="shared" si="42"/>
        <v>1.2084725869298196</v>
      </c>
      <c r="AF197" s="7">
        <f t="shared" si="43"/>
        <v>1.2026458208057726</v>
      </c>
      <c r="AG197" s="7">
        <f t="shared" si="44"/>
        <v>7.9442439061683956</v>
      </c>
    </row>
    <row r="198" spans="1:33" x14ac:dyDescent="0.25">
      <c r="A198" s="4" t="s">
        <v>91</v>
      </c>
      <c r="B198" s="4">
        <v>2020</v>
      </c>
      <c r="C198" s="4" t="s">
        <v>92</v>
      </c>
      <c r="D198" s="5">
        <f t="shared" si="45"/>
        <v>0</v>
      </c>
      <c r="E198" s="4">
        <v>37</v>
      </c>
      <c r="F198" s="4">
        <v>33.6</v>
      </c>
      <c r="G198" s="4">
        <v>43.9</v>
      </c>
      <c r="H198" s="4">
        <v>24.2</v>
      </c>
      <c r="I198" s="4">
        <v>64.7</v>
      </c>
      <c r="J198" s="4">
        <v>1239.3</v>
      </c>
      <c r="K198" s="4">
        <v>69.2</v>
      </c>
      <c r="L198" s="4">
        <v>4.2119999999999997</v>
      </c>
      <c r="M198" s="4">
        <v>38.090000000000003</v>
      </c>
      <c r="N198" s="4">
        <v>15.7</v>
      </c>
      <c r="O198" s="4">
        <v>20.100000000000001</v>
      </c>
      <c r="P198" s="4">
        <v>6388.7</v>
      </c>
      <c r="Q198" s="6">
        <f t="shared" si="46"/>
        <v>5.1550875494230617</v>
      </c>
      <c r="R198" s="4">
        <v>3</v>
      </c>
      <c r="S198" s="4">
        <v>1</v>
      </c>
      <c r="T198" s="6">
        <f t="shared" si="47"/>
        <v>0.32276284999596544</v>
      </c>
      <c r="U198" s="4">
        <v>3074.2</v>
      </c>
      <c r="V198" s="7">
        <f t="shared" si="48"/>
        <v>3.6109179126442243</v>
      </c>
      <c r="W198" s="7">
        <f t="shared" si="49"/>
        <v>4.2370008626236242</v>
      </c>
      <c r="X198" s="7">
        <f t="shared" si="50"/>
        <v>1.6399841007239431</v>
      </c>
      <c r="Y198" s="7">
        <f t="shared" si="51"/>
        <v>8.0311252187759727</v>
      </c>
      <c r="Z198" s="7">
        <f t="shared" si="37"/>
        <v>4.1620032106959153</v>
      </c>
      <c r="AA198" s="7">
        <f t="shared" si="38"/>
        <v>3.93</v>
      </c>
      <c r="AB198" s="7">
        <f t="shared" si="39"/>
        <v>38.08</v>
      </c>
      <c r="AC198" s="7">
        <f t="shared" si="40"/>
        <v>16.3</v>
      </c>
      <c r="AD198" s="7">
        <f t="shared" si="41"/>
        <v>18.399999999999999</v>
      </c>
      <c r="AE198" s="7">
        <f t="shared" si="42"/>
        <v>2.0004684151721195</v>
      </c>
      <c r="AF198" s="7">
        <f t="shared" si="43"/>
        <v>0.32459628337255542</v>
      </c>
      <c r="AG198" s="7">
        <f t="shared" si="44"/>
        <v>8.0156906391110976</v>
      </c>
    </row>
    <row r="199" spans="1:33" x14ac:dyDescent="0.25">
      <c r="A199" s="4" t="s">
        <v>93</v>
      </c>
      <c r="B199" s="4">
        <v>2020</v>
      </c>
      <c r="C199" s="4" t="s">
        <v>92</v>
      </c>
      <c r="D199" s="5">
        <f t="shared" si="45"/>
        <v>0</v>
      </c>
      <c r="E199" s="4">
        <v>42.4</v>
      </c>
      <c r="F199" s="4">
        <v>35</v>
      </c>
      <c r="G199" s="4">
        <v>44.2</v>
      </c>
      <c r="H199" s="4">
        <v>36</v>
      </c>
      <c r="I199" s="4">
        <v>73.7</v>
      </c>
      <c r="J199" s="4">
        <v>1487.9</v>
      </c>
      <c r="K199" s="4">
        <v>60.1</v>
      </c>
      <c r="L199" s="4">
        <v>4.5309999999999997</v>
      </c>
      <c r="M199" s="4">
        <v>40.32</v>
      </c>
      <c r="N199" s="4">
        <v>21.8</v>
      </c>
      <c r="O199" s="4">
        <v>24.7</v>
      </c>
      <c r="P199" s="4">
        <v>24957.5</v>
      </c>
      <c r="Q199" s="6">
        <f t="shared" si="46"/>
        <v>16.773640701660057</v>
      </c>
      <c r="R199" s="4">
        <v>8</v>
      </c>
      <c r="S199" s="4">
        <v>4</v>
      </c>
      <c r="T199" s="6">
        <f t="shared" si="47"/>
        <v>0.80650581356273943</v>
      </c>
      <c r="U199" s="4">
        <v>729.4</v>
      </c>
      <c r="V199" s="7">
        <f t="shared" si="48"/>
        <v>3.7471483622379123</v>
      </c>
      <c r="W199" s="7">
        <f t="shared" si="49"/>
        <v>4.0960098415411617</v>
      </c>
      <c r="X199" s="7">
        <f t="shared" si="50"/>
        <v>2.8198086483769287</v>
      </c>
      <c r="Y199" s="7">
        <f t="shared" si="51"/>
        <v>6.5935923292807583</v>
      </c>
      <c r="Z199" s="7">
        <f t="shared" si="37"/>
        <v>4.0199801469332384</v>
      </c>
      <c r="AA199" s="7">
        <f t="shared" si="38"/>
        <v>4.298</v>
      </c>
      <c r="AB199" s="7">
        <f t="shared" si="39"/>
        <v>32.049999999999997</v>
      </c>
      <c r="AC199" s="7">
        <f t="shared" si="40"/>
        <v>19.2</v>
      </c>
      <c r="AD199" s="7">
        <f t="shared" si="41"/>
        <v>23.4</v>
      </c>
      <c r="AE199" s="7">
        <f t="shared" si="42"/>
        <v>2.7748797508894638</v>
      </c>
      <c r="AF199" s="7">
        <f t="shared" si="43"/>
        <v>0.73934668638257828</v>
      </c>
      <c r="AG199" s="7">
        <f t="shared" si="44"/>
        <v>6.2923096060860439</v>
      </c>
    </row>
    <row r="200" spans="1:33" x14ac:dyDescent="0.25">
      <c r="A200" s="4" t="s">
        <v>94</v>
      </c>
      <c r="B200" s="4">
        <v>2020</v>
      </c>
      <c r="C200" s="4" t="s">
        <v>86</v>
      </c>
      <c r="D200" s="5">
        <f t="shared" si="45"/>
        <v>0</v>
      </c>
      <c r="E200" s="4"/>
      <c r="F200" s="4"/>
      <c r="G200" s="4"/>
      <c r="H200" s="4"/>
      <c r="I200" s="4"/>
      <c r="J200" s="4">
        <v>913.5</v>
      </c>
      <c r="K200" s="4">
        <v>48</v>
      </c>
      <c r="L200" s="4">
        <v>2.2749999999999999</v>
      </c>
      <c r="M200" s="4">
        <v>27.76</v>
      </c>
      <c r="N200" s="4">
        <v>10.3</v>
      </c>
      <c r="O200" s="4">
        <v>14.2</v>
      </c>
      <c r="P200" s="4">
        <v>2640.1</v>
      </c>
      <c r="Q200" s="6">
        <f t="shared" si="46"/>
        <v>2.8900930487137382</v>
      </c>
      <c r="R200" s="4">
        <v>6</v>
      </c>
      <c r="S200" s="4">
        <v>5</v>
      </c>
      <c r="T200" s="6">
        <f t="shared" si="47"/>
        <v>1.20415982484948</v>
      </c>
      <c r="U200" s="4">
        <v>4981.8999999999996</v>
      </c>
      <c r="V200" s="7" t="str">
        <f t="shared" si="48"/>
        <v/>
      </c>
      <c r="W200" s="7">
        <f t="shared" si="49"/>
        <v>3.8712010109078911</v>
      </c>
      <c r="X200" s="7">
        <f t="shared" si="50"/>
        <v>1.061288698392796</v>
      </c>
      <c r="Y200" s="7">
        <f t="shared" si="51"/>
        <v>8.5137673298480454</v>
      </c>
      <c r="Z200" s="7">
        <f t="shared" si="37"/>
        <v>3.8264651170664994</v>
      </c>
      <c r="AA200" s="7">
        <f t="shared" si="38"/>
        <v>2.0720000000000001</v>
      </c>
      <c r="AB200" s="7">
        <f t="shared" si="39"/>
        <v>27.78</v>
      </c>
      <c r="AC200" s="7">
        <f t="shared" si="40"/>
        <v>8.8000000000000007</v>
      </c>
      <c r="AD200" s="7">
        <f t="shared" si="41"/>
        <v>13.1</v>
      </c>
      <c r="AE200" s="7">
        <f t="shared" si="42"/>
        <v>1.0131812122644088</v>
      </c>
      <c r="AF200" s="7">
        <f t="shared" si="43"/>
        <v>0.9909711517286941</v>
      </c>
      <c r="AG200" s="7">
        <f t="shared" si="44"/>
        <v>6.4139506395504489</v>
      </c>
    </row>
    <row r="201" spans="1:33" x14ac:dyDescent="0.25">
      <c r="A201" s="4" t="s">
        <v>95</v>
      </c>
      <c r="B201" s="4">
        <v>2020</v>
      </c>
      <c r="C201" s="4" t="s">
        <v>96</v>
      </c>
      <c r="D201" s="5">
        <f t="shared" si="45"/>
        <v>0</v>
      </c>
      <c r="E201" s="4">
        <v>43.8</v>
      </c>
      <c r="F201" s="4">
        <v>37.1</v>
      </c>
      <c r="G201" s="4">
        <v>47</v>
      </c>
      <c r="H201" s="4">
        <v>37.9</v>
      </c>
      <c r="I201" s="4">
        <v>66.7</v>
      </c>
      <c r="J201" s="4">
        <v>1841.6</v>
      </c>
      <c r="K201" s="4">
        <v>65.599999999999994</v>
      </c>
      <c r="L201" s="4">
        <v>3.556</v>
      </c>
      <c r="M201" s="4">
        <v>18.14</v>
      </c>
      <c r="N201" s="4">
        <v>19.8</v>
      </c>
      <c r="O201" s="4">
        <v>17.8</v>
      </c>
      <c r="P201" s="4">
        <v>23072</v>
      </c>
      <c r="Q201" s="6">
        <f t="shared" si="46"/>
        <v>12.528236316246742</v>
      </c>
      <c r="R201" s="4">
        <v>8</v>
      </c>
      <c r="S201" s="4">
        <v>8</v>
      </c>
      <c r="T201" s="6">
        <f t="shared" si="47"/>
        <v>0.86880973066898359</v>
      </c>
      <c r="U201" s="4">
        <v>3875.1</v>
      </c>
      <c r="V201" s="7">
        <f t="shared" si="48"/>
        <v>3.7796338173824005</v>
      </c>
      <c r="W201" s="7">
        <f t="shared" si="49"/>
        <v>4.1835756959500436</v>
      </c>
      <c r="X201" s="7">
        <f t="shared" si="50"/>
        <v>2.5279850021170573</v>
      </c>
      <c r="Y201" s="7">
        <f t="shared" si="51"/>
        <v>8.262584772471449</v>
      </c>
      <c r="Z201" s="7">
        <f t="shared" si="37"/>
        <v>4.0552571735140539</v>
      </c>
      <c r="AA201" s="7">
        <f t="shared" si="38"/>
        <v>3.2480000000000002</v>
      </c>
      <c r="AB201" s="7">
        <f t="shared" si="39"/>
        <v>11.46</v>
      </c>
      <c r="AC201" s="7">
        <f t="shared" si="40"/>
        <v>18</v>
      </c>
      <c r="AD201" s="7">
        <f t="shared" si="41"/>
        <v>15</v>
      </c>
      <c r="AE201" s="7">
        <f t="shared" si="42"/>
        <v>2.5039419909198695</v>
      </c>
      <c r="AF201" s="7">
        <f t="shared" si="43"/>
        <v>0.93901900132567395</v>
      </c>
      <c r="AG201" s="7">
        <f t="shared" si="44"/>
        <v>8.1024653160288871</v>
      </c>
    </row>
    <row r="202" spans="1:33" x14ac:dyDescent="0.25">
      <c r="A202" s="4" t="s">
        <v>97</v>
      </c>
      <c r="B202" s="4">
        <v>2020</v>
      </c>
      <c r="C202" s="4" t="s">
        <v>96</v>
      </c>
      <c r="D202" s="5">
        <f t="shared" si="45"/>
        <v>0</v>
      </c>
      <c r="E202" s="4">
        <v>27.9</v>
      </c>
      <c r="F202" s="4">
        <v>24</v>
      </c>
      <c r="G202" s="4">
        <v>25.9</v>
      </c>
      <c r="H202" s="4">
        <v>21.2</v>
      </c>
      <c r="I202" s="4">
        <v>65.900000000000006</v>
      </c>
      <c r="J202" s="4">
        <v>316.5</v>
      </c>
      <c r="K202" s="4">
        <v>41.1</v>
      </c>
      <c r="L202" s="4">
        <v>1.9019999999999999</v>
      </c>
      <c r="M202" s="4">
        <v>22.59</v>
      </c>
      <c r="N202" s="4">
        <v>16.3</v>
      </c>
      <c r="O202" s="4">
        <v>16.5</v>
      </c>
      <c r="P202" s="4">
        <v>1154.3</v>
      </c>
      <c r="Q202" s="6">
        <f t="shared" si="46"/>
        <v>3.6470774091627169</v>
      </c>
      <c r="R202" s="4">
        <v>2</v>
      </c>
      <c r="S202" s="4">
        <v>1</v>
      </c>
      <c r="T202" s="6">
        <f t="shared" si="47"/>
        <v>0.94786729857819907</v>
      </c>
      <c r="U202" s="4">
        <v>19.899999999999999</v>
      </c>
      <c r="V202" s="7">
        <f t="shared" si="48"/>
        <v>3.3286266888273199</v>
      </c>
      <c r="W202" s="7">
        <f t="shared" si="49"/>
        <v>3.7160081215021892</v>
      </c>
      <c r="X202" s="7">
        <f t="shared" si="50"/>
        <v>1.2939261370366355</v>
      </c>
      <c r="Y202" s="7">
        <f t="shared" si="51"/>
        <v>3.039749158970765</v>
      </c>
      <c r="Z202" s="7">
        <f t="shared" si="37"/>
        <v>3.6428355156125294</v>
      </c>
      <c r="AA202" s="7">
        <f t="shared" si="38"/>
        <v>1.9470000000000001</v>
      </c>
      <c r="AB202" s="7">
        <f t="shared" si="39"/>
        <v>20.87</v>
      </c>
      <c r="AC202" s="7">
        <f t="shared" si="40"/>
        <v>16.100000000000001</v>
      </c>
      <c r="AD202" s="7">
        <f t="shared" si="41"/>
        <v>13.8</v>
      </c>
      <c r="AE202" s="7">
        <f t="shared" si="42"/>
        <v>1.5337432446811305</v>
      </c>
      <c r="AF202" s="7">
        <f t="shared" si="43"/>
        <v>0.63613231552162852</v>
      </c>
      <c r="AG202" s="7">
        <f t="shared" si="44"/>
        <v>3.044522437723423</v>
      </c>
    </row>
    <row r="203" spans="1:33" x14ac:dyDescent="0.25">
      <c r="A203" s="4" t="s">
        <v>98</v>
      </c>
      <c r="B203" s="4">
        <v>2020</v>
      </c>
      <c r="C203" s="4" t="s">
        <v>99</v>
      </c>
      <c r="D203" s="5">
        <f t="shared" si="45"/>
        <v>1</v>
      </c>
      <c r="E203" s="4">
        <v>53.1</v>
      </c>
      <c r="F203" s="4">
        <v>42.4</v>
      </c>
      <c r="G203" s="4">
        <v>69.3</v>
      </c>
      <c r="H203" s="4">
        <v>36.4</v>
      </c>
      <c r="I203" s="4">
        <v>76.3</v>
      </c>
      <c r="J203" s="4">
        <v>1419.1</v>
      </c>
      <c r="K203" s="4">
        <v>147.30000000000001</v>
      </c>
      <c r="L203" s="4">
        <v>8.9979999999999993</v>
      </c>
      <c r="M203" s="4">
        <v>31.47</v>
      </c>
      <c r="N203" s="4">
        <v>27.8</v>
      </c>
      <c r="O203" s="4">
        <v>29.1</v>
      </c>
      <c r="P203" s="4">
        <v>20467.900000000001</v>
      </c>
      <c r="Q203" s="6">
        <f t="shared" si="46"/>
        <v>14.423155521104928</v>
      </c>
      <c r="R203" s="4">
        <v>27</v>
      </c>
      <c r="S203" s="4">
        <v>3</v>
      </c>
      <c r="T203" s="6">
        <f t="shared" si="47"/>
        <v>2.1140159255866395</v>
      </c>
      <c r="U203" s="4">
        <v>13961.5</v>
      </c>
      <c r="V203" s="7">
        <f t="shared" si="48"/>
        <v>3.9721769282478934</v>
      </c>
      <c r="W203" s="7">
        <f t="shared" si="49"/>
        <v>4.9924713234685845</v>
      </c>
      <c r="X203" s="7">
        <f t="shared" si="50"/>
        <v>2.6688349373973557</v>
      </c>
      <c r="Y203" s="7">
        <f t="shared" si="51"/>
        <v>9.5441304433774565</v>
      </c>
      <c r="Z203" s="7">
        <f t="shared" si="37"/>
        <v>4.9767337424205742</v>
      </c>
      <c r="AA203" s="7">
        <f t="shared" si="38"/>
        <v>8.2319999999999993</v>
      </c>
      <c r="AB203" s="7">
        <f t="shared" si="39"/>
        <v>27.63</v>
      </c>
      <c r="AC203" s="7">
        <f t="shared" si="40"/>
        <v>28</v>
      </c>
      <c r="AD203" s="7">
        <f t="shared" si="41"/>
        <v>29.6</v>
      </c>
      <c r="AE203" s="7">
        <f t="shared" si="42"/>
        <v>2.7293792142733855</v>
      </c>
      <c r="AF203" s="7">
        <f t="shared" si="43"/>
        <v>1.8859712752067315</v>
      </c>
      <c r="AG203" s="7">
        <f t="shared" si="44"/>
        <v>9.5292085626490355</v>
      </c>
    </row>
    <row r="204" spans="1:33" x14ac:dyDescent="0.25">
      <c r="A204" s="4" t="s">
        <v>100</v>
      </c>
      <c r="B204" s="4">
        <v>2020</v>
      </c>
      <c r="C204" s="4" t="s">
        <v>86</v>
      </c>
      <c r="D204" s="5">
        <f t="shared" si="45"/>
        <v>0</v>
      </c>
      <c r="E204" s="4">
        <v>43.6</v>
      </c>
      <c r="F204" s="4">
        <v>35.200000000000003</v>
      </c>
      <c r="G204" s="4">
        <v>43.1</v>
      </c>
      <c r="H204" s="4">
        <v>42</v>
      </c>
      <c r="I204" s="4">
        <v>67.599999999999994</v>
      </c>
      <c r="J204" s="4">
        <v>1292.4000000000001</v>
      </c>
      <c r="K204" s="4">
        <v>41.9</v>
      </c>
      <c r="L204" s="4">
        <v>2.5739999999999998</v>
      </c>
      <c r="M204" s="4">
        <v>9.8000000000000007</v>
      </c>
      <c r="N204" s="4">
        <v>12.6</v>
      </c>
      <c r="O204" s="4">
        <v>14.5</v>
      </c>
      <c r="P204" s="4">
        <v>3248</v>
      </c>
      <c r="Q204" s="6">
        <f t="shared" si="46"/>
        <v>2.5131538223460228</v>
      </c>
      <c r="R204" s="4">
        <v>4</v>
      </c>
      <c r="S204" s="4">
        <v>2</v>
      </c>
      <c r="T204" s="6">
        <f t="shared" si="47"/>
        <v>0.46425255338904359</v>
      </c>
      <c r="U204" s="4">
        <v>1247.2</v>
      </c>
      <c r="V204" s="7">
        <f t="shared" si="48"/>
        <v>3.7750571503549888</v>
      </c>
      <c r="W204" s="7">
        <f t="shared" si="49"/>
        <v>3.735285826928092</v>
      </c>
      <c r="X204" s="7">
        <f t="shared" si="50"/>
        <v>0.92153846733122535</v>
      </c>
      <c r="Y204" s="7">
        <f t="shared" si="51"/>
        <v>7.1294577924999425</v>
      </c>
      <c r="Z204" s="7">
        <f t="shared" si="37"/>
        <v>3.6963514689526371</v>
      </c>
      <c r="AA204" s="7">
        <f t="shared" si="38"/>
        <v>2.3780000000000001</v>
      </c>
      <c r="AB204" s="7">
        <f t="shared" si="39"/>
        <v>9.81</v>
      </c>
      <c r="AC204" s="7">
        <f t="shared" si="40"/>
        <v>11.6</v>
      </c>
      <c r="AD204" s="7">
        <f t="shared" si="41"/>
        <v>14.4</v>
      </c>
      <c r="AE204" s="7">
        <f t="shared" si="42"/>
        <v>1.0068151819471221</v>
      </c>
      <c r="AF204" s="7">
        <f t="shared" si="43"/>
        <v>0.2327205026762858</v>
      </c>
      <c r="AG204" s="7">
        <f t="shared" si="44"/>
        <v>6.731376031643812</v>
      </c>
    </row>
    <row r="205" spans="1:33" x14ac:dyDescent="0.25">
      <c r="A205" s="4" t="s">
        <v>101</v>
      </c>
      <c r="B205" s="4">
        <v>2020</v>
      </c>
      <c r="C205" s="4" t="s">
        <v>96</v>
      </c>
      <c r="D205" s="5">
        <f t="shared" si="45"/>
        <v>0</v>
      </c>
      <c r="E205" s="4"/>
      <c r="F205" s="4"/>
      <c r="G205" s="4"/>
      <c r="H205" s="4"/>
      <c r="I205" s="4"/>
      <c r="J205" s="4">
        <v>533.1</v>
      </c>
      <c r="K205" s="4">
        <v>35.799999999999997</v>
      </c>
      <c r="L205" s="4">
        <v>2.1520000000000001</v>
      </c>
      <c r="M205" s="4">
        <v>25.51</v>
      </c>
      <c r="N205" s="4">
        <v>21.8</v>
      </c>
      <c r="O205" s="4">
        <v>15.2</v>
      </c>
      <c r="P205" s="4">
        <v>1868.8</v>
      </c>
      <c r="Q205" s="6">
        <f t="shared" si="46"/>
        <v>3.5055336709810541</v>
      </c>
      <c r="R205" s="4">
        <v>5</v>
      </c>
      <c r="S205" s="4">
        <v>0</v>
      </c>
      <c r="T205" s="6">
        <f t="shared" si="47"/>
        <v>0.93791033577190019</v>
      </c>
      <c r="U205" s="4">
        <v>68.3</v>
      </c>
      <c r="V205" s="7" t="str">
        <f t="shared" si="48"/>
        <v/>
      </c>
      <c r="W205" s="7">
        <f t="shared" si="49"/>
        <v>3.5779478934066544</v>
      </c>
      <c r="X205" s="7">
        <f t="shared" si="50"/>
        <v>1.2543427688051925</v>
      </c>
      <c r="Y205" s="7">
        <f t="shared" si="51"/>
        <v>4.2384449061958573</v>
      </c>
      <c r="Z205" s="7">
        <f t="shared" si="37"/>
        <v>3.493472657771326</v>
      </c>
      <c r="AA205" s="7">
        <f t="shared" si="38"/>
        <v>2.0099999999999998</v>
      </c>
      <c r="AB205" s="7">
        <f t="shared" si="39"/>
        <v>23.45</v>
      </c>
      <c r="AC205" s="7">
        <f t="shared" si="40"/>
        <v>20.8</v>
      </c>
      <c r="AD205" s="7">
        <f t="shared" si="41"/>
        <v>11.9</v>
      </c>
      <c r="AE205" s="7">
        <f t="shared" si="42"/>
        <v>1.7603813449125334</v>
      </c>
      <c r="AF205" s="7">
        <f t="shared" si="43"/>
        <v>0.75343755886230934</v>
      </c>
      <c r="AG205" s="7">
        <f t="shared" si="44"/>
        <v>4.6021656769677923</v>
      </c>
    </row>
    <row r="206" spans="1:33" x14ac:dyDescent="0.25">
      <c r="A206" s="4" t="s">
        <v>102</v>
      </c>
      <c r="B206" s="4">
        <v>2020</v>
      </c>
      <c r="C206" s="4" t="s">
        <v>86</v>
      </c>
      <c r="D206" s="5">
        <f t="shared" si="45"/>
        <v>0</v>
      </c>
      <c r="E206" s="4">
        <v>28.5</v>
      </c>
      <c r="F206" s="4">
        <v>24</v>
      </c>
      <c r="G206" s="4">
        <v>25.9</v>
      </c>
      <c r="H206" s="4">
        <v>23</v>
      </c>
      <c r="I206" s="4">
        <v>65.900000000000006</v>
      </c>
      <c r="J206" s="4">
        <v>1193.9000000000001</v>
      </c>
      <c r="K206" s="4">
        <v>51.2</v>
      </c>
      <c r="L206" s="4">
        <v>2.9929999999999999</v>
      </c>
      <c r="M206" s="4">
        <v>22.71</v>
      </c>
      <c r="N206" s="4">
        <v>13</v>
      </c>
      <c r="O206" s="4">
        <v>16.5</v>
      </c>
      <c r="P206" s="4">
        <v>623.70000000000005</v>
      </c>
      <c r="Q206" s="6">
        <f t="shared" si="46"/>
        <v>0.52240556160482454</v>
      </c>
      <c r="R206" s="4">
        <v>4</v>
      </c>
      <c r="S206" s="4">
        <v>4</v>
      </c>
      <c r="T206" s="6">
        <f t="shared" si="47"/>
        <v>0.67007287042465857</v>
      </c>
      <c r="U206" s="4">
        <v>125.7</v>
      </c>
      <c r="V206" s="7">
        <f t="shared" si="48"/>
        <v>3.3499040872746049</v>
      </c>
      <c r="W206" s="7">
        <f t="shared" si="49"/>
        <v>3.9357395320454622</v>
      </c>
      <c r="X206" s="7">
        <f t="shared" si="50"/>
        <v>-0.64931105481926565</v>
      </c>
      <c r="Y206" s="7">
        <f t="shared" si="51"/>
        <v>4.8418220873270936</v>
      </c>
      <c r="Z206" s="7">
        <f t="shared" si="37"/>
        <v>3.9259259105971376</v>
      </c>
      <c r="AA206" s="7">
        <f t="shared" si="38"/>
        <v>2.8519999999999999</v>
      </c>
      <c r="AB206" s="7">
        <f t="shared" si="39"/>
        <v>22.75</v>
      </c>
      <c r="AC206" s="7">
        <f t="shared" si="40"/>
        <v>12.3</v>
      </c>
      <c r="AD206" s="7">
        <f t="shared" si="41"/>
        <v>18.8</v>
      </c>
      <c r="AE206" s="7">
        <f t="shared" si="42"/>
        <v>-0.68988698958450201</v>
      </c>
      <c r="AF206" s="7">
        <f t="shared" si="43"/>
        <v>0.66984844678891398</v>
      </c>
      <c r="AG206" s="7">
        <f t="shared" si="44"/>
        <v>4.8186673602504957</v>
      </c>
    </row>
    <row r="207" spans="1:33" x14ac:dyDescent="0.25">
      <c r="A207" s="4" t="s">
        <v>103</v>
      </c>
      <c r="B207" s="4">
        <v>2020</v>
      </c>
      <c r="C207" s="4" t="s">
        <v>86</v>
      </c>
      <c r="D207" s="5">
        <f t="shared" si="45"/>
        <v>0</v>
      </c>
      <c r="E207" s="4">
        <v>48.8</v>
      </c>
      <c r="F207" s="4">
        <v>40.299999999999997</v>
      </c>
      <c r="G207" s="4">
        <v>54.1</v>
      </c>
      <c r="H207" s="4">
        <v>41</v>
      </c>
      <c r="I207" s="4">
        <v>74.5</v>
      </c>
      <c r="J207" s="4">
        <v>1240.7</v>
      </c>
      <c r="K207" s="4">
        <v>72.400000000000006</v>
      </c>
      <c r="L207" s="4">
        <v>7.3250000000000002</v>
      </c>
      <c r="M207" s="4">
        <v>70.02</v>
      </c>
      <c r="N207" s="4">
        <v>20.6</v>
      </c>
      <c r="O207" s="4">
        <v>24.6</v>
      </c>
      <c r="P207" s="4">
        <v>2850</v>
      </c>
      <c r="Q207" s="6">
        <f t="shared" si="46"/>
        <v>2.2970903522205206</v>
      </c>
      <c r="R207" s="4">
        <v>11</v>
      </c>
      <c r="S207" s="4">
        <v>6</v>
      </c>
      <c r="T207" s="6">
        <f t="shared" si="47"/>
        <v>1.3701942451841702</v>
      </c>
      <c r="U207" s="4">
        <v>596</v>
      </c>
      <c r="V207" s="7">
        <f t="shared" si="48"/>
        <v>3.8877303128591016</v>
      </c>
      <c r="W207" s="7">
        <f t="shared" si="49"/>
        <v>4.282206299391671</v>
      </c>
      <c r="X207" s="7">
        <f t="shared" si="50"/>
        <v>0.83164325781387038</v>
      </c>
      <c r="Y207" s="7">
        <f t="shared" si="51"/>
        <v>6.3919171133926023</v>
      </c>
      <c r="Z207" s="7">
        <f t="shared" si="37"/>
        <v>4.2863413845394733</v>
      </c>
      <c r="AA207" s="7">
        <f t="shared" si="38"/>
        <v>6.8540000000000001</v>
      </c>
      <c r="AB207" s="7">
        <f t="shared" si="39"/>
        <v>69.680000000000007</v>
      </c>
      <c r="AC207" s="7">
        <f t="shared" si="40"/>
        <v>16.399999999999999</v>
      </c>
      <c r="AD207" s="7">
        <f t="shared" si="41"/>
        <v>22</v>
      </c>
      <c r="AE207" s="7">
        <f t="shared" si="42"/>
        <v>1.2143315877502252</v>
      </c>
      <c r="AF207" s="7">
        <f t="shared" si="43"/>
        <v>1.5372168284789645</v>
      </c>
      <c r="AG207" s="7">
        <f t="shared" si="44"/>
        <v>6.377067026119895</v>
      </c>
    </row>
    <row r="208" spans="1:33" x14ac:dyDescent="0.25">
      <c r="A208" s="4" t="s">
        <v>104</v>
      </c>
      <c r="B208" s="4">
        <v>2020</v>
      </c>
      <c r="C208" s="4" t="s">
        <v>105</v>
      </c>
      <c r="D208" s="5">
        <f t="shared" si="45"/>
        <v>0</v>
      </c>
      <c r="E208" s="4">
        <v>32.299999999999997</v>
      </c>
      <c r="F208" s="4">
        <v>22.1</v>
      </c>
      <c r="G208" s="4">
        <v>39.5</v>
      </c>
      <c r="H208" s="4">
        <v>21.3</v>
      </c>
      <c r="I208" s="4">
        <v>66.3</v>
      </c>
      <c r="J208" s="4">
        <v>1541.8</v>
      </c>
      <c r="K208" s="4">
        <v>42.6</v>
      </c>
      <c r="L208" s="4">
        <v>2.92</v>
      </c>
      <c r="M208" s="4">
        <v>29.01</v>
      </c>
      <c r="N208" s="4">
        <v>14.9</v>
      </c>
      <c r="O208" s="4">
        <v>16.8</v>
      </c>
      <c r="P208" s="4">
        <v>22575.8</v>
      </c>
      <c r="Q208" s="6">
        <f t="shared" si="46"/>
        <v>14.642495784148398</v>
      </c>
      <c r="R208" s="4">
        <v>19</v>
      </c>
      <c r="S208" s="4">
        <v>1</v>
      </c>
      <c r="T208" s="6">
        <f t="shared" si="47"/>
        <v>1.2971851083149566</v>
      </c>
      <c r="U208" s="4">
        <v>12.9</v>
      </c>
      <c r="V208" s="7">
        <f t="shared" si="48"/>
        <v>3.475067230228611</v>
      </c>
      <c r="W208" s="7">
        <f t="shared" si="49"/>
        <v>3.751854253275325</v>
      </c>
      <c r="X208" s="7">
        <f t="shared" si="50"/>
        <v>2.6839279710629196</v>
      </c>
      <c r="Y208" s="7">
        <f t="shared" si="51"/>
        <v>2.631888840136646</v>
      </c>
      <c r="Z208" s="7">
        <f t="shared" si="37"/>
        <v>3.6963514689526371</v>
      </c>
      <c r="AA208" s="7">
        <f t="shared" si="38"/>
        <v>2.5459999999999998</v>
      </c>
      <c r="AB208" s="7">
        <f t="shared" si="39"/>
        <v>28.96</v>
      </c>
      <c r="AC208" s="7">
        <f t="shared" si="40"/>
        <v>12.5</v>
      </c>
      <c r="AD208" s="7">
        <f t="shared" si="41"/>
        <v>17.3</v>
      </c>
      <c r="AE208" s="7">
        <f t="shared" si="42"/>
        <v>2.6578526531371081</v>
      </c>
      <c r="AF208" s="7">
        <f t="shared" si="43"/>
        <v>1.3156163662675964</v>
      </c>
      <c r="AG208" s="7">
        <f t="shared" si="44"/>
        <v>2.1972245773362196</v>
      </c>
    </row>
    <row r="209" spans="1:33" x14ac:dyDescent="0.25">
      <c r="A209" s="4" t="s">
        <v>106</v>
      </c>
      <c r="B209" s="4">
        <v>2020</v>
      </c>
      <c r="C209" s="4" t="s">
        <v>96</v>
      </c>
      <c r="D209" s="5">
        <f t="shared" si="45"/>
        <v>0</v>
      </c>
      <c r="E209" s="4"/>
      <c r="F209" s="4"/>
      <c r="G209" s="4"/>
      <c r="H209" s="4"/>
      <c r="I209" s="4"/>
      <c r="J209" s="4">
        <v>870.2</v>
      </c>
      <c r="K209" s="4">
        <v>29.8</v>
      </c>
      <c r="L209" s="4">
        <v>1.407</v>
      </c>
      <c r="M209" s="4">
        <v>15.85</v>
      </c>
      <c r="N209" s="4">
        <v>12.8</v>
      </c>
      <c r="O209" s="4">
        <v>9.9</v>
      </c>
      <c r="P209" s="4">
        <v>2494</v>
      </c>
      <c r="Q209" s="6">
        <f t="shared" si="46"/>
        <v>2.8660078142955641</v>
      </c>
      <c r="R209" s="4">
        <v>0</v>
      </c>
      <c r="S209" s="4">
        <v>0</v>
      </c>
      <c r="T209" s="6">
        <f t="shared" si="47"/>
        <v>0</v>
      </c>
      <c r="U209" s="4">
        <v>4.8</v>
      </c>
      <c r="V209" s="7" t="str">
        <f t="shared" si="48"/>
        <v/>
      </c>
      <c r="W209" s="7">
        <f t="shared" si="49"/>
        <v>3.3945083935113587</v>
      </c>
      <c r="X209" s="7">
        <f t="shared" si="50"/>
        <v>1.052920055953402</v>
      </c>
      <c r="Y209" s="7">
        <f t="shared" si="51"/>
        <v>1.7578579175523736</v>
      </c>
      <c r="Z209" s="7">
        <f t="shared" si="37"/>
        <v>3.3393219779440679</v>
      </c>
      <c r="AA209" s="7">
        <f t="shared" si="38"/>
        <v>1.36</v>
      </c>
      <c r="AB209" s="7">
        <f t="shared" si="39"/>
        <v>15.99</v>
      </c>
      <c r="AC209" s="7">
        <f t="shared" si="40"/>
        <v>12.5</v>
      </c>
      <c r="AD209" s="7">
        <f t="shared" si="41"/>
        <v>8.1999999999999993</v>
      </c>
      <c r="AE209" s="7">
        <f t="shared" si="42"/>
        <v>1.0654378213160243</v>
      </c>
      <c r="AF209" s="7">
        <f t="shared" si="43"/>
        <v>0</v>
      </c>
      <c r="AG209" s="7">
        <f t="shared" si="44"/>
        <v>1.7578579175523736</v>
      </c>
    </row>
    <row r="210" spans="1:33" x14ac:dyDescent="0.25">
      <c r="A210" s="4" t="s">
        <v>107</v>
      </c>
      <c r="B210" s="4">
        <v>2020</v>
      </c>
      <c r="C210" s="4" t="s">
        <v>99</v>
      </c>
      <c r="D210" s="5">
        <f t="shared" si="45"/>
        <v>1</v>
      </c>
      <c r="E210" s="4">
        <v>42</v>
      </c>
      <c r="F210" s="4">
        <v>38.5</v>
      </c>
      <c r="G210" s="4">
        <v>46.5</v>
      </c>
      <c r="H210" s="4">
        <v>38.5</v>
      </c>
      <c r="I210" s="4">
        <v>45.6</v>
      </c>
      <c r="J210" s="4">
        <v>861.8</v>
      </c>
      <c r="K210" s="4">
        <v>69.5</v>
      </c>
      <c r="L210" s="4">
        <v>5.218</v>
      </c>
      <c r="M210" s="4">
        <v>27.81</v>
      </c>
      <c r="N210" s="4">
        <v>22.1</v>
      </c>
      <c r="O210" s="4">
        <v>20.3</v>
      </c>
      <c r="P210" s="4">
        <v>12995.5</v>
      </c>
      <c r="Q210" s="6">
        <f t="shared" si="46"/>
        <v>15.079484799257369</v>
      </c>
      <c r="R210" s="4">
        <v>7</v>
      </c>
      <c r="S210" s="4">
        <v>3</v>
      </c>
      <c r="T210" s="6">
        <f t="shared" si="47"/>
        <v>1.1603620329542819</v>
      </c>
      <c r="U210" s="4">
        <v>4854</v>
      </c>
      <c r="V210" s="7">
        <f t="shared" si="48"/>
        <v>3.7376696182833684</v>
      </c>
      <c r="W210" s="7">
        <f t="shared" si="49"/>
        <v>4.2413267525707461</v>
      </c>
      <c r="X210" s="7">
        <f t="shared" si="50"/>
        <v>2.7133351974907103</v>
      </c>
      <c r="Y210" s="7">
        <f t="shared" si="51"/>
        <v>8.4877643807254248</v>
      </c>
      <c r="Z210" s="7">
        <f t="shared" si="37"/>
        <v>4.1588830833596715</v>
      </c>
      <c r="AA210" s="7">
        <f t="shared" si="38"/>
        <v>4.8040000000000003</v>
      </c>
      <c r="AB210" s="7">
        <f t="shared" si="39"/>
        <v>16.77</v>
      </c>
      <c r="AC210" s="7">
        <f t="shared" si="40"/>
        <v>20</v>
      </c>
      <c r="AD210" s="7">
        <f t="shared" si="41"/>
        <v>17</v>
      </c>
      <c r="AE210" s="7">
        <f t="shared" si="42"/>
        <v>2.7668378701718099</v>
      </c>
      <c r="AF210" s="7">
        <f t="shared" si="43"/>
        <v>1.5213575190169688</v>
      </c>
      <c r="AG210" s="7">
        <f t="shared" si="44"/>
        <v>8.3521298511785531</v>
      </c>
    </row>
    <row r="211" spans="1:33" x14ac:dyDescent="0.25">
      <c r="A211" s="4" t="s">
        <v>108</v>
      </c>
      <c r="B211" s="4">
        <v>2020</v>
      </c>
      <c r="C211" s="4" t="s">
        <v>99</v>
      </c>
      <c r="D211" s="5">
        <f t="shared" si="45"/>
        <v>1</v>
      </c>
      <c r="E211" s="4">
        <v>85.7</v>
      </c>
      <c r="F211" s="4">
        <v>89.3</v>
      </c>
      <c r="G211" s="4">
        <v>87.5</v>
      </c>
      <c r="H211" s="4">
        <v>83.8</v>
      </c>
      <c r="I211" s="4">
        <v>79.400000000000006</v>
      </c>
      <c r="J211" s="4">
        <v>8246.5</v>
      </c>
      <c r="K211" s="4">
        <v>123.4</v>
      </c>
      <c r="L211" s="4">
        <v>20.114999999999998</v>
      </c>
      <c r="M211" s="4">
        <v>49.25</v>
      </c>
      <c r="N211" s="4">
        <v>48.5</v>
      </c>
      <c r="O211" s="4">
        <v>48</v>
      </c>
      <c r="P211" s="4">
        <v>125700.3</v>
      </c>
      <c r="Q211" s="6">
        <f t="shared" si="46"/>
        <v>15.242866670708786</v>
      </c>
      <c r="R211" s="4">
        <v>130</v>
      </c>
      <c r="S211" s="4">
        <v>29</v>
      </c>
      <c r="T211" s="6">
        <f t="shared" si="47"/>
        <v>1.9280907051476386</v>
      </c>
      <c r="U211" s="4">
        <v>4394.2</v>
      </c>
      <c r="V211" s="7">
        <f t="shared" si="48"/>
        <v>4.4508528256037341</v>
      </c>
      <c r="W211" s="7">
        <f t="shared" si="49"/>
        <v>4.8154311114712876</v>
      </c>
      <c r="X211" s="7">
        <f t="shared" si="50"/>
        <v>2.7241116343221288</v>
      </c>
      <c r="Y211" s="7">
        <f t="shared" si="51"/>
        <v>8.3882683153410103</v>
      </c>
      <c r="Z211" s="7">
        <f t="shared" si="37"/>
        <v>4.7899886229806334</v>
      </c>
      <c r="AA211" s="7">
        <f t="shared" si="38"/>
        <v>19.265999999999998</v>
      </c>
      <c r="AB211" s="7">
        <f t="shared" si="39"/>
        <v>49.42</v>
      </c>
      <c r="AC211" s="7">
        <f t="shared" si="40"/>
        <v>48.1</v>
      </c>
      <c r="AD211" s="7">
        <f t="shared" si="41"/>
        <v>42.4</v>
      </c>
      <c r="AE211" s="7">
        <f t="shared" si="42"/>
        <v>2.7242491045779054</v>
      </c>
      <c r="AF211" s="7">
        <f t="shared" si="43"/>
        <v>2.0632822248854077</v>
      </c>
      <c r="AG211" s="7">
        <f t="shared" si="44"/>
        <v>8.3533086239769485</v>
      </c>
    </row>
    <row r="212" spans="1:33" x14ac:dyDescent="0.25">
      <c r="A212" s="4" t="s">
        <v>109</v>
      </c>
      <c r="B212" s="4">
        <v>2020</v>
      </c>
      <c r="C212" s="4" t="s">
        <v>92</v>
      </c>
      <c r="D212" s="5">
        <f t="shared" si="45"/>
        <v>0</v>
      </c>
      <c r="E212" s="4">
        <v>36.200000000000003</v>
      </c>
      <c r="F212" s="4">
        <v>34.4</v>
      </c>
      <c r="G212" s="4">
        <v>36.1</v>
      </c>
      <c r="H212" s="4">
        <v>30.6</v>
      </c>
      <c r="I212" s="4">
        <v>59.9</v>
      </c>
      <c r="J212" s="4">
        <v>1296.5999999999999</v>
      </c>
      <c r="K212" s="4">
        <v>63.6</v>
      </c>
      <c r="L212" s="4">
        <v>3.73</v>
      </c>
      <c r="M212" s="4">
        <v>22.2</v>
      </c>
      <c r="N212" s="4">
        <v>25.7</v>
      </c>
      <c r="O212" s="4">
        <v>18.5</v>
      </c>
      <c r="P212" s="4">
        <v>32645.7</v>
      </c>
      <c r="Q212" s="6">
        <f t="shared" si="46"/>
        <v>25.177926885701066</v>
      </c>
      <c r="R212" s="4">
        <v>4</v>
      </c>
      <c r="S212" s="4">
        <v>1</v>
      </c>
      <c r="T212" s="6">
        <f t="shared" si="47"/>
        <v>0.38562393953416629</v>
      </c>
      <c r="U212" s="4">
        <v>9053.7999999999993</v>
      </c>
      <c r="V212" s="7">
        <f t="shared" si="48"/>
        <v>3.5890591188317256</v>
      </c>
      <c r="W212" s="7">
        <f t="shared" si="49"/>
        <v>4.1526134703460764</v>
      </c>
      <c r="X212" s="7">
        <f t="shared" si="50"/>
        <v>3.2259676934436348</v>
      </c>
      <c r="Y212" s="7">
        <f t="shared" si="51"/>
        <v>9.1110502828289714</v>
      </c>
      <c r="Z212" s="7">
        <f t="shared" si="37"/>
        <v>4.1026433650367959</v>
      </c>
      <c r="AA212" s="7">
        <f t="shared" si="38"/>
        <v>3.53</v>
      </c>
      <c r="AB212" s="7">
        <f t="shared" si="39"/>
        <v>19.68</v>
      </c>
      <c r="AC212" s="7">
        <f t="shared" si="40"/>
        <v>25</v>
      </c>
      <c r="AD212" s="7">
        <f t="shared" si="41"/>
        <v>17.399999999999999</v>
      </c>
      <c r="AE212" s="7">
        <f t="shared" si="42"/>
        <v>3.3526644888984256</v>
      </c>
      <c r="AF212" s="7">
        <f t="shared" si="43"/>
        <v>0.54250949391614356</v>
      </c>
      <c r="AG212" s="7">
        <f t="shared" si="44"/>
        <v>9.1150511919513608</v>
      </c>
    </row>
    <row r="213" spans="1:33" x14ac:dyDescent="0.25">
      <c r="A213" s="4" t="s">
        <v>110</v>
      </c>
      <c r="B213" s="4">
        <v>2020</v>
      </c>
      <c r="C213" s="4" t="s">
        <v>96</v>
      </c>
      <c r="D213" s="5">
        <f t="shared" si="45"/>
        <v>0</v>
      </c>
      <c r="E213" s="4">
        <v>33.4</v>
      </c>
      <c r="F213" s="4">
        <v>30</v>
      </c>
      <c r="G213" s="4">
        <v>35.4</v>
      </c>
      <c r="H213" s="4">
        <v>23.3</v>
      </c>
      <c r="I213" s="4">
        <v>68.7</v>
      </c>
      <c r="J213" s="4">
        <v>861.2</v>
      </c>
      <c r="K213" s="4">
        <v>57.7</v>
      </c>
      <c r="L213" s="4">
        <v>2.8610000000000002</v>
      </c>
      <c r="M213" s="4">
        <v>23.85</v>
      </c>
      <c r="N213" s="4">
        <v>18.600000000000001</v>
      </c>
      <c r="O213" s="4">
        <v>14.4</v>
      </c>
      <c r="P213" s="4">
        <v>8780.2999999999993</v>
      </c>
      <c r="Q213" s="6">
        <f t="shared" si="46"/>
        <v>10.195424988388295</v>
      </c>
      <c r="R213" s="4">
        <v>6</v>
      </c>
      <c r="S213" s="4">
        <v>3</v>
      </c>
      <c r="T213" s="6">
        <f t="shared" si="47"/>
        <v>1.0450534138411518</v>
      </c>
      <c r="U213" s="4">
        <v>839.6</v>
      </c>
      <c r="V213" s="7">
        <f t="shared" si="48"/>
        <v>3.5085558999826545</v>
      </c>
      <c r="W213" s="7">
        <f t="shared" si="49"/>
        <v>4.0552571735140539</v>
      </c>
      <c r="X213" s="7">
        <f t="shared" si="50"/>
        <v>2.3219390891201424</v>
      </c>
      <c r="Y213" s="7">
        <f t="shared" si="51"/>
        <v>6.7341159225710161</v>
      </c>
      <c r="Z213" s="7">
        <f t="shared" si="37"/>
        <v>4.0000338827508592</v>
      </c>
      <c r="AA213" s="7">
        <f t="shared" si="38"/>
        <v>2.702</v>
      </c>
      <c r="AB213" s="7">
        <f t="shared" si="39"/>
        <v>15.74</v>
      </c>
      <c r="AC213" s="7">
        <f t="shared" si="40"/>
        <v>17.399999999999999</v>
      </c>
      <c r="AD213" s="7">
        <f t="shared" si="41"/>
        <v>13.8</v>
      </c>
      <c r="AE213" s="7">
        <f t="shared" si="42"/>
        <v>2.4069893207527269</v>
      </c>
      <c r="AF213" s="7">
        <f t="shared" si="43"/>
        <v>1.0516475812105635</v>
      </c>
      <c r="AG213" s="7">
        <f t="shared" si="44"/>
        <v>6.7232312986329825</v>
      </c>
    </row>
    <row r="214" spans="1:33" x14ac:dyDescent="0.25">
      <c r="A214" s="4" t="s">
        <v>111</v>
      </c>
      <c r="B214" s="4">
        <v>2020</v>
      </c>
      <c r="C214" s="4" t="s">
        <v>99</v>
      </c>
      <c r="D214" s="5">
        <f t="shared" si="45"/>
        <v>1</v>
      </c>
      <c r="E214" s="4">
        <v>42.4</v>
      </c>
      <c r="F214" s="4">
        <v>34.1</v>
      </c>
      <c r="G214" s="4">
        <v>42.2</v>
      </c>
      <c r="H214" s="4">
        <v>40</v>
      </c>
      <c r="I214" s="4">
        <v>67.8</v>
      </c>
      <c r="J214" s="4">
        <v>1269.0999999999999</v>
      </c>
      <c r="K214" s="4">
        <v>79</v>
      </c>
      <c r="L214" s="4">
        <v>6.0430000000000001</v>
      </c>
      <c r="M214" s="4">
        <v>16.52</v>
      </c>
      <c r="N214" s="4">
        <v>26.4</v>
      </c>
      <c r="O214" s="4">
        <v>23.9</v>
      </c>
      <c r="P214" s="4">
        <v>30878.2</v>
      </c>
      <c r="Q214" s="6">
        <f t="shared" si="46"/>
        <v>24.330785596091722</v>
      </c>
      <c r="R214" s="4">
        <v>23</v>
      </c>
      <c r="S214" s="4">
        <v>0</v>
      </c>
      <c r="T214" s="6">
        <f t="shared" si="47"/>
        <v>1.8123079347569144</v>
      </c>
      <c r="U214" s="4">
        <v>4158.5</v>
      </c>
      <c r="V214" s="7">
        <f t="shared" si="48"/>
        <v>3.7471483622379123</v>
      </c>
      <c r="W214" s="7">
        <f t="shared" si="49"/>
        <v>4.3694478524670215</v>
      </c>
      <c r="X214" s="7">
        <f t="shared" si="50"/>
        <v>3.1917424454682166</v>
      </c>
      <c r="Y214" s="7">
        <f t="shared" si="51"/>
        <v>8.3331501537239419</v>
      </c>
      <c r="Z214" s="7">
        <f t="shared" si="37"/>
        <v>4.3000027991952914</v>
      </c>
      <c r="AA214" s="7">
        <f t="shared" si="38"/>
        <v>5.7119999999999997</v>
      </c>
      <c r="AB214" s="7">
        <f t="shared" si="39"/>
        <v>16.510000000000002</v>
      </c>
      <c r="AC214" s="7">
        <f t="shared" si="40"/>
        <v>25.3</v>
      </c>
      <c r="AD214" s="7">
        <f t="shared" si="41"/>
        <v>16.7</v>
      </c>
      <c r="AE214" s="7">
        <f t="shared" si="42"/>
        <v>3.178561346069436</v>
      </c>
      <c r="AF214" s="7">
        <f t="shared" si="43"/>
        <v>1.5129797738493391</v>
      </c>
      <c r="AG214" s="7">
        <f t="shared" si="44"/>
        <v>8.2693470274616558</v>
      </c>
    </row>
    <row r="215" spans="1:33" x14ac:dyDescent="0.25">
      <c r="A215" s="4" t="s">
        <v>112</v>
      </c>
      <c r="B215" s="4">
        <v>2020</v>
      </c>
      <c r="C215" s="4" t="s">
        <v>99</v>
      </c>
      <c r="D215" s="5">
        <f t="shared" si="45"/>
        <v>1</v>
      </c>
      <c r="E215" s="4">
        <v>47.5</v>
      </c>
      <c r="F215" s="4">
        <v>37.200000000000003</v>
      </c>
      <c r="G215" s="4">
        <v>62.2</v>
      </c>
      <c r="H215" s="4">
        <v>30.8</v>
      </c>
      <c r="I215" s="4">
        <v>74.8</v>
      </c>
      <c r="J215" s="4">
        <v>1916.8</v>
      </c>
      <c r="K215" s="4">
        <v>68.400000000000006</v>
      </c>
      <c r="L215" s="4">
        <v>5.0540000000000003</v>
      </c>
      <c r="M215" s="4">
        <v>31.47</v>
      </c>
      <c r="N215" s="4">
        <v>24.8</v>
      </c>
      <c r="O215" s="4">
        <v>27.5</v>
      </c>
      <c r="P215" s="4">
        <v>36889</v>
      </c>
      <c r="Q215" s="6">
        <f t="shared" si="46"/>
        <v>19.245095993322206</v>
      </c>
      <c r="R215" s="4">
        <v>7</v>
      </c>
      <c r="S215" s="4">
        <v>3</v>
      </c>
      <c r="T215" s="6">
        <f t="shared" si="47"/>
        <v>0.52170283806343909</v>
      </c>
      <c r="U215" s="4">
        <v>4593.2</v>
      </c>
      <c r="V215" s="7">
        <f t="shared" si="48"/>
        <v>3.8607297110405954</v>
      </c>
      <c r="W215" s="7">
        <f t="shared" si="49"/>
        <v>4.2253728246285052</v>
      </c>
      <c r="X215" s="7">
        <f t="shared" si="50"/>
        <v>2.9572562746849327</v>
      </c>
      <c r="Y215" s="7">
        <f t="shared" si="51"/>
        <v>8.4325499173471332</v>
      </c>
      <c r="Z215" s="7">
        <f t="shared" si="37"/>
        <v>4.2017030805426003</v>
      </c>
      <c r="AA215" s="7">
        <f t="shared" si="38"/>
        <v>4.7350000000000003</v>
      </c>
      <c r="AB215" s="7">
        <f t="shared" si="39"/>
        <v>31.32</v>
      </c>
      <c r="AC215" s="7">
        <f t="shared" si="40"/>
        <v>22.1</v>
      </c>
      <c r="AD215" s="7">
        <f t="shared" si="41"/>
        <v>20</v>
      </c>
      <c r="AE215" s="7">
        <f t="shared" si="42"/>
        <v>3.0467366338006974</v>
      </c>
      <c r="AF215" s="7">
        <f t="shared" si="43"/>
        <v>0.57989351046444193</v>
      </c>
      <c r="AG215" s="7">
        <f t="shared" si="44"/>
        <v>8.369203493702452</v>
      </c>
    </row>
    <row r="216" spans="1:33" x14ac:dyDescent="0.25">
      <c r="A216" s="4" t="s">
        <v>113</v>
      </c>
      <c r="B216" s="4">
        <v>2020</v>
      </c>
      <c r="C216" s="4" t="s">
        <v>99</v>
      </c>
      <c r="D216" s="5">
        <f t="shared" si="45"/>
        <v>1</v>
      </c>
      <c r="E216" s="4">
        <v>60.6</v>
      </c>
      <c r="F216" s="4">
        <v>45.5</v>
      </c>
      <c r="G216" s="4">
        <v>74</v>
      </c>
      <c r="H216" s="4">
        <v>51.1</v>
      </c>
      <c r="I216" s="4">
        <v>77.099999999999994</v>
      </c>
      <c r="J216" s="4">
        <v>2053.5</v>
      </c>
      <c r="K216" s="4">
        <v>133.9</v>
      </c>
      <c r="L216" s="4">
        <v>9.8339999999999996</v>
      </c>
      <c r="M216" s="4">
        <v>45.41</v>
      </c>
      <c r="N216" s="4">
        <v>34.700000000000003</v>
      </c>
      <c r="O216" s="4">
        <v>29</v>
      </c>
      <c r="P216" s="4">
        <v>93374.5</v>
      </c>
      <c r="Q216" s="6">
        <f t="shared" si="46"/>
        <v>45.470903335768199</v>
      </c>
      <c r="R216" s="4">
        <v>25</v>
      </c>
      <c r="S216" s="4">
        <v>11</v>
      </c>
      <c r="T216" s="6">
        <f t="shared" si="47"/>
        <v>1.7531044558071585</v>
      </c>
      <c r="U216" s="4">
        <v>9892.4</v>
      </c>
      <c r="V216" s="7">
        <f t="shared" si="48"/>
        <v>4.1042948930752692</v>
      </c>
      <c r="W216" s="7">
        <f t="shared" si="49"/>
        <v>4.8970932526971271</v>
      </c>
      <c r="X216" s="7">
        <f t="shared" si="50"/>
        <v>3.8170726342718257</v>
      </c>
      <c r="Y216" s="7">
        <f t="shared" si="51"/>
        <v>9.199623147134977</v>
      </c>
      <c r="Z216" s="7">
        <f t="shared" si="37"/>
        <v>4.8056590467374951</v>
      </c>
      <c r="AA216" s="7">
        <f t="shared" si="38"/>
        <v>9.7959999999999994</v>
      </c>
      <c r="AB216" s="7">
        <f t="shared" si="39"/>
        <v>45.59</v>
      </c>
      <c r="AC216" s="7">
        <f t="shared" si="40"/>
        <v>31.6</v>
      </c>
      <c r="AD216" s="7">
        <f t="shared" si="41"/>
        <v>25.5</v>
      </c>
      <c r="AE216" s="7">
        <f t="shared" si="42"/>
        <v>3.792556682003529</v>
      </c>
      <c r="AF216" s="7">
        <f t="shared" si="43"/>
        <v>1.6721585599763931</v>
      </c>
      <c r="AG216" s="7">
        <f t="shared" si="44"/>
        <v>9.1293255252619065</v>
      </c>
    </row>
    <row r="217" spans="1:33" x14ac:dyDescent="0.25">
      <c r="A217" s="4" t="s">
        <v>114</v>
      </c>
      <c r="B217" s="4">
        <v>2020</v>
      </c>
      <c r="C217" s="4" t="s">
        <v>86</v>
      </c>
      <c r="D217" s="5">
        <f t="shared" si="45"/>
        <v>0</v>
      </c>
      <c r="E217" s="4"/>
      <c r="F217" s="4"/>
      <c r="G217" s="4"/>
      <c r="H217" s="4"/>
      <c r="I217" s="4"/>
      <c r="J217" s="4">
        <v>729.8</v>
      </c>
      <c r="K217" s="4">
        <v>51.5</v>
      </c>
      <c r="L217" s="4">
        <v>3.0640000000000001</v>
      </c>
      <c r="M217" s="4">
        <v>27.97</v>
      </c>
      <c r="N217" s="4">
        <v>14.2</v>
      </c>
      <c r="O217" s="4">
        <v>15.7</v>
      </c>
      <c r="P217" s="4">
        <v>2148.4</v>
      </c>
      <c r="Q217" s="6">
        <f t="shared" si="46"/>
        <v>2.9438202247191017</v>
      </c>
      <c r="R217" s="4">
        <v>4</v>
      </c>
      <c r="S217" s="4">
        <v>1</v>
      </c>
      <c r="T217" s="6">
        <f t="shared" si="47"/>
        <v>0.68511921074266924</v>
      </c>
      <c r="U217" s="4">
        <v>715.9</v>
      </c>
      <c r="V217" s="7" t="str">
        <f t="shared" si="48"/>
        <v/>
      </c>
      <c r="W217" s="7">
        <f t="shared" si="49"/>
        <v>3.9415818076696905</v>
      </c>
      <c r="X217" s="7">
        <f t="shared" si="50"/>
        <v>1.0797081340289572</v>
      </c>
      <c r="Y217" s="7">
        <f t="shared" si="51"/>
        <v>6.5749363608588265</v>
      </c>
      <c r="Z217" s="7">
        <f t="shared" si="37"/>
        <v>3.8836235309064482</v>
      </c>
      <c r="AA217" s="7">
        <f t="shared" si="38"/>
        <v>2.7290000000000001</v>
      </c>
      <c r="AB217" s="7">
        <f t="shared" si="39"/>
        <v>27</v>
      </c>
      <c r="AC217" s="7">
        <f t="shared" si="40"/>
        <v>10.8</v>
      </c>
      <c r="AD217" s="7">
        <f t="shared" si="41"/>
        <v>12.4</v>
      </c>
      <c r="AE217" s="7">
        <f t="shared" si="42"/>
        <v>1.0059481542992474</v>
      </c>
      <c r="AF217" s="7">
        <f t="shared" si="43"/>
        <v>0.95602294455066927</v>
      </c>
      <c r="AG217" s="7">
        <f t="shared" si="44"/>
        <v>6.5665317729354378</v>
      </c>
    </row>
    <row r="218" spans="1:33" x14ac:dyDescent="0.25">
      <c r="A218" s="4" t="s">
        <v>115</v>
      </c>
      <c r="B218" s="4">
        <v>2020</v>
      </c>
      <c r="C218" s="4" t="s">
        <v>92</v>
      </c>
      <c r="D218" s="5">
        <f t="shared" si="45"/>
        <v>0</v>
      </c>
      <c r="E218" s="4">
        <v>43.4</v>
      </c>
      <c r="F218" s="4">
        <v>38.200000000000003</v>
      </c>
      <c r="G218" s="4">
        <v>53.4</v>
      </c>
      <c r="H218" s="4">
        <v>34.6</v>
      </c>
      <c r="I218" s="4">
        <v>49.2</v>
      </c>
      <c r="J218" s="4">
        <v>1240.4000000000001</v>
      </c>
      <c r="K218" s="4">
        <v>64.3</v>
      </c>
      <c r="L218" s="4">
        <v>9.0410000000000004</v>
      </c>
      <c r="M218" s="4">
        <v>42.4</v>
      </c>
      <c r="N218" s="4">
        <v>23.9</v>
      </c>
      <c r="O218" s="4">
        <v>31.1</v>
      </c>
      <c r="P218" s="4">
        <v>18743.2</v>
      </c>
      <c r="Q218" s="6">
        <f t="shared" si="46"/>
        <v>15.110609480812641</v>
      </c>
      <c r="R218" s="4">
        <v>31</v>
      </c>
      <c r="S218" s="4">
        <v>10</v>
      </c>
      <c r="T218" s="6">
        <f t="shared" si="47"/>
        <v>3.3053853595614315</v>
      </c>
      <c r="U218" s="4">
        <v>3514.6</v>
      </c>
      <c r="V218" s="7">
        <f t="shared" si="48"/>
        <v>3.7704594411063592</v>
      </c>
      <c r="W218" s="7">
        <f t="shared" si="49"/>
        <v>4.1635596312435741</v>
      </c>
      <c r="X218" s="7">
        <f t="shared" si="50"/>
        <v>2.7153971117261362</v>
      </c>
      <c r="Y218" s="7">
        <f t="shared" si="51"/>
        <v>8.1649654866904893</v>
      </c>
      <c r="Z218" s="7">
        <f t="shared" si="37"/>
        <v>4.2541932631639972</v>
      </c>
      <c r="AA218" s="7">
        <f t="shared" si="38"/>
        <v>8.9550000000000001</v>
      </c>
      <c r="AB218" s="7">
        <f t="shared" si="39"/>
        <v>42.29</v>
      </c>
      <c r="AC218" s="7">
        <f t="shared" si="40"/>
        <v>22.8</v>
      </c>
      <c r="AD218" s="7">
        <f t="shared" si="41"/>
        <v>30.1</v>
      </c>
      <c r="AE218" s="7">
        <f t="shared" si="42"/>
        <v>3.0142091251449474</v>
      </c>
      <c r="AF218" s="7">
        <f t="shared" si="43"/>
        <v>3.3257624918883844</v>
      </c>
      <c r="AG218" s="7">
        <f t="shared" si="44"/>
        <v>8.1570264439353597</v>
      </c>
    </row>
    <row r="219" spans="1:33" x14ac:dyDescent="0.25">
      <c r="A219" s="4" t="s">
        <v>116</v>
      </c>
      <c r="B219" s="4">
        <v>2020</v>
      </c>
      <c r="C219" s="4" t="s">
        <v>86</v>
      </c>
      <c r="D219" s="5">
        <f t="shared" si="45"/>
        <v>0</v>
      </c>
      <c r="E219" s="4">
        <v>38</v>
      </c>
      <c r="F219" s="4">
        <v>31.8</v>
      </c>
      <c r="G219" s="4">
        <v>49.8</v>
      </c>
      <c r="H219" s="4">
        <v>25.3</v>
      </c>
      <c r="I219" s="4">
        <v>54.1</v>
      </c>
      <c r="J219" s="4">
        <v>1728.9</v>
      </c>
      <c r="K219" s="4">
        <v>55.6</v>
      </c>
      <c r="L219" s="4">
        <v>4.4980000000000002</v>
      </c>
      <c r="M219" s="4">
        <v>28.45</v>
      </c>
      <c r="N219" s="4">
        <v>14.8</v>
      </c>
      <c r="O219" s="4">
        <v>17.8</v>
      </c>
      <c r="P219" s="4">
        <v>3308.4</v>
      </c>
      <c r="Q219" s="6">
        <f t="shared" si="46"/>
        <v>1.913586673607496</v>
      </c>
      <c r="R219" s="4">
        <v>16</v>
      </c>
      <c r="S219" s="4">
        <v>1</v>
      </c>
      <c r="T219" s="6">
        <f t="shared" si="47"/>
        <v>0.98328416912487704</v>
      </c>
      <c r="U219" s="4">
        <v>2781</v>
      </c>
      <c r="V219" s="7">
        <f t="shared" si="48"/>
        <v>3.6375861597263857</v>
      </c>
      <c r="W219" s="7">
        <f t="shared" si="49"/>
        <v>4.0181832012565364</v>
      </c>
      <c r="X219" s="7">
        <f t="shared" si="50"/>
        <v>0.64897932070702102</v>
      </c>
      <c r="Y219" s="7">
        <f t="shared" si="51"/>
        <v>7.9309253724833884</v>
      </c>
      <c r="Z219" s="7">
        <f t="shared" si="37"/>
        <v>4.01096295328305</v>
      </c>
      <c r="AA219" s="7">
        <f t="shared" si="38"/>
        <v>4.2210000000000001</v>
      </c>
      <c r="AB219" s="7">
        <f t="shared" si="39"/>
        <v>28.36</v>
      </c>
      <c r="AC219" s="7">
        <f t="shared" si="40"/>
        <v>13.6</v>
      </c>
      <c r="AD219" s="7">
        <f t="shared" si="41"/>
        <v>20.9</v>
      </c>
      <c r="AE219" s="7">
        <f t="shared" si="42"/>
        <v>0.81888518665862431</v>
      </c>
      <c r="AF219" s="7">
        <f t="shared" si="43"/>
        <v>0.63816209317166561</v>
      </c>
      <c r="AG219" s="7">
        <f t="shared" si="44"/>
        <v>7.9327210274819482</v>
      </c>
    </row>
    <row r="220" spans="1:33" x14ac:dyDescent="0.25">
      <c r="A220" s="4" t="s">
        <v>117</v>
      </c>
      <c r="B220" s="4">
        <v>2020</v>
      </c>
      <c r="C220" s="4" t="s">
        <v>105</v>
      </c>
      <c r="D220" s="5">
        <f t="shared" si="45"/>
        <v>0</v>
      </c>
      <c r="E220" s="4">
        <v>31.1</v>
      </c>
      <c r="F220" s="4">
        <v>27.8</v>
      </c>
      <c r="G220" s="4">
        <v>31.6</v>
      </c>
      <c r="H220" s="4">
        <v>22.4</v>
      </c>
      <c r="I220" s="4">
        <v>66.900000000000006</v>
      </c>
      <c r="J220" s="4">
        <v>555.6</v>
      </c>
      <c r="K220" s="4">
        <v>43</v>
      </c>
      <c r="L220" s="4">
        <v>3.3119999999999998</v>
      </c>
      <c r="M220" s="4">
        <v>32.74</v>
      </c>
      <c r="N220" s="4">
        <v>16</v>
      </c>
      <c r="O220" s="4">
        <v>20.8</v>
      </c>
      <c r="P220" s="4">
        <v>6155</v>
      </c>
      <c r="Q220" s="6">
        <f t="shared" si="46"/>
        <v>11.078113750899927</v>
      </c>
      <c r="R220" s="4">
        <v>4</v>
      </c>
      <c r="S220" s="4">
        <v>1</v>
      </c>
      <c r="T220" s="6">
        <f t="shared" si="47"/>
        <v>0.89992800575953924</v>
      </c>
      <c r="U220" s="4">
        <v>169</v>
      </c>
      <c r="V220" s="7">
        <f t="shared" si="48"/>
        <v>3.4372078191851885</v>
      </c>
      <c r="W220" s="7">
        <f t="shared" si="49"/>
        <v>3.7612001156935624</v>
      </c>
      <c r="X220" s="7">
        <f t="shared" si="50"/>
        <v>2.4049714277383649</v>
      </c>
      <c r="Y220" s="7">
        <f t="shared" si="51"/>
        <v>5.1357984370502621</v>
      </c>
      <c r="Z220" s="7">
        <f t="shared" si="37"/>
        <v>3.6963514689526371</v>
      </c>
      <c r="AA220" s="7">
        <f t="shared" si="38"/>
        <v>3.0249999999999999</v>
      </c>
      <c r="AB220" s="7">
        <f t="shared" si="39"/>
        <v>31.97</v>
      </c>
      <c r="AC220" s="7">
        <f t="shared" si="40"/>
        <v>12.9</v>
      </c>
      <c r="AD220" s="7">
        <f t="shared" si="41"/>
        <v>15</v>
      </c>
      <c r="AE220" s="7">
        <f t="shared" si="42"/>
        <v>2.3822823374177546</v>
      </c>
      <c r="AF220" s="7">
        <f t="shared" si="43"/>
        <v>0.73610599926389408</v>
      </c>
      <c r="AG220" s="7">
        <f t="shared" si="44"/>
        <v>5.1579052128312917</v>
      </c>
    </row>
    <row r="221" spans="1:33" x14ac:dyDescent="0.25">
      <c r="A221" s="4" t="s">
        <v>118</v>
      </c>
      <c r="B221" s="4">
        <v>2020</v>
      </c>
      <c r="C221" s="4" t="s">
        <v>96</v>
      </c>
      <c r="D221" s="5">
        <f t="shared" si="45"/>
        <v>0</v>
      </c>
      <c r="E221" s="4"/>
      <c r="F221" s="4"/>
      <c r="G221" s="4"/>
      <c r="H221" s="4"/>
      <c r="I221" s="4"/>
      <c r="J221" s="4">
        <v>469.8</v>
      </c>
      <c r="K221" s="4">
        <v>43.3</v>
      </c>
      <c r="L221" s="4">
        <v>2.3119999999999998</v>
      </c>
      <c r="M221" s="4">
        <v>17.5</v>
      </c>
      <c r="N221" s="4">
        <v>12.5</v>
      </c>
      <c r="O221" s="4">
        <v>10.7</v>
      </c>
      <c r="P221" s="4">
        <v>1620</v>
      </c>
      <c r="Q221" s="6">
        <f t="shared" si="46"/>
        <v>3.4482758620689653</v>
      </c>
      <c r="R221" s="4">
        <v>4</v>
      </c>
      <c r="S221" s="4">
        <v>2</v>
      </c>
      <c r="T221" s="6">
        <f t="shared" si="47"/>
        <v>1.2771392081736908</v>
      </c>
      <c r="U221" s="4">
        <v>3.2</v>
      </c>
      <c r="V221" s="7" t="str">
        <f t="shared" si="48"/>
        <v/>
      </c>
      <c r="W221" s="7">
        <f t="shared" si="49"/>
        <v>3.7681526350084442</v>
      </c>
      <c r="X221" s="7">
        <f t="shared" si="50"/>
        <v>1.2378743560016172</v>
      </c>
      <c r="Y221" s="7">
        <f t="shared" si="51"/>
        <v>1.4350845252893227</v>
      </c>
      <c r="Z221" s="7">
        <f t="shared" si="37"/>
        <v>3.6609942506244004</v>
      </c>
      <c r="AA221" s="7">
        <f t="shared" si="38"/>
        <v>2.3069999999999999</v>
      </c>
      <c r="AB221" s="7">
        <f t="shared" si="39"/>
        <v>14.66</v>
      </c>
      <c r="AC221" s="7">
        <f t="shared" si="40"/>
        <v>13.3</v>
      </c>
      <c r="AD221" s="7">
        <f t="shared" si="41"/>
        <v>7.1</v>
      </c>
      <c r="AE221" s="7">
        <f t="shared" si="42"/>
        <v>1.3055128015165061</v>
      </c>
      <c r="AF221" s="7">
        <f t="shared" si="43"/>
        <v>1.0808473843493298</v>
      </c>
      <c r="AG221" s="7">
        <f t="shared" si="44"/>
        <v>1.4350845252893227</v>
      </c>
    </row>
    <row r="222" spans="1:33" x14ac:dyDescent="0.25">
      <c r="A222" s="4" t="s">
        <v>119</v>
      </c>
      <c r="B222" s="4">
        <v>2020</v>
      </c>
      <c r="C222" s="4" t="s">
        <v>86</v>
      </c>
      <c r="D222" s="5">
        <f t="shared" si="45"/>
        <v>0</v>
      </c>
      <c r="E222" s="4">
        <v>43</v>
      </c>
      <c r="F222" s="4">
        <v>30.1</v>
      </c>
      <c r="G222" s="4">
        <v>44</v>
      </c>
      <c r="H222" s="4">
        <v>43.8</v>
      </c>
      <c r="I222" s="4">
        <v>62.5</v>
      </c>
      <c r="J222" s="4">
        <v>1713.7</v>
      </c>
      <c r="K222" s="4">
        <v>76.400000000000006</v>
      </c>
      <c r="L222" s="4">
        <v>6.1130000000000004</v>
      </c>
      <c r="M222" s="4">
        <v>18.239999999999998</v>
      </c>
      <c r="N222" s="4">
        <v>15.9</v>
      </c>
      <c r="O222" s="4">
        <v>19.8</v>
      </c>
      <c r="P222" s="4">
        <v>5953.3</v>
      </c>
      <c r="Q222" s="6">
        <f t="shared" si="46"/>
        <v>3.4739452646320825</v>
      </c>
      <c r="R222" s="4">
        <v>7</v>
      </c>
      <c r="S222" s="4">
        <v>1</v>
      </c>
      <c r="T222" s="6">
        <f t="shared" si="47"/>
        <v>0.46682616560658224</v>
      </c>
      <c r="U222" s="4">
        <v>4959.3999999999996</v>
      </c>
      <c r="V222" s="7">
        <f t="shared" si="48"/>
        <v>3.7612001156935624</v>
      </c>
      <c r="W222" s="7">
        <f t="shared" si="49"/>
        <v>4.3359826961724748</v>
      </c>
      <c r="X222" s="7">
        <f t="shared" si="50"/>
        <v>1.2452909119757585</v>
      </c>
      <c r="Y222" s="7">
        <f t="shared" si="51"/>
        <v>8.5092416616286179</v>
      </c>
      <c r="Z222" s="7">
        <f t="shared" si="37"/>
        <v>4.28771595520264</v>
      </c>
      <c r="AA222" s="7">
        <f t="shared" si="38"/>
        <v>5.7190000000000003</v>
      </c>
      <c r="AB222" s="7">
        <f t="shared" si="39"/>
        <v>16.079999999999998</v>
      </c>
      <c r="AC222" s="7">
        <f t="shared" si="40"/>
        <v>16.7</v>
      </c>
      <c r="AD222" s="7">
        <f t="shared" si="41"/>
        <v>18</v>
      </c>
      <c r="AE222" s="7">
        <f t="shared" si="42"/>
        <v>1.221371158364279</v>
      </c>
      <c r="AF222" s="7">
        <f t="shared" si="43"/>
        <v>0.53094212730812351</v>
      </c>
      <c r="AG222" s="7">
        <f t="shared" si="44"/>
        <v>8.4471998195957028</v>
      </c>
    </row>
    <row r="223" spans="1:33" x14ac:dyDescent="0.25">
      <c r="A223" s="4" t="s">
        <v>120</v>
      </c>
      <c r="B223" s="4">
        <v>2020</v>
      </c>
      <c r="C223" s="4" t="s">
        <v>96</v>
      </c>
      <c r="D223" s="5">
        <f t="shared" si="45"/>
        <v>0</v>
      </c>
      <c r="E223" s="4">
        <v>36.1</v>
      </c>
      <c r="F223" s="4">
        <v>39.200000000000003</v>
      </c>
      <c r="G223" s="4">
        <v>33.799999999999997</v>
      </c>
      <c r="H223" s="4">
        <v>27</v>
      </c>
      <c r="I223" s="4">
        <v>69.8</v>
      </c>
      <c r="J223" s="4">
        <v>746.4</v>
      </c>
      <c r="K223" s="4">
        <v>72</v>
      </c>
      <c r="L223" s="4">
        <v>3.8340000000000001</v>
      </c>
      <c r="M223" s="4">
        <v>26.42</v>
      </c>
      <c r="N223" s="4">
        <v>21</v>
      </c>
      <c r="O223" s="4">
        <v>20.3</v>
      </c>
      <c r="P223" s="4">
        <v>4680.7</v>
      </c>
      <c r="Q223" s="6">
        <f t="shared" si="46"/>
        <v>6.271034297963558</v>
      </c>
      <c r="R223" s="4">
        <v>12</v>
      </c>
      <c r="S223" s="4">
        <v>1</v>
      </c>
      <c r="T223" s="6">
        <f t="shared" si="47"/>
        <v>1.741693461950697</v>
      </c>
      <c r="U223" s="4">
        <v>775.3</v>
      </c>
      <c r="V223" s="7">
        <f t="shared" si="48"/>
        <v>3.5862928653388351</v>
      </c>
      <c r="W223" s="7">
        <f t="shared" si="49"/>
        <v>4.2766661190160553</v>
      </c>
      <c r="X223" s="7">
        <f t="shared" si="50"/>
        <v>1.8359413008432575</v>
      </c>
      <c r="Y223" s="7">
        <f t="shared" si="51"/>
        <v>6.6545390434116349</v>
      </c>
      <c r="Z223" s="7">
        <f t="shared" si="37"/>
        <v>4.220977213155467</v>
      </c>
      <c r="AA223" s="7">
        <f t="shared" si="38"/>
        <v>3.516</v>
      </c>
      <c r="AB223" s="7">
        <f t="shared" si="39"/>
        <v>23.39</v>
      </c>
      <c r="AC223" s="7">
        <f t="shared" si="40"/>
        <v>19.5</v>
      </c>
      <c r="AD223" s="7">
        <f t="shared" si="41"/>
        <v>24.5</v>
      </c>
      <c r="AE223" s="7">
        <f t="shared" si="42"/>
        <v>2.1232809348141224</v>
      </c>
      <c r="AF223" s="7">
        <f t="shared" si="43"/>
        <v>1.9091776898949955</v>
      </c>
      <c r="AG223" s="7">
        <f t="shared" si="44"/>
        <v>6.6682282484174031</v>
      </c>
    </row>
    <row r="224" spans="1:33" x14ac:dyDescent="0.25">
      <c r="A224" s="4" t="s">
        <v>121</v>
      </c>
      <c r="B224" s="4">
        <v>2020</v>
      </c>
      <c r="C224" s="4" t="s">
        <v>105</v>
      </c>
      <c r="D224" s="5">
        <f t="shared" si="45"/>
        <v>0</v>
      </c>
      <c r="E224" s="4">
        <v>41.1</v>
      </c>
      <c r="F224" s="4">
        <v>33.5</v>
      </c>
      <c r="G224" s="4">
        <v>49.4</v>
      </c>
      <c r="H224" s="4">
        <v>30.3</v>
      </c>
      <c r="I224" s="4">
        <v>65.099999999999994</v>
      </c>
      <c r="J224" s="4">
        <v>1309.8</v>
      </c>
      <c r="K224" s="4">
        <v>62.9</v>
      </c>
      <c r="L224" s="4">
        <v>5.3209999999999997</v>
      </c>
      <c r="M224" s="4">
        <v>39.26</v>
      </c>
      <c r="N224" s="4">
        <v>18.5</v>
      </c>
      <c r="O224" s="4">
        <v>30.3</v>
      </c>
      <c r="P224" s="4">
        <v>16573</v>
      </c>
      <c r="Q224" s="6">
        <f t="shared" si="46"/>
        <v>12.653076805619179</v>
      </c>
      <c r="R224" s="4">
        <v>4</v>
      </c>
      <c r="S224" s="4">
        <v>2</v>
      </c>
      <c r="T224" s="6">
        <f t="shared" si="47"/>
        <v>0.45808520384791573</v>
      </c>
      <c r="U224" s="4">
        <v>394.6</v>
      </c>
      <c r="V224" s="7">
        <f t="shared" si="48"/>
        <v>3.7160081215021892</v>
      </c>
      <c r="W224" s="7">
        <f t="shared" si="49"/>
        <v>4.1415461637063951</v>
      </c>
      <c r="X224" s="7">
        <f t="shared" si="50"/>
        <v>2.5379004113395909</v>
      </c>
      <c r="Y224" s="7">
        <f t="shared" si="51"/>
        <v>5.9804035997485574</v>
      </c>
      <c r="Z224" s="7">
        <f t="shared" si="37"/>
        <v>4.1026433650367959</v>
      </c>
      <c r="AA224" s="7">
        <f t="shared" si="38"/>
        <v>4.8630000000000004</v>
      </c>
      <c r="AB224" s="7">
        <f t="shared" si="39"/>
        <v>39.17</v>
      </c>
      <c r="AC224" s="7">
        <f t="shared" si="40"/>
        <v>16.7</v>
      </c>
      <c r="AD224" s="7">
        <f t="shared" si="41"/>
        <v>30.8</v>
      </c>
      <c r="AE224" s="7">
        <f t="shared" si="42"/>
        <v>2.424660365279816</v>
      </c>
      <c r="AF224" s="7">
        <f t="shared" si="43"/>
        <v>0.53875163549603633</v>
      </c>
      <c r="AG224" s="7">
        <f t="shared" si="44"/>
        <v>5.9957055413652363</v>
      </c>
    </row>
    <row r="225" spans="1:33" x14ac:dyDescent="0.25">
      <c r="A225" s="4" t="s">
        <v>122</v>
      </c>
      <c r="B225" s="4">
        <v>2020</v>
      </c>
      <c r="C225" s="4" t="s">
        <v>96</v>
      </c>
      <c r="D225" s="5">
        <f t="shared" si="45"/>
        <v>0</v>
      </c>
      <c r="E225" s="4">
        <v>29.3</v>
      </c>
      <c r="F225" s="4">
        <v>25.7</v>
      </c>
      <c r="G225" s="4">
        <v>27.7</v>
      </c>
      <c r="H225" s="4">
        <v>24.8</v>
      </c>
      <c r="I225" s="4">
        <v>57.5</v>
      </c>
      <c r="J225" s="4">
        <v>788.7</v>
      </c>
      <c r="K225" s="4">
        <v>44.2</v>
      </c>
      <c r="L225" s="4">
        <v>2.5550000000000002</v>
      </c>
      <c r="M225" s="4">
        <v>23.04</v>
      </c>
      <c r="N225" s="4">
        <v>21</v>
      </c>
      <c r="O225" s="4">
        <v>16</v>
      </c>
      <c r="P225" s="4">
        <v>6462.7</v>
      </c>
      <c r="Q225" s="6">
        <f t="shared" si="46"/>
        <v>8.1941169012298705</v>
      </c>
      <c r="R225" s="4">
        <v>3</v>
      </c>
      <c r="S225" s="4">
        <v>2</v>
      </c>
      <c r="T225" s="6">
        <f t="shared" si="47"/>
        <v>0.63395460885000632</v>
      </c>
      <c r="U225" s="4">
        <v>302</v>
      </c>
      <c r="V225" s="7">
        <f t="shared" si="48"/>
        <v>3.3775875160230218</v>
      </c>
      <c r="W225" s="7">
        <f t="shared" si="49"/>
        <v>3.7887247890836524</v>
      </c>
      <c r="X225" s="7">
        <f t="shared" si="50"/>
        <v>2.1034164457094953</v>
      </c>
      <c r="Y225" s="7">
        <f t="shared" si="51"/>
        <v>5.7137328055093688</v>
      </c>
      <c r="Z225" s="7">
        <f t="shared" si="37"/>
        <v>3.735285826928092</v>
      </c>
      <c r="AA225" s="7">
        <f t="shared" si="38"/>
        <v>2.4340000000000002</v>
      </c>
      <c r="AB225" s="7">
        <f t="shared" si="39"/>
        <v>20.48</v>
      </c>
      <c r="AC225" s="7">
        <f t="shared" si="40"/>
        <v>16.5</v>
      </c>
      <c r="AD225" s="7">
        <f t="shared" si="41"/>
        <v>15</v>
      </c>
      <c r="AE225" s="7">
        <f t="shared" si="42"/>
        <v>2.1793949640432282</v>
      </c>
      <c r="AF225" s="7">
        <f t="shared" si="43"/>
        <v>0.76647930505876349</v>
      </c>
      <c r="AG225" s="7">
        <f t="shared" si="44"/>
        <v>5.7212948997408324</v>
      </c>
    </row>
    <row r="226" spans="1:33" x14ac:dyDescent="0.25">
      <c r="A226" s="4" t="s">
        <v>123</v>
      </c>
      <c r="B226" s="4">
        <v>2020</v>
      </c>
      <c r="C226" s="4" t="s">
        <v>99</v>
      </c>
      <c r="D226" s="5">
        <f t="shared" si="45"/>
        <v>1</v>
      </c>
      <c r="E226" s="4">
        <v>40.700000000000003</v>
      </c>
      <c r="F226" s="4">
        <v>36.1</v>
      </c>
      <c r="G226" s="4">
        <v>50.8</v>
      </c>
      <c r="H226" s="4">
        <v>24.9</v>
      </c>
      <c r="I226" s="4">
        <v>69.599999999999994</v>
      </c>
      <c r="J226" s="4">
        <v>1780.3</v>
      </c>
      <c r="K226" s="4">
        <v>42.7</v>
      </c>
      <c r="L226" s="4">
        <v>3.36</v>
      </c>
      <c r="M226" s="4">
        <v>20.23</v>
      </c>
      <c r="N226" s="4">
        <v>20.100000000000001</v>
      </c>
      <c r="O226" s="4">
        <v>13.7</v>
      </c>
      <c r="P226" s="4">
        <v>12288.1</v>
      </c>
      <c r="Q226" s="6">
        <f t="shared" si="46"/>
        <v>6.9022636634275125</v>
      </c>
      <c r="R226" s="4">
        <v>18</v>
      </c>
      <c r="S226" s="4">
        <v>0</v>
      </c>
      <c r="T226" s="6">
        <f t="shared" si="47"/>
        <v>1.0110655507498738</v>
      </c>
      <c r="U226" s="4">
        <v>2010.6</v>
      </c>
      <c r="V226" s="7">
        <f t="shared" si="48"/>
        <v>3.7062280924485496</v>
      </c>
      <c r="W226" s="7">
        <f t="shared" si="49"/>
        <v>3.7541989202345789</v>
      </c>
      <c r="X226" s="7">
        <f t="shared" si="50"/>
        <v>1.9318494249643563</v>
      </c>
      <c r="Y226" s="7">
        <f t="shared" si="51"/>
        <v>7.60668570429781</v>
      </c>
      <c r="Z226" s="7">
        <f t="shared" si="37"/>
        <v>3.6635616461296463</v>
      </c>
      <c r="AA226" s="7">
        <f t="shared" si="38"/>
        <v>3.1869999999999998</v>
      </c>
      <c r="AB226" s="7">
        <f t="shared" si="39"/>
        <v>18.18</v>
      </c>
      <c r="AC226" s="7">
        <f t="shared" si="40"/>
        <v>17.7</v>
      </c>
      <c r="AD226" s="7">
        <f t="shared" si="41"/>
        <v>10.199999999999999</v>
      </c>
      <c r="AE226" s="7">
        <f t="shared" si="42"/>
        <v>2.0236282045263727</v>
      </c>
      <c r="AF226" s="7">
        <f t="shared" si="43"/>
        <v>1.010724914369139</v>
      </c>
      <c r="AG226" s="7">
        <f t="shared" si="44"/>
        <v>7.5857888217320344</v>
      </c>
    </row>
    <row r="227" spans="1:33" x14ac:dyDescent="0.25">
      <c r="A227" s="4" t="s">
        <v>124</v>
      </c>
      <c r="B227" s="4">
        <v>2020</v>
      </c>
      <c r="C227" s="4" t="s">
        <v>92</v>
      </c>
      <c r="D227" s="5">
        <f t="shared" si="45"/>
        <v>0</v>
      </c>
      <c r="E227" s="4">
        <v>46.3</v>
      </c>
      <c r="F227" s="4">
        <v>39.299999999999997</v>
      </c>
      <c r="G227" s="4">
        <v>43.5</v>
      </c>
      <c r="H227" s="4">
        <v>45.1</v>
      </c>
      <c r="I227" s="4">
        <v>74.2</v>
      </c>
      <c r="J227" s="4">
        <v>3365.2</v>
      </c>
      <c r="K227" s="4">
        <v>43.1</v>
      </c>
      <c r="L227" s="4">
        <v>3.4580000000000002</v>
      </c>
      <c r="M227" s="4">
        <v>15.5</v>
      </c>
      <c r="N227" s="4">
        <v>20.8</v>
      </c>
      <c r="O227" s="4">
        <v>18.5</v>
      </c>
      <c r="P227" s="4">
        <v>115071.2</v>
      </c>
      <c r="Q227" s="6">
        <f t="shared" si="46"/>
        <v>34.19446095328658</v>
      </c>
      <c r="R227" s="4">
        <v>95</v>
      </c>
      <c r="S227" s="4">
        <v>19</v>
      </c>
      <c r="T227" s="6">
        <f t="shared" si="47"/>
        <v>3.3876144062760014</v>
      </c>
      <c r="U227" s="4">
        <v>655.20000000000005</v>
      </c>
      <c r="V227" s="7">
        <f t="shared" si="48"/>
        <v>3.8351419610921882</v>
      </c>
      <c r="W227" s="7">
        <f t="shared" si="49"/>
        <v>3.763522997109702</v>
      </c>
      <c r="X227" s="7">
        <f t="shared" si="50"/>
        <v>3.5320636705213357</v>
      </c>
      <c r="Y227" s="7">
        <f t="shared" si="51"/>
        <v>6.4864656205270013</v>
      </c>
      <c r="Z227" s="7">
        <f t="shared" si="37"/>
        <v>3.6838669122903918</v>
      </c>
      <c r="AA227" s="7">
        <f t="shared" si="38"/>
        <v>3.2530000000000001</v>
      </c>
      <c r="AB227" s="7">
        <f t="shared" si="39"/>
        <v>14.7</v>
      </c>
      <c r="AC227" s="7">
        <f t="shared" si="40"/>
        <v>20.7</v>
      </c>
      <c r="AD227" s="7">
        <f t="shared" si="41"/>
        <v>18.899999999999999</v>
      </c>
      <c r="AE227" s="7">
        <f t="shared" si="42"/>
        <v>3.4398768452766815</v>
      </c>
      <c r="AF227" s="7">
        <f t="shared" si="43"/>
        <v>3.1763154740501025</v>
      </c>
      <c r="AG227" s="7">
        <f t="shared" si="44"/>
        <v>6.4734276261888715</v>
      </c>
    </row>
    <row r="228" spans="1:33" x14ac:dyDescent="0.25">
      <c r="A228" s="4" t="s">
        <v>125</v>
      </c>
      <c r="B228" s="4">
        <v>2020</v>
      </c>
      <c r="C228" s="4" t="s">
        <v>99</v>
      </c>
      <c r="D228" s="5">
        <f t="shared" si="45"/>
        <v>1</v>
      </c>
      <c r="E228" s="4">
        <v>43.2</v>
      </c>
      <c r="F228" s="4">
        <v>35.5</v>
      </c>
      <c r="G228" s="4">
        <v>47.3</v>
      </c>
      <c r="H228" s="4">
        <v>36.200000000000003</v>
      </c>
      <c r="I228" s="4">
        <v>68.8</v>
      </c>
      <c r="J228" s="4">
        <v>993.9</v>
      </c>
      <c r="K228" s="4">
        <v>67.5</v>
      </c>
      <c r="L228" s="4">
        <v>4.6379999999999999</v>
      </c>
      <c r="M228" s="4">
        <v>21.39</v>
      </c>
      <c r="N228" s="4">
        <v>30.2</v>
      </c>
      <c r="O228" s="4">
        <v>20</v>
      </c>
      <c r="P228" s="4">
        <v>25339.8</v>
      </c>
      <c r="Q228" s="6">
        <f t="shared" si="46"/>
        <v>25.495321460911562</v>
      </c>
      <c r="R228" s="4">
        <v>33</v>
      </c>
      <c r="S228" s="4">
        <v>2</v>
      </c>
      <c r="T228" s="6">
        <f t="shared" si="47"/>
        <v>3.5214810343092866</v>
      </c>
      <c r="U228" s="4">
        <v>1466.3</v>
      </c>
      <c r="V228" s="7">
        <f t="shared" si="48"/>
        <v>3.7658404952500648</v>
      </c>
      <c r="W228" s="7">
        <f t="shared" si="49"/>
        <v>4.2121275978784842</v>
      </c>
      <c r="X228" s="7">
        <f t="shared" si="50"/>
        <v>3.2384949632101967</v>
      </c>
      <c r="Y228" s="7">
        <f t="shared" si="51"/>
        <v>7.2911792562134208</v>
      </c>
      <c r="Z228" s="7">
        <f t="shared" si="37"/>
        <v>4.1399550734741526</v>
      </c>
      <c r="AA228" s="7">
        <f t="shared" si="38"/>
        <v>4.3440000000000003</v>
      </c>
      <c r="AB228" s="7">
        <f t="shared" si="39"/>
        <v>21.11</v>
      </c>
      <c r="AC228" s="7">
        <f t="shared" si="40"/>
        <v>28.9</v>
      </c>
      <c r="AD228" s="7">
        <f t="shared" si="41"/>
        <v>16.100000000000001</v>
      </c>
      <c r="AE228" s="7">
        <f t="shared" si="42"/>
        <v>3.2331082416068808</v>
      </c>
      <c r="AF228" s="7">
        <f t="shared" si="43"/>
        <v>1.015744032503809</v>
      </c>
      <c r="AG228" s="7">
        <f t="shared" si="44"/>
        <v>7.2581304207723409</v>
      </c>
    </row>
    <row r="229" spans="1:33" x14ac:dyDescent="0.25">
      <c r="A229" s="4" t="s">
        <v>126</v>
      </c>
      <c r="B229" s="4">
        <v>2020</v>
      </c>
      <c r="C229" s="4" t="s">
        <v>92</v>
      </c>
      <c r="D229" s="5">
        <f t="shared" si="45"/>
        <v>0</v>
      </c>
      <c r="E229" s="4">
        <v>34</v>
      </c>
      <c r="F229" s="4">
        <v>31.5</v>
      </c>
      <c r="G229" s="4">
        <v>44.6</v>
      </c>
      <c r="H229" s="4">
        <v>20.6</v>
      </c>
      <c r="I229" s="4">
        <v>49</v>
      </c>
      <c r="J229" s="4">
        <v>593.6</v>
      </c>
      <c r="K229" s="4">
        <v>59.1</v>
      </c>
      <c r="L229" s="4">
        <v>4.55</v>
      </c>
      <c r="M229" s="4">
        <v>35.31</v>
      </c>
      <c r="N229" s="4">
        <v>16.2</v>
      </c>
      <c r="O229" s="4">
        <v>15.8</v>
      </c>
      <c r="P229" s="4">
        <v>5649.6</v>
      </c>
      <c r="Q229" s="6">
        <f t="shared" si="46"/>
        <v>9.5175202156334233</v>
      </c>
      <c r="R229" s="4">
        <v>7</v>
      </c>
      <c r="S229" s="4">
        <v>1</v>
      </c>
      <c r="T229" s="6">
        <f t="shared" si="47"/>
        <v>1.3477088948787062</v>
      </c>
      <c r="U229" s="4">
        <v>2615.1</v>
      </c>
      <c r="V229" s="7">
        <f t="shared" si="48"/>
        <v>3.5263605246161616</v>
      </c>
      <c r="W229" s="7">
        <f t="shared" si="49"/>
        <v>4.0792309244120526</v>
      </c>
      <c r="X229" s="7">
        <f t="shared" si="50"/>
        <v>2.2531343333209515</v>
      </c>
      <c r="Y229" s="7">
        <f t="shared" si="51"/>
        <v>7.8694399381461775</v>
      </c>
      <c r="Z229" s="7">
        <f t="shared" si="37"/>
        <v>3.9646154555473165</v>
      </c>
      <c r="AA229" s="7">
        <f t="shared" si="38"/>
        <v>3.9630000000000001</v>
      </c>
      <c r="AB229" s="7">
        <f t="shared" si="39"/>
        <v>35.75</v>
      </c>
      <c r="AC229" s="7">
        <f t="shared" si="40"/>
        <v>18.899999999999999</v>
      </c>
      <c r="AD229" s="7">
        <f t="shared" si="41"/>
        <v>12.8</v>
      </c>
      <c r="AE229" s="7">
        <f t="shared" si="42"/>
        <v>2.3019927009824763</v>
      </c>
      <c r="AF229" s="7">
        <f t="shared" si="43"/>
        <v>1.1844331641285957</v>
      </c>
      <c r="AG229" s="7">
        <f t="shared" si="44"/>
        <v>7.9710166903473212</v>
      </c>
    </row>
    <row r="230" spans="1:33" x14ac:dyDescent="0.25">
      <c r="A230" s="4" t="s">
        <v>127</v>
      </c>
      <c r="B230" s="4">
        <v>2020</v>
      </c>
      <c r="C230" s="4" t="s">
        <v>96</v>
      </c>
      <c r="D230" s="5">
        <f t="shared" si="45"/>
        <v>0</v>
      </c>
      <c r="E230" s="4">
        <v>39.4</v>
      </c>
      <c r="F230" s="4">
        <v>33.9</v>
      </c>
      <c r="G230" s="4">
        <v>42.1</v>
      </c>
      <c r="H230" s="4">
        <v>32</v>
      </c>
      <c r="I230" s="4">
        <v>67.099999999999994</v>
      </c>
      <c r="J230" s="4">
        <v>1481.9</v>
      </c>
      <c r="K230" s="4">
        <v>50.7</v>
      </c>
      <c r="L230" s="4">
        <v>3.5779999999999998</v>
      </c>
      <c r="M230" s="4">
        <v>19.02</v>
      </c>
      <c r="N230" s="4">
        <v>25.2</v>
      </c>
      <c r="O230" s="4">
        <v>23.7</v>
      </c>
      <c r="P230" s="4">
        <v>30256.799999999999</v>
      </c>
      <c r="Q230" s="6">
        <f t="shared" si="46"/>
        <v>20.417572035899855</v>
      </c>
      <c r="R230" s="4">
        <v>17</v>
      </c>
      <c r="S230" s="4">
        <v>4</v>
      </c>
      <c r="T230" s="6">
        <f t="shared" si="47"/>
        <v>1.4170996693434104</v>
      </c>
      <c r="U230" s="4">
        <v>1288.5</v>
      </c>
      <c r="V230" s="7">
        <f t="shared" si="48"/>
        <v>3.673765816303888</v>
      </c>
      <c r="W230" s="7">
        <f t="shared" si="49"/>
        <v>3.9259259105971376</v>
      </c>
      <c r="X230" s="7">
        <f t="shared" si="50"/>
        <v>3.0163959043890363</v>
      </c>
      <c r="Y230" s="7">
        <f t="shared" si="51"/>
        <v>7.1620098253213991</v>
      </c>
      <c r="Z230" s="7">
        <f t="shared" si="37"/>
        <v>3.8522730010223722</v>
      </c>
      <c r="AA230" s="7">
        <f t="shared" si="38"/>
        <v>3.35</v>
      </c>
      <c r="AB230" s="7">
        <f t="shared" si="39"/>
        <v>18.37</v>
      </c>
      <c r="AC230" s="7">
        <f t="shared" si="40"/>
        <v>24.6</v>
      </c>
      <c r="AD230" s="7">
        <f t="shared" si="41"/>
        <v>21.4</v>
      </c>
      <c r="AE230" s="7">
        <f t="shared" si="42"/>
        <v>2.9844819641613083</v>
      </c>
      <c r="AF230" s="7">
        <f t="shared" si="43"/>
        <v>1.2956901254773594</v>
      </c>
      <c r="AG230" s="7">
        <f t="shared" si="44"/>
        <v>6.9939329752231894</v>
      </c>
    </row>
    <row r="231" spans="1:33" x14ac:dyDescent="0.25">
      <c r="A231" s="4" t="s">
        <v>128</v>
      </c>
      <c r="B231" s="4">
        <v>2020</v>
      </c>
      <c r="C231" s="4" t="s">
        <v>92</v>
      </c>
      <c r="D231" s="5">
        <f t="shared" si="45"/>
        <v>0</v>
      </c>
      <c r="E231" s="4">
        <v>35.5</v>
      </c>
      <c r="F231" s="4">
        <v>38.6</v>
      </c>
      <c r="G231" s="4">
        <v>34.6</v>
      </c>
      <c r="H231" s="4">
        <v>25.6</v>
      </c>
      <c r="I231" s="4">
        <v>67.400000000000006</v>
      </c>
      <c r="J231" s="4">
        <v>874.3</v>
      </c>
      <c r="K231" s="4">
        <v>50.5</v>
      </c>
      <c r="L231" s="4">
        <v>3.4209999999999998</v>
      </c>
      <c r="M231" s="4">
        <v>32.700000000000003</v>
      </c>
      <c r="N231" s="4">
        <v>17.5</v>
      </c>
      <c r="O231" s="4">
        <v>21.1</v>
      </c>
      <c r="P231" s="4">
        <v>12198.9</v>
      </c>
      <c r="Q231" s="6">
        <f t="shared" si="46"/>
        <v>13.952762209767815</v>
      </c>
      <c r="R231" s="4">
        <v>4</v>
      </c>
      <c r="S231" s="4">
        <v>1</v>
      </c>
      <c r="T231" s="6">
        <f t="shared" si="47"/>
        <v>0.57188608029280563</v>
      </c>
      <c r="U231" s="4">
        <v>2327.5</v>
      </c>
      <c r="V231" s="7">
        <f t="shared" si="48"/>
        <v>3.5695326964813701</v>
      </c>
      <c r="W231" s="7">
        <f t="shared" si="49"/>
        <v>3.9219733362813143</v>
      </c>
      <c r="X231" s="7">
        <f t="shared" si="50"/>
        <v>2.6356774965350644</v>
      </c>
      <c r="Y231" s="7">
        <f t="shared" si="51"/>
        <v>7.752979562422432</v>
      </c>
      <c r="Z231" s="7">
        <f t="shared" si="37"/>
        <v>3.8836235309064482</v>
      </c>
      <c r="AA231" s="7">
        <f t="shared" si="38"/>
        <v>3.1150000000000002</v>
      </c>
      <c r="AB231" s="7">
        <f t="shared" si="39"/>
        <v>28.74</v>
      </c>
      <c r="AC231" s="7">
        <f t="shared" si="40"/>
        <v>16.600000000000001</v>
      </c>
      <c r="AD231" s="7">
        <f t="shared" si="41"/>
        <v>18.899999999999999</v>
      </c>
      <c r="AE231" s="7">
        <f t="shared" si="42"/>
        <v>2.6973811817596256</v>
      </c>
      <c r="AF231" s="7">
        <f t="shared" si="43"/>
        <v>0.68712780577187349</v>
      </c>
      <c r="AG231" s="7">
        <f t="shared" si="44"/>
        <v>7.731623657265092</v>
      </c>
    </row>
    <row r="232" spans="1:33" x14ac:dyDescent="0.25">
      <c r="A232" s="4" t="s">
        <v>129</v>
      </c>
      <c r="B232" s="4">
        <v>2020</v>
      </c>
      <c r="C232" s="4" t="s">
        <v>92</v>
      </c>
      <c r="D232" s="5">
        <f t="shared" si="45"/>
        <v>0</v>
      </c>
      <c r="E232" s="4">
        <v>32.4</v>
      </c>
      <c r="F232" s="4">
        <v>28.6</v>
      </c>
      <c r="G232" s="4">
        <v>41.4</v>
      </c>
      <c r="H232" s="4">
        <v>19.600000000000001</v>
      </c>
      <c r="I232" s="4">
        <v>53</v>
      </c>
      <c r="J232" s="4">
        <v>902</v>
      </c>
      <c r="K232" s="4">
        <v>46.3</v>
      </c>
      <c r="L232" s="4">
        <v>4.952</v>
      </c>
      <c r="M232" s="4">
        <v>22.96</v>
      </c>
      <c r="N232" s="4">
        <v>21.9</v>
      </c>
      <c r="O232" s="4">
        <v>15.3</v>
      </c>
      <c r="P232" s="4">
        <v>22871.5</v>
      </c>
      <c r="Q232" s="6">
        <f t="shared" si="46"/>
        <v>25.356430155210642</v>
      </c>
      <c r="R232" s="4">
        <v>8</v>
      </c>
      <c r="S232" s="4">
        <v>1</v>
      </c>
      <c r="T232" s="6">
        <f t="shared" si="47"/>
        <v>0.99778270509977818</v>
      </c>
      <c r="U232" s="4">
        <v>1177.0999999999999</v>
      </c>
      <c r="V232" s="7">
        <f t="shared" si="48"/>
        <v>3.4781584227982836</v>
      </c>
      <c r="W232" s="7">
        <f t="shared" si="49"/>
        <v>3.8351419610921882</v>
      </c>
      <c r="X232" s="7">
        <f t="shared" si="50"/>
        <v>3.2330323529100875</v>
      </c>
      <c r="Y232" s="7">
        <f t="shared" si="51"/>
        <v>7.0716582502520735</v>
      </c>
      <c r="Z232" s="7">
        <f t="shared" si="37"/>
        <v>3.7773481021015445</v>
      </c>
      <c r="AA232" s="7">
        <f t="shared" si="38"/>
        <v>4.641</v>
      </c>
      <c r="AB232" s="7">
        <f t="shared" si="39"/>
        <v>20.99</v>
      </c>
      <c r="AC232" s="7">
        <f t="shared" si="40"/>
        <v>21.7</v>
      </c>
      <c r="AD232" s="7">
        <f t="shared" si="41"/>
        <v>13.4</v>
      </c>
      <c r="AE232" s="7">
        <f t="shared" si="42"/>
        <v>3.2311755139274179</v>
      </c>
      <c r="AF232" s="7">
        <f t="shared" si="43"/>
        <v>0.89225964755743925</v>
      </c>
      <c r="AG232" s="7">
        <f t="shared" si="44"/>
        <v>6.752270376141742</v>
      </c>
    </row>
    <row r="233" spans="1:33" x14ac:dyDescent="0.25">
      <c r="A233" s="4" t="s">
        <v>130</v>
      </c>
      <c r="B233" s="4">
        <v>2020</v>
      </c>
      <c r="C233" s="4" t="s">
        <v>92</v>
      </c>
      <c r="D233" s="5">
        <f t="shared" si="45"/>
        <v>0</v>
      </c>
      <c r="E233" s="4">
        <v>39.799999999999997</v>
      </c>
      <c r="F233" s="4">
        <v>35.299999999999997</v>
      </c>
      <c r="G233" s="4">
        <v>42.6</v>
      </c>
      <c r="H233" s="4">
        <v>29.2</v>
      </c>
      <c r="I233" s="4">
        <v>76.099999999999994</v>
      </c>
      <c r="J233" s="4">
        <v>1505</v>
      </c>
      <c r="K233" s="4">
        <v>65.400000000000006</v>
      </c>
      <c r="L233" s="4">
        <v>5.1319999999999997</v>
      </c>
      <c r="M233" s="4">
        <v>26.33</v>
      </c>
      <c r="N233" s="4">
        <v>21.5</v>
      </c>
      <c r="O233" s="4">
        <v>20.100000000000001</v>
      </c>
      <c r="P233" s="4">
        <v>13500.6</v>
      </c>
      <c r="Q233" s="6">
        <f t="shared" si="46"/>
        <v>8.9704983388704314</v>
      </c>
      <c r="R233" s="4">
        <v>3</v>
      </c>
      <c r="S233" s="4">
        <v>1</v>
      </c>
      <c r="T233" s="6">
        <f t="shared" si="47"/>
        <v>0.26578073089700999</v>
      </c>
      <c r="U233" s="4">
        <v>4022.8</v>
      </c>
      <c r="V233" s="7">
        <f t="shared" si="48"/>
        <v>3.6838669122903918</v>
      </c>
      <c r="W233" s="7">
        <f t="shared" si="49"/>
        <v>4.180522258463153</v>
      </c>
      <c r="X233" s="7">
        <f t="shared" si="50"/>
        <v>2.1939412307003638</v>
      </c>
      <c r="Y233" s="7">
        <f t="shared" si="51"/>
        <v>8.2999820087551353</v>
      </c>
      <c r="Z233" s="7">
        <f t="shared" si="37"/>
        <v>4.1896547420264252</v>
      </c>
      <c r="AA233" s="7">
        <f t="shared" si="38"/>
        <v>4.843</v>
      </c>
      <c r="AB233" s="7">
        <f t="shared" si="39"/>
        <v>25.35</v>
      </c>
      <c r="AC233" s="7">
        <f t="shared" si="40"/>
        <v>18.7</v>
      </c>
      <c r="AD233" s="7">
        <f t="shared" si="41"/>
        <v>16.899999999999999</v>
      </c>
      <c r="AE233" s="7">
        <f t="shared" si="42"/>
        <v>2.4979541590756296</v>
      </c>
      <c r="AF233" s="7">
        <f t="shared" si="43"/>
        <v>0.13355592654424039</v>
      </c>
      <c r="AG233" s="7">
        <f t="shared" si="44"/>
        <v>8.3168380017324584</v>
      </c>
    </row>
    <row r="234" spans="1:33" x14ac:dyDescent="0.25">
      <c r="A234" s="4" t="s">
        <v>131</v>
      </c>
      <c r="B234" s="4">
        <v>2020</v>
      </c>
      <c r="C234" s="4" t="s">
        <v>92</v>
      </c>
      <c r="D234" s="5">
        <f t="shared" si="45"/>
        <v>0</v>
      </c>
      <c r="E234" s="4">
        <v>35</v>
      </c>
      <c r="F234" s="4">
        <v>31.2</v>
      </c>
      <c r="G234" s="4">
        <v>36.5</v>
      </c>
      <c r="H234" s="4">
        <v>28.9</v>
      </c>
      <c r="I234" s="4">
        <v>58.6</v>
      </c>
      <c r="J234" s="4">
        <v>1233.4000000000001</v>
      </c>
      <c r="K234" s="4">
        <v>69.5</v>
      </c>
      <c r="L234" s="4">
        <v>4.2949999999999999</v>
      </c>
      <c r="M234" s="4">
        <v>21.1</v>
      </c>
      <c r="N234" s="4">
        <v>22</v>
      </c>
      <c r="O234" s="4">
        <v>19.3</v>
      </c>
      <c r="P234" s="4">
        <v>10506</v>
      </c>
      <c r="Q234" s="6">
        <f t="shared" si="46"/>
        <v>8.5179179503810598</v>
      </c>
      <c r="R234" s="4">
        <v>8</v>
      </c>
      <c r="S234" s="4">
        <v>2</v>
      </c>
      <c r="T234" s="6">
        <f t="shared" si="47"/>
        <v>0.81076698556834748</v>
      </c>
      <c r="U234" s="4">
        <v>1591.3</v>
      </c>
      <c r="V234" s="7">
        <f t="shared" si="48"/>
        <v>3.5553480614894135</v>
      </c>
      <c r="W234" s="7">
        <f t="shared" si="49"/>
        <v>4.2413267525707461</v>
      </c>
      <c r="X234" s="7">
        <f t="shared" si="50"/>
        <v>2.1421719389565141</v>
      </c>
      <c r="Y234" s="7">
        <f t="shared" si="51"/>
        <v>7.3729347908623808</v>
      </c>
      <c r="Z234" s="7">
        <f t="shared" si="37"/>
        <v>4.255612709818223</v>
      </c>
      <c r="AA234" s="7">
        <f t="shared" si="38"/>
        <v>4.1289999999999996</v>
      </c>
      <c r="AB234" s="7">
        <f t="shared" si="39"/>
        <v>16.36</v>
      </c>
      <c r="AC234" s="7">
        <f t="shared" si="40"/>
        <v>20.9</v>
      </c>
      <c r="AD234" s="7">
        <f t="shared" si="41"/>
        <v>16.399999999999999</v>
      </c>
      <c r="AE234" s="7">
        <f t="shared" si="42"/>
        <v>2.4036054953092547</v>
      </c>
      <c r="AF234" s="7">
        <f t="shared" si="43"/>
        <v>0.73057878074519034</v>
      </c>
      <c r="AG234" s="7">
        <f t="shared" si="44"/>
        <v>7.3121531511298787</v>
      </c>
    </row>
    <row r="235" spans="1:33" x14ac:dyDescent="0.25">
      <c r="A235" s="4" t="s">
        <v>132</v>
      </c>
      <c r="B235" s="4">
        <v>2020</v>
      </c>
      <c r="C235" s="4" t="s">
        <v>99</v>
      </c>
      <c r="D235" s="5">
        <f t="shared" si="45"/>
        <v>1</v>
      </c>
      <c r="E235" s="4">
        <v>49.3</v>
      </c>
      <c r="F235" s="4">
        <v>38</v>
      </c>
      <c r="G235" s="4">
        <v>56.5</v>
      </c>
      <c r="H235" s="4">
        <v>42</v>
      </c>
      <c r="I235" s="4">
        <v>72</v>
      </c>
      <c r="J235" s="4">
        <v>1337.6</v>
      </c>
      <c r="K235" s="4">
        <v>155.6</v>
      </c>
      <c r="L235" s="4">
        <v>6.9009999999999998</v>
      </c>
      <c r="M235" s="4">
        <v>64.44</v>
      </c>
      <c r="N235" s="4">
        <v>38.700000000000003</v>
      </c>
      <c r="O235" s="4">
        <v>26.4</v>
      </c>
      <c r="P235" s="4">
        <v>42008.800000000003</v>
      </c>
      <c r="Q235" s="6">
        <f t="shared" si="46"/>
        <v>31.406100478468904</v>
      </c>
      <c r="R235" s="4">
        <v>27</v>
      </c>
      <c r="S235" s="4">
        <v>7</v>
      </c>
      <c r="T235" s="6">
        <f t="shared" si="47"/>
        <v>2.5418660287081343</v>
      </c>
      <c r="U235" s="4">
        <v>5074.5</v>
      </c>
      <c r="V235" s="7">
        <f t="shared" si="48"/>
        <v>3.8979240810486444</v>
      </c>
      <c r="W235" s="7">
        <f t="shared" si="49"/>
        <v>5.0472886117442908</v>
      </c>
      <c r="X235" s="7">
        <f t="shared" si="50"/>
        <v>3.4470021567975442</v>
      </c>
      <c r="Y235" s="7">
        <f t="shared" si="51"/>
        <v>8.5321803212244856</v>
      </c>
      <c r="Z235" s="7">
        <f t="shared" si="37"/>
        <v>4.9649403348341261</v>
      </c>
      <c r="AA235" s="7">
        <f t="shared" si="38"/>
        <v>6.7229999999999999</v>
      </c>
      <c r="AB235" s="7">
        <f t="shared" si="39"/>
        <v>64.44</v>
      </c>
      <c r="AC235" s="7">
        <f t="shared" si="40"/>
        <v>37.700000000000003</v>
      </c>
      <c r="AD235" s="7">
        <f t="shared" si="41"/>
        <v>27.5</v>
      </c>
      <c r="AE235" s="7">
        <f t="shared" si="42"/>
        <v>3.322961071193907</v>
      </c>
      <c r="AF235" s="7">
        <f t="shared" si="43"/>
        <v>2.943840579710145</v>
      </c>
      <c r="AG235" s="7">
        <f t="shared" si="44"/>
        <v>8.4699548225893668</v>
      </c>
    </row>
    <row r="236" spans="1:33" x14ac:dyDescent="0.25">
      <c r="A236" s="4" t="s">
        <v>133</v>
      </c>
      <c r="B236" s="4">
        <v>2020</v>
      </c>
      <c r="C236" s="4" t="s">
        <v>92</v>
      </c>
      <c r="D236" s="5">
        <f t="shared" si="45"/>
        <v>0</v>
      </c>
      <c r="E236" s="4">
        <v>31.2</v>
      </c>
      <c r="F236" s="4">
        <v>25.2</v>
      </c>
      <c r="G236" s="4">
        <v>33.6</v>
      </c>
      <c r="H236" s="4">
        <v>26.3</v>
      </c>
      <c r="I236" s="4">
        <v>52.2</v>
      </c>
      <c r="J236" s="4">
        <v>637.4</v>
      </c>
      <c r="K236" s="4">
        <v>52.8</v>
      </c>
      <c r="L236" s="4">
        <v>4.49</v>
      </c>
      <c r="M236" s="4">
        <v>32.46</v>
      </c>
      <c r="N236" s="4">
        <v>25.6</v>
      </c>
      <c r="O236" s="4">
        <v>22</v>
      </c>
      <c r="P236" s="4">
        <v>10296</v>
      </c>
      <c r="Q236" s="6">
        <f t="shared" si="46"/>
        <v>16.153122058362097</v>
      </c>
      <c r="R236" s="4">
        <v>21</v>
      </c>
      <c r="S236" s="4">
        <v>1</v>
      </c>
      <c r="T236" s="6">
        <f t="shared" si="47"/>
        <v>3.4515218073423282</v>
      </c>
      <c r="U236" s="4">
        <v>184.8</v>
      </c>
      <c r="V236" s="7">
        <f t="shared" si="48"/>
        <v>3.4404180948154366</v>
      </c>
      <c r="W236" s="7">
        <f t="shared" si="49"/>
        <v>3.9665111907122159</v>
      </c>
      <c r="X236" s="7">
        <f t="shared" si="50"/>
        <v>2.7821133472927264</v>
      </c>
      <c r="Y236" s="7">
        <f t="shared" si="51"/>
        <v>5.2246708263797386</v>
      </c>
      <c r="Z236" s="7">
        <f t="shared" si="37"/>
        <v>3.9180050771056933</v>
      </c>
      <c r="AA236" s="7">
        <f t="shared" si="38"/>
        <v>4.26</v>
      </c>
      <c r="AB236" s="7">
        <f t="shared" si="39"/>
        <v>31.01</v>
      </c>
      <c r="AC236" s="7">
        <f t="shared" si="40"/>
        <v>23.2</v>
      </c>
      <c r="AD236" s="7">
        <f t="shared" si="41"/>
        <v>17.7</v>
      </c>
      <c r="AE236" s="7">
        <f t="shared" si="42"/>
        <v>2.8207283673811534</v>
      </c>
      <c r="AF236" s="7">
        <f t="shared" si="43"/>
        <v>3.4733185980423116</v>
      </c>
      <c r="AG236" s="7">
        <f t="shared" si="44"/>
        <v>4.9067551636088638</v>
      </c>
    </row>
    <row r="237" spans="1:33" x14ac:dyDescent="0.25">
      <c r="A237" s="4" t="s">
        <v>134</v>
      </c>
      <c r="B237" s="4">
        <v>2020</v>
      </c>
      <c r="C237" s="4" t="s">
        <v>86</v>
      </c>
      <c r="D237" s="5">
        <f t="shared" si="45"/>
        <v>0</v>
      </c>
      <c r="E237" s="4"/>
      <c r="F237" s="4"/>
      <c r="G237" s="4"/>
      <c r="H237" s="4"/>
      <c r="I237" s="4"/>
      <c r="J237" s="4">
        <v>1195.7</v>
      </c>
      <c r="K237" s="4">
        <v>45.8</v>
      </c>
      <c r="L237" s="4">
        <v>2.238</v>
      </c>
      <c r="M237" s="4">
        <v>32.33</v>
      </c>
      <c r="N237" s="4">
        <v>15.2</v>
      </c>
      <c r="O237" s="4">
        <v>13.6</v>
      </c>
      <c r="P237" s="4">
        <v>4450.3999999999996</v>
      </c>
      <c r="Q237" s="6">
        <f t="shared" si="46"/>
        <v>3.7220038471188421</v>
      </c>
      <c r="R237" s="4">
        <v>17</v>
      </c>
      <c r="S237" s="4">
        <v>2</v>
      </c>
      <c r="T237" s="6">
        <f t="shared" si="47"/>
        <v>1.589027347996989</v>
      </c>
      <c r="U237" s="4">
        <v>250.1</v>
      </c>
      <c r="V237" s="7" t="str">
        <f t="shared" si="48"/>
        <v/>
      </c>
      <c r="W237" s="7">
        <f t="shared" si="49"/>
        <v>3.824284091120139</v>
      </c>
      <c r="X237" s="7">
        <f t="shared" si="50"/>
        <v>1.314262191835549</v>
      </c>
      <c r="Y237" s="7">
        <f t="shared" si="51"/>
        <v>5.5258512661635395</v>
      </c>
      <c r="Z237" s="7">
        <f t="shared" si="37"/>
        <v>3.7954891891721947</v>
      </c>
      <c r="AA237" s="7">
        <f t="shared" si="38"/>
        <v>2.0110000000000001</v>
      </c>
      <c r="AB237" s="7">
        <f t="shared" si="39"/>
        <v>32.39</v>
      </c>
      <c r="AC237" s="7">
        <f t="shared" si="40"/>
        <v>12.2</v>
      </c>
      <c r="AD237" s="7">
        <f t="shared" si="41"/>
        <v>11.9</v>
      </c>
      <c r="AE237" s="7">
        <f t="shared" si="42"/>
        <v>1.2953722055341492</v>
      </c>
      <c r="AF237" s="7">
        <f t="shared" si="43"/>
        <v>1.1671529804085035</v>
      </c>
      <c r="AG237" s="7">
        <f t="shared" si="44"/>
        <v>5.3341670194417343</v>
      </c>
    </row>
    <row r="238" spans="1:33" x14ac:dyDescent="0.25">
      <c r="A238" s="4" t="s">
        <v>135</v>
      </c>
      <c r="B238" s="4">
        <v>2020</v>
      </c>
      <c r="C238" s="4" t="s">
        <v>96</v>
      </c>
      <c r="D238" s="5">
        <f t="shared" si="45"/>
        <v>0</v>
      </c>
      <c r="E238" s="4"/>
      <c r="F238" s="4"/>
      <c r="G238" s="4"/>
      <c r="H238" s="4"/>
      <c r="I238" s="4"/>
      <c r="J238" s="4">
        <v>1270.5999999999999</v>
      </c>
      <c r="K238" s="4">
        <v>43.3</v>
      </c>
      <c r="L238" s="4">
        <v>1.556</v>
      </c>
      <c r="M238" s="4">
        <v>13.86</v>
      </c>
      <c r="N238" s="4">
        <v>13.1</v>
      </c>
      <c r="O238" s="4">
        <v>13.1</v>
      </c>
      <c r="P238" s="4">
        <v>6023.9</v>
      </c>
      <c r="Q238" s="6">
        <f t="shared" si="46"/>
        <v>4.7409885093656543</v>
      </c>
      <c r="R238" s="4">
        <v>5</v>
      </c>
      <c r="S238" s="4">
        <v>1</v>
      </c>
      <c r="T238" s="6">
        <f t="shared" si="47"/>
        <v>0.47221784983472381</v>
      </c>
      <c r="U238" s="4">
        <v>106.8</v>
      </c>
      <c r="V238" s="7" t="str">
        <f t="shared" si="48"/>
        <v/>
      </c>
      <c r="W238" s="7">
        <f t="shared" si="49"/>
        <v>3.7681526350084442</v>
      </c>
      <c r="X238" s="7">
        <f t="shared" si="50"/>
        <v>1.5562456602439065</v>
      </c>
      <c r="Y238" s="7">
        <f t="shared" si="51"/>
        <v>4.6802776584748971</v>
      </c>
      <c r="Z238" s="7">
        <f t="shared" si="37"/>
        <v>3.6813511876931448</v>
      </c>
      <c r="AA238" s="7">
        <f t="shared" si="38"/>
        <v>1.4410000000000001</v>
      </c>
      <c r="AB238" s="7">
        <f t="shared" si="39"/>
        <v>13.85</v>
      </c>
      <c r="AC238" s="7">
        <f t="shared" si="40"/>
        <v>11.2</v>
      </c>
      <c r="AD238" s="7">
        <f t="shared" si="41"/>
        <v>12.4</v>
      </c>
      <c r="AE238" s="7">
        <f t="shared" si="42"/>
        <v>1.4916269367370423</v>
      </c>
      <c r="AF238" s="7">
        <f t="shared" si="43"/>
        <v>0.55879300710465385</v>
      </c>
      <c r="AG238" s="7">
        <f t="shared" si="44"/>
        <v>4.694096395182493</v>
      </c>
    </row>
    <row r="239" spans="1:33" x14ac:dyDescent="0.25">
      <c r="A239" s="4" t="s">
        <v>136</v>
      </c>
      <c r="B239" s="4">
        <v>2020</v>
      </c>
      <c r="C239" s="4" t="s">
        <v>88</v>
      </c>
      <c r="D239" s="5">
        <f t="shared" si="45"/>
        <v>1</v>
      </c>
      <c r="E239" s="4">
        <v>89.1</v>
      </c>
      <c r="F239" s="4">
        <v>87.7</v>
      </c>
      <c r="G239" s="4">
        <v>89.8</v>
      </c>
      <c r="H239" s="4">
        <v>90.1</v>
      </c>
      <c r="I239" s="4">
        <v>86</v>
      </c>
      <c r="J239" s="4">
        <v>9227.6</v>
      </c>
      <c r="K239" s="4">
        <v>148.6</v>
      </c>
      <c r="L239" s="4">
        <v>27.602</v>
      </c>
      <c r="M239" s="4">
        <v>79.010000000000005</v>
      </c>
      <c r="N239" s="4">
        <v>38.700000000000003</v>
      </c>
      <c r="O239" s="4">
        <v>51.2</v>
      </c>
      <c r="P239" s="4">
        <v>105993.7</v>
      </c>
      <c r="Q239" s="6">
        <f t="shared" si="46"/>
        <v>11.486594564133686</v>
      </c>
      <c r="R239" s="4">
        <v>237</v>
      </c>
      <c r="S239" s="4">
        <v>45</v>
      </c>
      <c r="T239" s="6">
        <f t="shared" si="47"/>
        <v>3.0560492435736268</v>
      </c>
      <c r="U239" s="4">
        <v>5225.8999999999996</v>
      </c>
      <c r="V239" s="7">
        <f t="shared" si="48"/>
        <v>4.4897593344767639</v>
      </c>
      <c r="W239" s="7">
        <f t="shared" si="49"/>
        <v>5.0012581322836587</v>
      </c>
      <c r="X239" s="7">
        <f t="shared" si="50"/>
        <v>2.441180665348742</v>
      </c>
      <c r="Y239" s="7">
        <f t="shared" si="51"/>
        <v>8.561573647096969</v>
      </c>
      <c r="Z239" s="7">
        <f t="shared" si="37"/>
        <v>5.0019308534661091</v>
      </c>
      <c r="AA239" s="7">
        <f t="shared" si="38"/>
        <v>26.510999999999999</v>
      </c>
      <c r="AB239" s="7">
        <f t="shared" si="39"/>
        <v>79.23</v>
      </c>
      <c r="AC239" s="7">
        <f t="shared" si="40"/>
        <v>37.1</v>
      </c>
      <c r="AD239" s="7">
        <f t="shared" si="41"/>
        <v>54.3</v>
      </c>
      <c r="AE239" s="7">
        <f t="shared" si="42"/>
        <v>2.5840430585278642</v>
      </c>
      <c r="AF239" s="7">
        <f t="shared" si="43"/>
        <v>2.821233376850397</v>
      </c>
      <c r="AG239" s="7">
        <f t="shared" si="44"/>
        <v>8.5646300593408586</v>
      </c>
    </row>
    <row r="240" spans="1:33" x14ac:dyDescent="0.25">
      <c r="A240" s="4" t="s">
        <v>137</v>
      </c>
      <c r="B240" s="4">
        <v>2020</v>
      </c>
      <c r="C240" s="4" t="s">
        <v>92</v>
      </c>
      <c r="D240" s="5">
        <f t="shared" si="45"/>
        <v>0</v>
      </c>
      <c r="E240" s="4">
        <v>42.7</v>
      </c>
      <c r="F240" s="4">
        <v>36.1</v>
      </c>
      <c r="G240" s="4">
        <v>43</v>
      </c>
      <c r="H240" s="4">
        <v>41.3</v>
      </c>
      <c r="I240" s="4">
        <v>60</v>
      </c>
      <c r="J240" s="4">
        <v>3664.9</v>
      </c>
      <c r="K240" s="4">
        <v>51.3</v>
      </c>
      <c r="L240" s="4">
        <v>3.589</v>
      </c>
      <c r="M240" s="4">
        <v>23.28</v>
      </c>
      <c r="N240" s="4">
        <v>21.4</v>
      </c>
      <c r="O240" s="4">
        <v>16.2</v>
      </c>
      <c r="P240" s="4">
        <v>47893.599999999999</v>
      </c>
      <c r="Q240" s="6">
        <f t="shared" si="46"/>
        <v>13.068187399383339</v>
      </c>
      <c r="R240" s="4">
        <v>24</v>
      </c>
      <c r="S240" s="4">
        <v>2</v>
      </c>
      <c r="T240" s="6">
        <f t="shared" si="47"/>
        <v>0.70943272667739909</v>
      </c>
      <c r="U240" s="4">
        <v>3962.7</v>
      </c>
      <c r="V240" s="7">
        <f t="shared" si="48"/>
        <v>3.7541989202345789</v>
      </c>
      <c r="W240" s="7">
        <f t="shared" si="49"/>
        <v>3.9376907521767239</v>
      </c>
      <c r="X240" s="7">
        <f t="shared" si="50"/>
        <v>2.5701808339622447</v>
      </c>
      <c r="Y240" s="7">
        <f t="shared" si="51"/>
        <v>8.2849332114557459</v>
      </c>
      <c r="Z240" s="7">
        <f t="shared" si="37"/>
        <v>3.8774315606585268</v>
      </c>
      <c r="AA240" s="7">
        <f t="shared" si="38"/>
        <v>3.226</v>
      </c>
      <c r="AB240" s="7">
        <f t="shared" si="39"/>
        <v>15.01</v>
      </c>
      <c r="AC240" s="7">
        <f t="shared" si="40"/>
        <v>19.399999999999999</v>
      </c>
      <c r="AD240" s="7">
        <f t="shared" si="41"/>
        <v>16.7</v>
      </c>
      <c r="AE240" s="7">
        <f t="shared" si="42"/>
        <v>2.6995385736963504</v>
      </c>
      <c r="AF240" s="7">
        <f t="shared" si="43"/>
        <v>0.60343408854023806</v>
      </c>
      <c r="AG240" s="7">
        <f t="shared" si="44"/>
        <v>8.267063775017041</v>
      </c>
    </row>
    <row r="241" spans="1:33" x14ac:dyDescent="0.25">
      <c r="A241" s="4" t="s">
        <v>138</v>
      </c>
      <c r="B241" s="4">
        <v>2020</v>
      </c>
      <c r="C241" s="4" t="s">
        <v>99</v>
      </c>
      <c r="D241" s="5">
        <f t="shared" si="45"/>
        <v>1</v>
      </c>
      <c r="E241" s="4">
        <v>38.5</v>
      </c>
      <c r="F241" s="4">
        <v>35</v>
      </c>
      <c r="G241" s="4">
        <v>39.299999999999997</v>
      </c>
      <c r="H241" s="4">
        <v>30.9</v>
      </c>
      <c r="I241" s="4">
        <v>68.8</v>
      </c>
      <c r="J241" s="4">
        <v>1870.2</v>
      </c>
      <c r="K241" s="4">
        <v>47.9</v>
      </c>
      <c r="L241" s="4">
        <v>2.7549999999999999</v>
      </c>
      <c r="M241" s="4">
        <v>11.74</v>
      </c>
      <c r="N241" s="4">
        <v>17.899999999999999</v>
      </c>
      <c r="O241" s="4">
        <v>13.4</v>
      </c>
      <c r="P241" s="4">
        <v>7643.2</v>
      </c>
      <c r="Q241" s="6">
        <f t="shared" si="46"/>
        <v>4.0868356325526678</v>
      </c>
      <c r="R241" s="4">
        <v>13</v>
      </c>
      <c r="S241" s="4">
        <v>1</v>
      </c>
      <c r="T241" s="6">
        <f t="shared" si="47"/>
        <v>0.74858303924713931</v>
      </c>
      <c r="U241" s="4">
        <v>436.9</v>
      </c>
      <c r="V241" s="7">
        <f t="shared" si="48"/>
        <v>3.6506582412937387</v>
      </c>
      <c r="W241" s="7">
        <f t="shared" si="49"/>
        <v>3.8691155044168695</v>
      </c>
      <c r="X241" s="7">
        <f t="shared" si="50"/>
        <v>1.4077709866343509</v>
      </c>
      <c r="Y241" s="7">
        <f t="shared" si="51"/>
        <v>6.081990573807353</v>
      </c>
      <c r="Z241" s="7">
        <f t="shared" si="37"/>
        <v>3.8110970868381857</v>
      </c>
      <c r="AA241" s="7">
        <f t="shared" si="38"/>
        <v>2.68</v>
      </c>
      <c r="AB241" s="7">
        <f t="shared" si="39"/>
        <v>10.58</v>
      </c>
      <c r="AC241" s="7">
        <f t="shared" si="40"/>
        <v>15.3</v>
      </c>
      <c r="AD241" s="7">
        <f t="shared" si="41"/>
        <v>14.4</v>
      </c>
      <c r="AE241" s="7">
        <f t="shared" si="42"/>
        <v>1.4322625798606323</v>
      </c>
      <c r="AF241" s="7">
        <f t="shared" si="43"/>
        <v>0.69809902266136825</v>
      </c>
      <c r="AG241" s="7">
        <f t="shared" si="44"/>
        <v>5.9409604149342137</v>
      </c>
    </row>
    <row r="242" spans="1:33" x14ac:dyDescent="0.25">
      <c r="A242" s="4" t="s">
        <v>139</v>
      </c>
      <c r="B242" s="4">
        <v>2020</v>
      </c>
      <c r="C242" s="4" t="s">
        <v>96</v>
      </c>
      <c r="D242" s="5">
        <f t="shared" si="45"/>
        <v>0</v>
      </c>
      <c r="E242" s="4">
        <v>39.799999999999997</v>
      </c>
      <c r="F242" s="4">
        <v>37.1</v>
      </c>
      <c r="G242" s="4">
        <v>35.799999999999997</v>
      </c>
      <c r="H242" s="4">
        <v>37.5</v>
      </c>
      <c r="I242" s="4">
        <v>67.7</v>
      </c>
      <c r="J242" s="4">
        <v>1307.9000000000001</v>
      </c>
      <c r="K242" s="4">
        <v>94.3</v>
      </c>
      <c r="L242" s="4">
        <v>3.6619999999999999</v>
      </c>
      <c r="M242" s="4">
        <v>32.090000000000003</v>
      </c>
      <c r="N242" s="4">
        <v>28.2</v>
      </c>
      <c r="O242" s="4">
        <v>24.4</v>
      </c>
      <c r="P242" s="4">
        <v>34481.599999999999</v>
      </c>
      <c r="Q242" s="6">
        <f t="shared" si="46"/>
        <v>26.364095114305371</v>
      </c>
      <c r="R242" s="4">
        <v>12</v>
      </c>
      <c r="S242" s="4">
        <v>3</v>
      </c>
      <c r="T242" s="6">
        <f t="shared" si="47"/>
        <v>1.1468766725284807</v>
      </c>
      <c r="U242" s="4">
        <v>6692.2</v>
      </c>
      <c r="V242" s="7">
        <f t="shared" si="48"/>
        <v>3.6838669122903918</v>
      </c>
      <c r="W242" s="7">
        <f t="shared" si="49"/>
        <v>4.5464811896394117</v>
      </c>
      <c r="X242" s="7">
        <f t="shared" si="50"/>
        <v>3.2720030509182005</v>
      </c>
      <c r="Y242" s="7">
        <f t="shared" si="51"/>
        <v>8.8088473646204193</v>
      </c>
      <c r="Z242" s="7">
        <f t="shared" si="37"/>
        <v>4.5097600011834329</v>
      </c>
      <c r="AA242" s="7">
        <f t="shared" si="38"/>
        <v>3.5059999999999998</v>
      </c>
      <c r="AB242" s="7">
        <f t="shared" si="39"/>
        <v>32.06</v>
      </c>
      <c r="AC242" s="7">
        <f t="shared" si="40"/>
        <v>27.2</v>
      </c>
      <c r="AD242" s="7">
        <f t="shared" si="41"/>
        <v>23.8</v>
      </c>
      <c r="AE242" s="7">
        <f t="shared" si="42"/>
        <v>3.2693842424150779</v>
      </c>
      <c r="AF242" s="7">
        <f t="shared" si="43"/>
        <v>2.4788906964133552</v>
      </c>
      <c r="AG242" s="7">
        <f t="shared" si="44"/>
        <v>8.7663630996346544</v>
      </c>
    </row>
    <row r="243" spans="1:33" x14ac:dyDescent="0.25">
      <c r="A243" s="4" t="s">
        <v>140</v>
      </c>
      <c r="B243" s="4">
        <v>2020</v>
      </c>
      <c r="C243" s="4" t="s">
        <v>92</v>
      </c>
      <c r="D243" s="5">
        <f t="shared" si="45"/>
        <v>0</v>
      </c>
      <c r="E243" s="4">
        <v>41.2</v>
      </c>
      <c r="F243" s="4">
        <v>35.799999999999997</v>
      </c>
      <c r="G243" s="4">
        <v>48.7</v>
      </c>
      <c r="H243" s="4">
        <v>27.4</v>
      </c>
      <c r="I243" s="4">
        <v>74.099999999999994</v>
      </c>
      <c r="J243" s="4">
        <v>1133.5999999999999</v>
      </c>
      <c r="K243" s="4">
        <v>48.6</v>
      </c>
      <c r="L243" s="4">
        <v>4.1020000000000003</v>
      </c>
      <c r="M243" s="4">
        <v>49.6</v>
      </c>
      <c r="N243" s="4">
        <v>23.1</v>
      </c>
      <c r="O243" s="4">
        <v>26.9</v>
      </c>
      <c r="P243" s="4"/>
      <c r="Q243" s="6" t="str">
        <f t="shared" si="46"/>
        <v/>
      </c>
      <c r="R243" s="4">
        <v>0</v>
      </c>
      <c r="S243" s="4">
        <v>0</v>
      </c>
      <c r="T243" s="6">
        <f t="shared" si="47"/>
        <v>0</v>
      </c>
      <c r="U243" s="4">
        <v>3412.2</v>
      </c>
      <c r="V243" s="7">
        <f t="shared" si="48"/>
        <v>3.7184382563554808</v>
      </c>
      <c r="W243" s="7">
        <f t="shared" si="49"/>
        <v>3.8836235309064482</v>
      </c>
      <c r="X243" s="7" t="str">
        <f t="shared" si="50"/>
        <v/>
      </c>
      <c r="Y243" s="7">
        <f t="shared" si="51"/>
        <v>8.1354055466624295</v>
      </c>
      <c r="Z243" s="7">
        <f t="shared" si="37"/>
        <v>3.8458832029236012</v>
      </c>
      <c r="AA243" s="7">
        <f t="shared" si="38"/>
        <v>3.9390000000000001</v>
      </c>
      <c r="AB243" s="7">
        <f t="shared" si="39"/>
        <v>49.88</v>
      </c>
      <c r="AC243" s="7">
        <f t="shared" si="40"/>
        <v>22.7</v>
      </c>
      <c r="AD243" s="7">
        <f t="shared" si="41"/>
        <v>23.2</v>
      </c>
      <c r="AE243" s="7" t="str">
        <f t="shared" si="42"/>
        <v/>
      </c>
      <c r="AF243" s="7">
        <f t="shared" si="43"/>
        <v>0</v>
      </c>
      <c r="AG243" s="7">
        <f t="shared" si="44"/>
        <v>8.1359620541530315</v>
      </c>
    </row>
    <row r="244" spans="1:33" x14ac:dyDescent="0.25">
      <c r="A244" s="4" t="s">
        <v>141</v>
      </c>
      <c r="B244" s="4">
        <v>2020</v>
      </c>
      <c r="C244" s="4" t="s">
        <v>86</v>
      </c>
      <c r="D244" s="5">
        <f t="shared" si="45"/>
        <v>0</v>
      </c>
      <c r="E244" s="4">
        <v>40</v>
      </c>
      <c r="F244" s="4">
        <v>35.4</v>
      </c>
      <c r="G244" s="4">
        <v>42.1</v>
      </c>
      <c r="H244" s="4">
        <v>30.6</v>
      </c>
      <c r="I244" s="4">
        <v>75.099999999999994</v>
      </c>
      <c r="J244" s="4">
        <v>1772.5</v>
      </c>
      <c r="K244" s="4">
        <v>55.8</v>
      </c>
      <c r="L244" s="4">
        <v>2.738</v>
      </c>
      <c r="M244" s="4">
        <v>14.21</v>
      </c>
      <c r="N244" s="4">
        <v>14.2</v>
      </c>
      <c r="O244" s="4">
        <v>18.3</v>
      </c>
      <c r="P244" s="4">
        <v>3446.6</v>
      </c>
      <c r="Q244" s="6">
        <f t="shared" si="46"/>
        <v>1.9444851904090268</v>
      </c>
      <c r="R244" s="4">
        <v>12</v>
      </c>
      <c r="S244" s="4">
        <v>1</v>
      </c>
      <c r="T244" s="6">
        <f t="shared" si="47"/>
        <v>0.7334273624823695</v>
      </c>
      <c r="U244" s="4">
        <v>1548.7</v>
      </c>
      <c r="V244" s="7">
        <f t="shared" si="48"/>
        <v>3.6888794541139363</v>
      </c>
      <c r="W244" s="7">
        <f t="shared" si="49"/>
        <v>4.0217738693872649</v>
      </c>
      <c r="X244" s="7">
        <f t="shared" si="50"/>
        <v>0.66499725844119417</v>
      </c>
      <c r="Y244" s="7">
        <f t="shared" si="51"/>
        <v>7.3458166427932889</v>
      </c>
      <c r="Z244" s="7">
        <f t="shared" si="37"/>
        <v>4.0000338827508592</v>
      </c>
      <c r="AA244" s="7">
        <f t="shared" si="38"/>
        <v>2.5539999999999998</v>
      </c>
      <c r="AB244" s="7">
        <f t="shared" si="39"/>
        <v>14</v>
      </c>
      <c r="AC244" s="7">
        <f t="shared" si="40"/>
        <v>11.7</v>
      </c>
      <c r="AD244" s="7">
        <f t="shared" si="41"/>
        <v>18.899999999999999</v>
      </c>
      <c r="AE244" s="7">
        <f t="shared" si="42"/>
        <v>1.0239539783474703</v>
      </c>
      <c r="AF244" s="7">
        <f t="shared" si="43"/>
        <v>0.79261733567344161</v>
      </c>
      <c r="AG244" s="7">
        <f t="shared" si="44"/>
        <v>7.2878342006998853</v>
      </c>
    </row>
    <row r="245" spans="1:33" x14ac:dyDescent="0.25">
      <c r="A245" s="4" t="s">
        <v>142</v>
      </c>
      <c r="B245" s="4">
        <v>2020</v>
      </c>
      <c r="C245" s="4" t="s">
        <v>86</v>
      </c>
      <c r="D245" s="5">
        <f t="shared" si="45"/>
        <v>0</v>
      </c>
      <c r="E245" s="4">
        <v>31.4</v>
      </c>
      <c r="F245" s="4">
        <v>28.2</v>
      </c>
      <c r="G245" s="4">
        <v>39.200000000000003</v>
      </c>
      <c r="H245" s="4">
        <v>17.899999999999999</v>
      </c>
      <c r="I245" s="4">
        <v>57.6</v>
      </c>
      <c r="J245" s="4">
        <v>1009.9</v>
      </c>
      <c r="K245" s="4">
        <v>61</v>
      </c>
      <c r="L245" s="4">
        <v>2.278</v>
      </c>
      <c r="M245" s="4">
        <v>17.41</v>
      </c>
      <c r="N245" s="4">
        <v>11.6</v>
      </c>
      <c r="O245" s="4">
        <v>12.8</v>
      </c>
      <c r="P245" s="4">
        <v>3637</v>
      </c>
      <c r="Q245" s="6">
        <f t="shared" si="46"/>
        <v>3.6013466679869293</v>
      </c>
      <c r="R245" s="4">
        <v>7</v>
      </c>
      <c r="S245" s="4">
        <v>2</v>
      </c>
      <c r="T245" s="6">
        <f t="shared" si="47"/>
        <v>0.89117734429151396</v>
      </c>
      <c r="U245" s="4">
        <v>3299.7</v>
      </c>
      <c r="V245" s="7">
        <f t="shared" si="48"/>
        <v>3.4468078929142076</v>
      </c>
      <c r="W245" s="7">
        <f t="shared" si="49"/>
        <v>4.1108738641733114</v>
      </c>
      <c r="X245" s="7">
        <f t="shared" si="50"/>
        <v>1.2813078499544777</v>
      </c>
      <c r="Y245" s="7">
        <f t="shared" si="51"/>
        <v>8.1018898461721687</v>
      </c>
      <c r="Z245" s="7">
        <f t="shared" si="37"/>
        <v>4.0758410906575406</v>
      </c>
      <c r="AA245" s="7">
        <f t="shared" si="38"/>
        <v>2.0179999999999998</v>
      </c>
      <c r="AB245" s="7">
        <f t="shared" si="39"/>
        <v>17.25</v>
      </c>
      <c r="AC245" s="7">
        <f t="shared" si="40"/>
        <v>11.8</v>
      </c>
      <c r="AD245" s="7">
        <f t="shared" si="41"/>
        <v>14.1</v>
      </c>
      <c r="AE245" s="7">
        <f t="shared" si="42"/>
        <v>1.6547827063630074</v>
      </c>
      <c r="AF245" s="7">
        <f t="shared" si="43"/>
        <v>0.79262855444367386</v>
      </c>
      <c r="AG245" s="7">
        <f t="shared" si="44"/>
        <v>8.1019807318531925</v>
      </c>
    </row>
    <row r="246" spans="1:33" x14ac:dyDescent="0.25">
      <c r="A246" s="4" t="s">
        <v>143</v>
      </c>
      <c r="B246" s="4">
        <v>2020</v>
      </c>
      <c r="C246" s="4" t="s">
        <v>96</v>
      </c>
      <c r="D246" s="5">
        <f t="shared" si="45"/>
        <v>0</v>
      </c>
      <c r="E246" s="4">
        <v>29.4</v>
      </c>
      <c r="F246" s="4">
        <v>27.8</v>
      </c>
      <c r="G246" s="4">
        <v>28.2</v>
      </c>
      <c r="H246" s="4">
        <v>20.8</v>
      </c>
      <c r="I246" s="4">
        <v>66.400000000000006</v>
      </c>
      <c r="J246" s="4">
        <v>792.9</v>
      </c>
      <c r="K246" s="4">
        <v>43.5</v>
      </c>
      <c r="L246" s="4">
        <v>1.841</v>
      </c>
      <c r="M246" s="4">
        <v>13.82</v>
      </c>
      <c r="N246" s="4">
        <v>21.3</v>
      </c>
      <c r="O246" s="4">
        <v>14.1</v>
      </c>
      <c r="P246" s="4">
        <v>14251.1</v>
      </c>
      <c r="Q246" s="6">
        <f t="shared" si="46"/>
        <v>17.973388825829236</v>
      </c>
      <c r="R246" s="4">
        <v>6</v>
      </c>
      <c r="S246" s="4">
        <v>1</v>
      </c>
      <c r="T246" s="6">
        <f t="shared" si="47"/>
        <v>0.88283516206331192</v>
      </c>
      <c r="U246" s="4">
        <v>274.39999999999998</v>
      </c>
      <c r="V246" s="7">
        <f t="shared" si="48"/>
        <v>3.380994674344636</v>
      </c>
      <c r="W246" s="7">
        <f t="shared" si="49"/>
        <v>3.7727609380946383</v>
      </c>
      <c r="X246" s="7">
        <f t="shared" si="50"/>
        <v>2.8888922654216747</v>
      </c>
      <c r="Y246" s="7">
        <f t="shared" si="51"/>
        <v>5.6182245862945548</v>
      </c>
      <c r="Z246" s="7">
        <f t="shared" si="37"/>
        <v>3.6788291182604347</v>
      </c>
      <c r="AA246" s="7">
        <f t="shared" si="38"/>
        <v>1.69</v>
      </c>
      <c r="AB246" s="7">
        <f t="shared" si="39"/>
        <v>13.81</v>
      </c>
      <c r="AC246" s="7">
        <f t="shared" si="40"/>
        <v>20.7</v>
      </c>
      <c r="AD246" s="7">
        <f t="shared" si="41"/>
        <v>14.3</v>
      </c>
      <c r="AE246" s="7">
        <f t="shared" si="42"/>
        <v>2.9899096829905254</v>
      </c>
      <c r="AF246" s="7">
        <f t="shared" si="43"/>
        <v>1.0174233753020476</v>
      </c>
      <c r="AG246" s="7">
        <f t="shared" si="44"/>
        <v>5.5629866646907447</v>
      </c>
    </row>
    <row r="247" spans="1:33" x14ac:dyDescent="0.25">
      <c r="A247" s="4" t="s">
        <v>144</v>
      </c>
      <c r="B247" s="4">
        <v>2020</v>
      </c>
      <c r="C247" s="4" t="s">
        <v>88</v>
      </c>
      <c r="D247" s="5">
        <f t="shared" si="45"/>
        <v>1</v>
      </c>
      <c r="E247" s="4">
        <v>39.4</v>
      </c>
      <c r="F247" s="4">
        <v>28.9</v>
      </c>
      <c r="G247" s="4">
        <v>51.7</v>
      </c>
      <c r="H247" s="4">
        <v>23.5</v>
      </c>
      <c r="I247" s="4">
        <v>73.099999999999994</v>
      </c>
      <c r="J247" s="4">
        <v>1178.3</v>
      </c>
      <c r="K247" s="4">
        <v>74</v>
      </c>
      <c r="L247" s="4">
        <v>3.6930000000000001</v>
      </c>
      <c r="M247" s="4">
        <v>32.340000000000003</v>
      </c>
      <c r="N247" s="4">
        <v>14.7</v>
      </c>
      <c r="O247" s="4">
        <v>15.6</v>
      </c>
      <c r="P247" s="4">
        <v>15175.8</v>
      </c>
      <c r="Q247" s="6">
        <f t="shared" si="46"/>
        <v>12.879402529067301</v>
      </c>
      <c r="R247" s="4">
        <v>12</v>
      </c>
      <c r="S247" s="4">
        <v>2</v>
      </c>
      <c r="T247" s="6">
        <f t="shared" si="47"/>
        <v>1.1881524229822626</v>
      </c>
      <c r="U247" s="4">
        <v>6518.4</v>
      </c>
      <c r="V247" s="7">
        <f t="shared" si="48"/>
        <v>3.673765816303888</v>
      </c>
      <c r="W247" s="7">
        <f t="shared" si="49"/>
        <v>4.3040650932041702</v>
      </c>
      <c r="X247" s="7">
        <f t="shared" si="50"/>
        <v>2.5556293321054997</v>
      </c>
      <c r="Y247" s="7">
        <f t="shared" si="51"/>
        <v>8.7825376261463042</v>
      </c>
      <c r="Z247" s="7">
        <f t="shared" si="37"/>
        <v>4.257030144499196</v>
      </c>
      <c r="AA247" s="7">
        <f t="shared" si="38"/>
        <v>3.41</v>
      </c>
      <c r="AB247" s="7">
        <f t="shared" si="39"/>
        <v>17.78</v>
      </c>
      <c r="AC247" s="7">
        <f t="shared" si="40"/>
        <v>12.7</v>
      </c>
      <c r="AD247" s="7">
        <f t="shared" si="41"/>
        <v>15.2</v>
      </c>
      <c r="AE247" s="7">
        <f t="shared" si="42"/>
        <v>2.5903525078824048</v>
      </c>
      <c r="AF247" s="7">
        <f t="shared" si="43"/>
        <v>1.1948450968677991</v>
      </c>
      <c r="AG247" s="7">
        <f t="shared" si="44"/>
        <v>8.6939995675220825</v>
      </c>
    </row>
    <row r="248" spans="1:33" x14ac:dyDescent="0.25">
      <c r="A248" s="4" t="s">
        <v>145</v>
      </c>
      <c r="B248" s="4">
        <v>2020</v>
      </c>
      <c r="C248" s="4" t="s">
        <v>86</v>
      </c>
      <c r="D248" s="5">
        <f t="shared" si="45"/>
        <v>0</v>
      </c>
      <c r="E248" s="4">
        <v>31.9</v>
      </c>
      <c r="F248" s="4">
        <v>34.5</v>
      </c>
      <c r="G248" s="4">
        <v>39.200000000000003</v>
      </c>
      <c r="H248" s="4">
        <v>19.5</v>
      </c>
      <c r="I248" s="4">
        <v>44.8</v>
      </c>
      <c r="J248" s="4">
        <v>1023</v>
      </c>
      <c r="K248" s="4">
        <v>57.3</v>
      </c>
      <c r="L248" s="4">
        <v>2.6030000000000002</v>
      </c>
      <c r="M248" s="4">
        <v>22.69</v>
      </c>
      <c r="N248" s="4">
        <v>15.8</v>
      </c>
      <c r="O248" s="4">
        <v>16.899999999999999</v>
      </c>
      <c r="P248" s="4">
        <v>1920.8</v>
      </c>
      <c r="Q248" s="6">
        <f t="shared" si="46"/>
        <v>1.8776148582600196</v>
      </c>
      <c r="R248" s="4">
        <v>5</v>
      </c>
      <c r="S248" s="4">
        <v>1</v>
      </c>
      <c r="T248" s="6">
        <f t="shared" si="47"/>
        <v>0.5865102639296188</v>
      </c>
      <c r="U248" s="4">
        <v>799.3</v>
      </c>
      <c r="V248" s="7">
        <f t="shared" si="48"/>
        <v>3.4626060097907989</v>
      </c>
      <c r="W248" s="7">
        <f t="shared" si="49"/>
        <v>4.048300623720694</v>
      </c>
      <c r="X248" s="7">
        <f t="shared" si="50"/>
        <v>0.63000227895541705</v>
      </c>
      <c r="Y248" s="7">
        <f t="shared" si="51"/>
        <v>6.6849866573730008</v>
      </c>
      <c r="Z248" s="7">
        <f t="shared" si="37"/>
        <v>3.9684033388642534</v>
      </c>
      <c r="AA248" s="7">
        <f t="shared" si="38"/>
        <v>2.4279999999999999</v>
      </c>
      <c r="AB248" s="7">
        <f t="shared" si="39"/>
        <v>16.600000000000001</v>
      </c>
      <c r="AC248" s="7">
        <f t="shared" si="40"/>
        <v>15.3</v>
      </c>
      <c r="AD248" s="7">
        <f t="shared" si="41"/>
        <v>15.8</v>
      </c>
      <c r="AE248" s="7">
        <f t="shared" si="42"/>
        <v>0.60091264943201705</v>
      </c>
      <c r="AF248" s="7">
        <f t="shared" si="43"/>
        <v>0.58673968316057112</v>
      </c>
      <c r="AG248" s="7">
        <f t="shared" si="44"/>
        <v>6.5878254589802356</v>
      </c>
    </row>
    <row r="249" spans="1:33" x14ac:dyDescent="0.25">
      <c r="A249" s="4" t="s">
        <v>146</v>
      </c>
      <c r="B249" s="4">
        <v>2020</v>
      </c>
      <c r="C249" s="4" t="s">
        <v>99</v>
      </c>
      <c r="D249" s="5">
        <f t="shared" si="45"/>
        <v>1</v>
      </c>
      <c r="E249" s="4">
        <v>44.2</v>
      </c>
      <c r="F249" s="4">
        <v>35.5</v>
      </c>
      <c r="G249" s="4">
        <v>45.4</v>
      </c>
      <c r="H249" s="4">
        <v>39.6</v>
      </c>
      <c r="I249" s="4">
        <v>73.400000000000006</v>
      </c>
      <c r="J249" s="4">
        <v>1171.2</v>
      </c>
      <c r="K249" s="4">
        <v>105.9</v>
      </c>
      <c r="L249" s="4">
        <v>6.6239999999999997</v>
      </c>
      <c r="M249" s="4">
        <v>29.97</v>
      </c>
      <c r="N249" s="4">
        <v>28.6</v>
      </c>
      <c r="O249" s="4">
        <v>31.5</v>
      </c>
      <c r="P249" s="4">
        <v>23023.3</v>
      </c>
      <c r="Q249" s="6">
        <f t="shared" si="46"/>
        <v>19.657872267759561</v>
      </c>
      <c r="R249" s="4">
        <v>7</v>
      </c>
      <c r="S249" s="4">
        <v>2</v>
      </c>
      <c r="T249" s="6">
        <f t="shared" si="47"/>
        <v>0.76844262295081966</v>
      </c>
      <c r="U249" s="4">
        <v>4501.2</v>
      </c>
      <c r="V249" s="7">
        <f t="shared" si="48"/>
        <v>3.7887247890836524</v>
      </c>
      <c r="W249" s="7">
        <f t="shared" si="49"/>
        <v>4.6624952526073606</v>
      </c>
      <c r="X249" s="7">
        <f t="shared" si="50"/>
        <v>2.9784778824002407</v>
      </c>
      <c r="Y249" s="7">
        <f t="shared" si="51"/>
        <v>8.4123214451800639</v>
      </c>
      <c r="Z249" s="7">
        <f t="shared" si="37"/>
        <v>4.6298627985784631</v>
      </c>
      <c r="AA249" s="7">
        <f t="shared" si="38"/>
        <v>6.1210000000000004</v>
      </c>
      <c r="AB249" s="7">
        <f t="shared" si="39"/>
        <v>25.56</v>
      </c>
      <c r="AC249" s="7">
        <f t="shared" si="40"/>
        <v>24.9</v>
      </c>
      <c r="AD249" s="7">
        <f t="shared" si="41"/>
        <v>27.9</v>
      </c>
      <c r="AE249" s="7">
        <f t="shared" si="42"/>
        <v>3.0937468575223277</v>
      </c>
      <c r="AF249" s="7">
        <f t="shared" si="43"/>
        <v>0.77935573259438873</v>
      </c>
      <c r="AG249" s="7">
        <f t="shared" si="44"/>
        <v>8.3891552535295322</v>
      </c>
    </row>
    <row r="250" spans="1:33" x14ac:dyDescent="0.25">
      <c r="A250" s="4" t="s">
        <v>147</v>
      </c>
      <c r="B250" s="4">
        <v>2020</v>
      </c>
      <c r="C250" s="4" t="s">
        <v>96</v>
      </c>
      <c r="D250" s="5">
        <f t="shared" si="45"/>
        <v>0</v>
      </c>
      <c r="E250" s="4">
        <v>34.299999999999997</v>
      </c>
      <c r="F250" s="4">
        <v>30.4</v>
      </c>
      <c r="G250" s="4">
        <v>32.4</v>
      </c>
      <c r="H250" s="4">
        <v>33</v>
      </c>
      <c r="I250" s="4">
        <v>53.2</v>
      </c>
      <c r="J250" s="4">
        <v>831.6</v>
      </c>
      <c r="K250" s="4">
        <v>39.9</v>
      </c>
      <c r="L250" s="4">
        <v>2.0760000000000001</v>
      </c>
      <c r="M250" s="4">
        <v>20.63</v>
      </c>
      <c r="N250" s="4">
        <v>19.100000000000001</v>
      </c>
      <c r="O250" s="4">
        <v>12.2</v>
      </c>
      <c r="P250" s="4">
        <v>10240.6</v>
      </c>
      <c r="Q250" s="6">
        <f t="shared" si="46"/>
        <v>12.314333814333814</v>
      </c>
      <c r="R250" s="4">
        <v>2</v>
      </c>
      <c r="S250" s="4">
        <v>1</v>
      </c>
      <c r="T250" s="6">
        <f t="shared" si="47"/>
        <v>0.36075036075036077</v>
      </c>
      <c r="U250" s="4">
        <v>481.6</v>
      </c>
      <c r="V250" s="7">
        <f t="shared" si="48"/>
        <v>3.535145354171894</v>
      </c>
      <c r="W250" s="7">
        <f t="shared" si="49"/>
        <v>3.6863763238958178</v>
      </c>
      <c r="X250" s="7">
        <f t="shared" si="50"/>
        <v>2.5107639346430943</v>
      </c>
      <c r="Y250" s="7">
        <f t="shared" si="51"/>
        <v>6.1791881531909318</v>
      </c>
      <c r="Z250" s="7">
        <f t="shared" si="37"/>
        <v>3.6136169696133895</v>
      </c>
      <c r="AA250" s="7">
        <f t="shared" si="38"/>
        <v>1.9550000000000001</v>
      </c>
      <c r="AB250" s="7">
        <f t="shared" si="39"/>
        <v>19.84</v>
      </c>
      <c r="AC250" s="7">
        <f t="shared" si="40"/>
        <v>17.5</v>
      </c>
      <c r="AD250" s="7">
        <f t="shared" si="41"/>
        <v>10.8</v>
      </c>
      <c r="AE250" s="7">
        <f t="shared" si="42"/>
        <v>2.5830387949817473</v>
      </c>
      <c r="AF250" s="7">
        <f t="shared" si="43"/>
        <v>0.48602673147023084</v>
      </c>
      <c r="AG250" s="7">
        <f t="shared" si="44"/>
        <v>6.1681452240118508</v>
      </c>
    </row>
    <row r="251" spans="1:33" x14ac:dyDescent="0.25">
      <c r="A251" s="4" t="s">
        <v>148</v>
      </c>
      <c r="B251" s="4">
        <v>2020</v>
      </c>
      <c r="C251" s="4" t="s">
        <v>96</v>
      </c>
      <c r="D251" s="5">
        <f t="shared" si="45"/>
        <v>0</v>
      </c>
      <c r="E251" s="4"/>
      <c r="F251" s="4"/>
      <c r="G251" s="4"/>
      <c r="H251" s="4"/>
      <c r="I251" s="4"/>
      <c r="J251" s="4">
        <v>613.5</v>
      </c>
      <c r="K251" s="4">
        <v>33.1</v>
      </c>
      <c r="L251" s="4">
        <v>1.7410000000000001</v>
      </c>
      <c r="M251" s="4">
        <v>15.19</v>
      </c>
      <c r="N251" s="4">
        <v>16.2</v>
      </c>
      <c r="O251" s="4">
        <v>11.6</v>
      </c>
      <c r="P251" s="4">
        <v>2086.8000000000002</v>
      </c>
      <c r="Q251" s="6">
        <f t="shared" si="46"/>
        <v>3.4014669926650369</v>
      </c>
      <c r="R251" s="4">
        <v>3</v>
      </c>
      <c r="S251" s="4">
        <v>2</v>
      </c>
      <c r="T251" s="6">
        <f t="shared" si="47"/>
        <v>0.81499592502037488</v>
      </c>
      <c r="U251" s="4">
        <v>4.9000000000000004</v>
      </c>
      <c r="V251" s="7" t="str">
        <f t="shared" si="48"/>
        <v/>
      </c>
      <c r="W251" s="7">
        <f t="shared" si="49"/>
        <v>3.4995332823830174</v>
      </c>
      <c r="X251" s="7">
        <f t="shared" si="50"/>
        <v>1.2242068069972716</v>
      </c>
      <c r="Y251" s="7">
        <f t="shared" si="51"/>
        <v>1.7749523509116738</v>
      </c>
      <c r="Z251" s="7">
        <f t="shared" si="37"/>
        <v>3.4688560301359703</v>
      </c>
      <c r="AA251" s="7">
        <f t="shared" si="38"/>
        <v>1.732</v>
      </c>
      <c r="AB251" s="7">
        <f t="shared" si="39"/>
        <v>14.39</v>
      </c>
      <c r="AC251" s="7">
        <f t="shared" si="40"/>
        <v>16.100000000000001</v>
      </c>
      <c r="AD251" s="7">
        <f t="shared" si="41"/>
        <v>9.4</v>
      </c>
      <c r="AE251" s="7">
        <f t="shared" si="42"/>
        <v>1.2178530908787235</v>
      </c>
      <c r="AF251" s="7">
        <f t="shared" si="43"/>
        <v>0.83097889313611428</v>
      </c>
      <c r="AG251" s="7">
        <f t="shared" si="44"/>
        <v>1.791759469228055</v>
      </c>
    </row>
    <row r="252" spans="1:33" x14ac:dyDescent="0.25">
      <c r="A252" s="4" t="s">
        <v>149</v>
      </c>
      <c r="B252" s="4">
        <v>2020</v>
      </c>
      <c r="C252" s="4" t="s">
        <v>92</v>
      </c>
      <c r="D252" s="5">
        <f t="shared" si="45"/>
        <v>0</v>
      </c>
      <c r="E252" s="4">
        <v>58.4</v>
      </c>
      <c r="F252" s="4">
        <v>45.3</v>
      </c>
      <c r="G252" s="4">
        <v>66.3</v>
      </c>
      <c r="H252" s="4">
        <v>53.2</v>
      </c>
      <c r="I252" s="4">
        <v>75.7</v>
      </c>
      <c r="J252" s="4">
        <v>1169.5</v>
      </c>
      <c r="K252" s="4">
        <v>88.8</v>
      </c>
      <c r="L252" s="4">
        <v>20.236000000000001</v>
      </c>
      <c r="M252" s="4">
        <v>87.25</v>
      </c>
      <c r="N252" s="4">
        <v>44</v>
      </c>
      <c r="O252" s="4">
        <v>54.2</v>
      </c>
      <c r="P252" s="4">
        <v>30955.7</v>
      </c>
      <c r="Q252" s="6">
        <f t="shared" si="46"/>
        <v>26.469174861051734</v>
      </c>
      <c r="R252" s="4">
        <v>71</v>
      </c>
      <c r="S252" s="4">
        <v>8</v>
      </c>
      <c r="T252" s="6">
        <f t="shared" si="47"/>
        <v>6.7550235143223603</v>
      </c>
      <c r="U252" s="4">
        <v>4749</v>
      </c>
      <c r="V252" s="7">
        <f t="shared" si="48"/>
        <v>4.0673158898341812</v>
      </c>
      <c r="W252" s="7">
        <f t="shared" si="49"/>
        <v>4.4863866499981242</v>
      </c>
      <c r="X252" s="7">
        <f t="shared" si="50"/>
        <v>3.2759808431445858</v>
      </c>
      <c r="Y252" s="7">
        <f t="shared" si="51"/>
        <v>8.4658998970286863</v>
      </c>
      <c r="Z252" s="7">
        <f t="shared" si="37"/>
        <v>4.5788262106484892</v>
      </c>
      <c r="AA252" s="7">
        <f t="shared" si="38"/>
        <v>19.776</v>
      </c>
      <c r="AB252" s="7">
        <f t="shared" si="39"/>
        <v>87.16</v>
      </c>
      <c r="AC252" s="7">
        <f t="shared" si="40"/>
        <v>44.6</v>
      </c>
      <c r="AD252" s="7">
        <f t="shared" si="41"/>
        <v>50.3</v>
      </c>
      <c r="AE252" s="7">
        <f t="shared" si="42"/>
        <v>3.4355746767835438</v>
      </c>
      <c r="AF252" s="7">
        <f t="shared" si="43"/>
        <v>6.7478748575935512</v>
      </c>
      <c r="AG252" s="7">
        <f t="shared" si="44"/>
        <v>8.4870432144653538</v>
      </c>
    </row>
    <row r="253" spans="1:33" x14ac:dyDescent="0.25">
      <c r="A253" s="4" t="s">
        <v>150</v>
      </c>
      <c r="B253" s="4">
        <v>2020</v>
      </c>
      <c r="C253" s="4" t="s">
        <v>105</v>
      </c>
      <c r="D253" s="5">
        <f t="shared" si="45"/>
        <v>0</v>
      </c>
      <c r="E253" s="4">
        <v>36.200000000000003</v>
      </c>
      <c r="F253" s="4">
        <v>30.8</v>
      </c>
      <c r="G253" s="4">
        <v>37.700000000000003</v>
      </c>
      <c r="H253" s="4">
        <v>29.3</v>
      </c>
      <c r="I253" s="4">
        <v>66.3</v>
      </c>
      <c r="J253" s="4">
        <v>1886.9</v>
      </c>
      <c r="K253" s="4">
        <v>46.1</v>
      </c>
      <c r="L253" s="4">
        <v>3.5859999999999999</v>
      </c>
      <c r="M253" s="4">
        <v>24.72</v>
      </c>
      <c r="N253" s="4">
        <v>17.2</v>
      </c>
      <c r="O253" s="4">
        <v>23.2</v>
      </c>
      <c r="P253" s="4">
        <v>17927</v>
      </c>
      <c r="Q253" s="6">
        <f t="shared" si="46"/>
        <v>9.5007684561979957</v>
      </c>
      <c r="R253" s="4">
        <v>7</v>
      </c>
      <c r="S253" s="4">
        <v>3</v>
      </c>
      <c r="T253" s="6">
        <f t="shared" si="47"/>
        <v>0.52996979172187186</v>
      </c>
      <c r="U253" s="4">
        <v>159.9</v>
      </c>
      <c r="V253" s="7">
        <f t="shared" si="48"/>
        <v>3.5890591188317256</v>
      </c>
      <c r="W253" s="7">
        <f t="shared" si="49"/>
        <v>3.8308129500026027</v>
      </c>
      <c r="X253" s="7">
        <f t="shared" si="50"/>
        <v>2.25137268546117</v>
      </c>
      <c r="Y253" s="7">
        <f t="shared" si="51"/>
        <v>5.0807830539983376</v>
      </c>
      <c r="Z253" s="7">
        <f t="shared" si="37"/>
        <v>3.730501128804756</v>
      </c>
      <c r="AA253" s="7">
        <f t="shared" si="38"/>
        <v>3.1760000000000002</v>
      </c>
      <c r="AB253" s="7">
        <f t="shared" si="39"/>
        <v>24.74</v>
      </c>
      <c r="AC253" s="7">
        <f t="shared" si="40"/>
        <v>14.6</v>
      </c>
      <c r="AD253" s="7">
        <f t="shared" si="41"/>
        <v>23.4</v>
      </c>
      <c r="AE253" s="7">
        <f t="shared" si="42"/>
        <v>2.1800728531691727</v>
      </c>
      <c r="AF253" s="7">
        <f t="shared" si="43"/>
        <v>0.48061518743992315</v>
      </c>
      <c r="AG253" s="7">
        <f t="shared" si="44"/>
        <v>4.4188406077965983</v>
      </c>
    </row>
    <row r="254" spans="1:33" x14ac:dyDescent="0.25">
      <c r="A254" s="4" t="s">
        <v>151</v>
      </c>
      <c r="B254" s="4">
        <v>2020</v>
      </c>
      <c r="C254" s="4" t="s">
        <v>105</v>
      </c>
      <c r="D254" s="5">
        <f t="shared" si="45"/>
        <v>0</v>
      </c>
      <c r="E254" s="4">
        <v>32.4</v>
      </c>
      <c r="F254" s="4">
        <v>26.5</v>
      </c>
      <c r="G254" s="4">
        <v>40.4</v>
      </c>
      <c r="H254" s="4">
        <v>20.100000000000001</v>
      </c>
      <c r="I254" s="4">
        <v>59.3</v>
      </c>
      <c r="J254" s="4">
        <v>637.9</v>
      </c>
      <c r="K254" s="4">
        <v>48.1</v>
      </c>
      <c r="L254" s="4">
        <v>3.4820000000000002</v>
      </c>
      <c r="M254" s="4">
        <v>15.28</v>
      </c>
      <c r="N254" s="4">
        <v>14.3</v>
      </c>
      <c r="O254" s="4">
        <v>25.3</v>
      </c>
      <c r="P254" s="4">
        <v>1777.2</v>
      </c>
      <c r="Q254" s="6">
        <f t="shared" si="46"/>
        <v>2.7860166170246123</v>
      </c>
      <c r="R254" s="4">
        <v>2</v>
      </c>
      <c r="S254" s="4">
        <v>1</v>
      </c>
      <c r="T254" s="6">
        <f t="shared" si="47"/>
        <v>0.47029314939645711</v>
      </c>
      <c r="U254" s="4">
        <v>247.1</v>
      </c>
      <c r="V254" s="7">
        <f t="shared" si="48"/>
        <v>3.4781584227982836</v>
      </c>
      <c r="W254" s="7">
        <f t="shared" si="49"/>
        <v>3.8732821771117156</v>
      </c>
      <c r="X254" s="7">
        <f t="shared" si="50"/>
        <v>1.0246128398138439</v>
      </c>
      <c r="Y254" s="7">
        <f t="shared" si="51"/>
        <v>5.5138318906977553</v>
      </c>
      <c r="Z254" s="7">
        <f t="shared" si="37"/>
        <v>3.8177123259569048</v>
      </c>
      <c r="AA254" s="7">
        <f t="shared" si="38"/>
        <v>3.19</v>
      </c>
      <c r="AB254" s="7">
        <f t="shared" si="39"/>
        <v>15.24</v>
      </c>
      <c r="AC254" s="7">
        <f t="shared" si="40"/>
        <v>14.1</v>
      </c>
      <c r="AD254" s="7">
        <f t="shared" si="41"/>
        <v>27.5</v>
      </c>
      <c r="AE254" s="7">
        <f t="shared" si="42"/>
        <v>0.97782859061500571</v>
      </c>
      <c r="AF254" s="7">
        <f t="shared" si="43"/>
        <v>0.4793863854266539</v>
      </c>
      <c r="AG254" s="7">
        <f t="shared" si="44"/>
        <v>5.4971682252932021</v>
      </c>
    </row>
    <row r="255" spans="1:33" x14ac:dyDescent="0.25">
      <c r="A255" s="4" t="s">
        <v>152</v>
      </c>
      <c r="B255" s="4">
        <v>2020</v>
      </c>
      <c r="C255" s="4" t="s">
        <v>88</v>
      </c>
      <c r="D255" s="5">
        <f t="shared" si="45"/>
        <v>1</v>
      </c>
      <c r="E255" s="4">
        <v>54.9</v>
      </c>
      <c r="F255" s="4">
        <v>41.9</v>
      </c>
      <c r="G255" s="4">
        <v>64.099999999999994</v>
      </c>
      <c r="H255" s="4">
        <v>47.6</v>
      </c>
      <c r="I255" s="4">
        <v>74.3</v>
      </c>
      <c r="J255" s="4">
        <v>3177.4</v>
      </c>
      <c r="K255" s="4">
        <v>115.1</v>
      </c>
      <c r="L255" s="4">
        <v>7.6379999999999999</v>
      </c>
      <c r="M255" s="4">
        <v>44.27</v>
      </c>
      <c r="N255" s="4">
        <v>22.5</v>
      </c>
      <c r="O255" s="4">
        <v>25.5</v>
      </c>
      <c r="P255" s="4">
        <v>44378.5</v>
      </c>
      <c r="Q255" s="6">
        <f t="shared" si="46"/>
        <v>13.966922641153143</v>
      </c>
      <c r="R255" s="4">
        <v>11</v>
      </c>
      <c r="S255" s="4">
        <v>8</v>
      </c>
      <c r="T255" s="6">
        <f t="shared" si="47"/>
        <v>0.59797318562346569</v>
      </c>
      <c r="U255" s="4">
        <v>9993.9</v>
      </c>
      <c r="V255" s="7">
        <f t="shared" si="48"/>
        <v>4.0055133485154846</v>
      </c>
      <c r="W255" s="7">
        <f t="shared" si="49"/>
        <v>4.7458013157278369</v>
      </c>
      <c r="X255" s="7">
        <f t="shared" si="50"/>
        <v>2.6366918656208997</v>
      </c>
      <c r="Y255" s="7">
        <f t="shared" si="51"/>
        <v>9.2098302418819493</v>
      </c>
      <c r="Z255" s="7">
        <f t="shared" si="37"/>
        <v>4.7068238397145912</v>
      </c>
      <c r="AA255" s="7">
        <f t="shared" si="38"/>
        <v>7.1929999999999996</v>
      </c>
      <c r="AB255" s="7">
        <f t="shared" si="39"/>
        <v>44.06</v>
      </c>
      <c r="AC255" s="7">
        <f t="shared" si="40"/>
        <v>20</v>
      </c>
      <c r="AD255" s="7">
        <f t="shared" si="41"/>
        <v>23.3</v>
      </c>
      <c r="AE255" s="7">
        <f t="shared" si="42"/>
        <v>2.7089661617799434</v>
      </c>
      <c r="AF255" s="7">
        <f t="shared" si="43"/>
        <v>0.57809037479525971</v>
      </c>
      <c r="AG255" s="7">
        <f t="shared" si="44"/>
        <v>9.2135252947209469</v>
      </c>
    </row>
    <row r="256" spans="1:33" x14ac:dyDescent="0.25">
      <c r="A256" s="4" t="s">
        <v>153</v>
      </c>
      <c r="B256" s="4">
        <v>2020</v>
      </c>
      <c r="C256" s="4" t="s">
        <v>86</v>
      </c>
      <c r="D256" s="5">
        <f t="shared" si="45"/>
        <v>0</v>
      </c>
      <c r="E256" s="4">
        <v>38.6</v>
      </c>
      <c r="F256" s="4">
        <v>34.799999999999997</v>
      </c>
      <c r="G256" s="4">
        <v>40</v>
      </c>
      <c r="H256" s="4">
        <v>29.6</v>
      </c>
      <c r="I256" s="4">
        <v>73</v>
      </c>
      <c r="J256" s="4">
        <v>1600</v>
      </c>
      <c r="K256" s="4">
        <v>53.4</v>
      </c>
      <c r="L256" s="4">
        <v>2.2570000000000001</v>
      </c>
      <c r="M256" s="4">
        <v>19.13</v>
      </c>
      <c r="N256" s="4">
        <v>15</v>
      </c>
      <c r="O256" s="4">
        <v>18.3</v>
      </c>
      <c r="P256" s="4">
        <v>2577</v>
      </c>
      <c r="Q256" s="6">
        <f t="shared" si="46"/>
        <v>1.610625</v>
      </c>
      <c r="R256" s="4">
        <v>9</v>
      </c>
      <c r="S256" s="4">
        <v>1</v>
      </c>
      <c r="T256" s="6">
        <f t="shared" si="47"/>
        <v>0.625</v>
      </c>
      <c r="U256" s="4">
        <v>107.6</v>
      </c>
      <c r="V256" s="7">
        <f t="shared" si="48"/>
        <v>3.6532522764707851</v>
      </c>
      <c r="W256" s="7">
        <f t="shared" si="49"/>
        <v>3.9778107459661491</v>
      </c>
      <c r="X256" s="7">
        <f t="shared" si="50"/>
        <v>0.47662230242449244</v>
      </c>
      <c r="Y256" s="7">
        <f t="shared" si="51"/>
        <v>4.6876714074998347</v>
      </c>
      <c r="Z256" s="7">
        <f t="shared" ref="Z256:Z319" si="52">IF(B256=2017,"",W193)</f>
        <v>3.9415818076696905</v>
      </c>
      <c r="AA256" s="7">
        <f t="shared" ref="AA256:AA319" si="53">IF(B256=2017,"",L193)</f>
        <v>2.129</v>
      </c>
      <c r="AB256" s="7">
        <f t="shared" ref="AB256:AB319" si="54">IF(B256=2017,"",M193)</f>
        <v>19.059999999999999</v>
      </c>
      <c r="AC256" s="7">
        <f t="shared" ref="AC256:AC319" si="55">IF(B256=2017,"",N193)</f>
        <v>13.5</v>
      </c>
      <c r="AD256" s="7">
        <f t="shared" ref="AD256:AD319" si="56">IF(B256=2017,"",O193)</f>
        <v>20.3</v>
      </c>
      <c r="AE256" s="7">
        <f t="shared" ref="AE256:AE319" si="57">IF(B256=2017,"",X193)</f>
        <v>0.41004139433239756</v>
      </c>
      <c r="AF256" s="7">
        <f t="shared" ref="AF256:AF319" si="58">IF(B256=2017,"",T193)</f>
        <v>0.56292219164373281</v>
      </c>
      <c r="AG256" s="7">
        <f t="shared" ref="AG256:AG319" si="59">IF(B256=2017,"",Y193)</f>
        <v>4.6681449851494801</v>
      </c>
    </row>
    <row r="257" spans="1:33" x14ac:dyDescent="0.25">
      <c r="A257" s="4" t="s">
        <v>85</v>
      </c>
      <c r="B257" s="4">
        <v>2021</v>
      </c>
      <c r="C257" s="4" t="s">
        <v>86</v>
      </c>
      <c r="D257" s="5">
        <f t="shared" si="45"/>
        <v>0</v>
      </c>
      <c r="E257" s="4">
        <v>5.44</v>
      </c>
      <c r="F257" s="4">
        <v>11.88</v>
      </c>
      <c r="G257" s="4">
        <v>4.46</v>
      </c>
      <c r="H257" s="4">
        <v>3.2</v>
      </c>
      <c r="I257" s="4"/>
      <c r="J257" s="4">
        <v>1909.5</v>
      </c>
      <c r="K257" s="4">
        <v>47.7</v>
      </c>
      <c r="L257" s="4">
        <v>2.5430000000000001</v>
      </c>
      <c r="M257" s="4">
        <v>33.83</v>
      </c>
      <c r="N257" s="4">
        <v>13.4</v>
      </c>
      <c r="O257" s="4">
        <v>20.399999999999999</v>
      </c>
      <c r="P257" s="4">
        <v>8246.5</v>
      </c>
      <c r="Q257" s="6">
        <f t="shared" si="46"/>
        <v>4.3186698088504842</v>
      </c>
      <c r="R257" s="4">
        <v>7</v>
      </c>
      <c r="S257" s="4">
        <v>2</v>
      </c>
      <c r="T257" s="6">
        <f t="shared" si="47"/>
        <v>0.47132757266300079</v>
      </c>
      <c r="U257" s="4">
        <v>153.30000000000001</v>
      </c>
      <c r="V257" s="7">
        <f t="shared" si="48"/>
        <v>1.6937790608678513</v>
      </c>
      <c r="W257" s="7">
        <f t="shared" si="49"/>
        <v>3.8649313978942956</v>
      </c>
      <c r="X257" s="7">
        <f t="shared" si="50"/>
        <v>1.4629474402226359</v>
      </c>
      <c r="Y257" s="7">
        <f t="shared" si="51"/>
        <v>5.0388987593691148</v>
      </c>
      <c r="Z257" s="7">
        <f t="shared" si="52"/>
        <v>3.8416005411316001</v>
      </c>
      <c r="AA257" s="7">
        <f t="shared" si="53"/>
        <v>2.5169999999999999</v>
      </c>
      <c r="AB257" s="7">
        <f t="shared" si="54"/>
        <v>31.59</v>
      </c>
      <c r="AC257" s="7">
        <f t="shared" si="55"/>
        <v>13.9</v>
      </c>
      <c r="AD257" s="7">
        <f t="shared" si="56"/>
        <v>18.399999999999999</v>
      </c>
      <c r="AE257" s="7">
        <f t="shared" si="57"/>
        <v>1.3825989091536561</v>
      </c>
      <c r="AF257" s="7">
        <f t="shared" si="58"/>
        <v>0.47256497768443162</v>
      </c>
      <c r="AG257" s="7">
        <f t="shared" si="59"/>
        <v>4.9642422545265452</v>
      </c>
    </row>
    <row r="258" spans="1:33" x14ac:dyDescent="0.25">
      <c r="A258" s="4" t="s">
        <v>87</v>
      </c>
      <c r="B258" s="4">
        <v>2021</v>
      </c>
      <c r="C258" s="4" t="s">
        <v>88</v>
      </c>
      <c r="D258" s="5">
        <f t="shared" si="45"/>
        <v>1</v>
      </c>
      <c r="E258" s="4">
        <v>9.99</v>
      </c>
      <c r="F258" s="4">
        <v>19.510000000000002</v>
      </c>
      <c r="G258" s="4">
        <v>6.12</v>
      </c>
      <c r="H258" s="4">
        <v>9.1</v>
      </c>
      <c r="I258" s="4"/>
      <c r="J258" s="4">
        <v>1176.0999999999999</v>
      </c>
      <c r="K258" s="4">
        <v>297.60000000000002</v>
      </c>
      <c r="L258" s="4">
        <v>9.6869999999999994</v>
      </c>
      <c r="M258" s="4">
        <v>58.4</v>
      </c>
      <c r="N258" s="4">
        <v>29.9</v>
      </c>
      <c r="O258" s="4">
        <v>28.5</v>
      </c>
      <c r="P258" s="4">
        <v>8183.1</v>
      </c>
      <c r="Q258" s="6">
        <f t="shared" si="46"/>
        <v>6.957826715415357</v>
      </c>
      <c r="R258" s="4">
        <v>9</v>
      </c>
      <c r="S258" s="4">
        <v>5</v>
      </c>
      <c r="T258" s="6">
        <f t="shared" si="47"/>
        <v>1.1903749681149565</v>
      </c>
      <c r="U258" s="4">
        <v>28071.1</v>
      </c>
      <c r="V258" s="7">
        <f t="shared" si="48"/>
        <v>2.3015845926604621</v>
      </c>
      <c r="W258" s="7">
        <f t="shared" si="49"/>
        <v>5.6957503029589365</v>
      </c>
      <c r="X258" s="7">
        <f t="shared" si="50"/>
        <v>1.9398671720527669</v>
      </c>
      <c r="Y258" s="7">
        <f t="shared" si="51"/>
        <v>10.242531479525159</v>
      </c>
      <c r="Z258" s="7">
        <f t="shared" si="52"/>
        <v>5.5262494345940434</v>
      </c>
      <c r="AA258" s="7">
        <f t="shared" si="53"/>
        <v>9.3719999999999999</v>
      </c>
      <c r="AB258" s="7">
        <f t="shared" si="54"/>
        <v>57.56</v>
      </c>
      <c r="AC258" s="7">
        <f t="shared" si="55"/>
        <v>30.1</v>
      </c>
      <c r="AD258" s="7">
        <f t="shared" si="56"/>
        <v>26.2</v>
      </c>
      <c r="AE258" s="7">
        <f t="shared" si="57"/>
        <v>1.8354030636708374</v>
      </c>
      <c r="AF258" s="7">
        <f t="shared" si="58"/>
        <v>1.2843565373747752</v>
      </c>
      <c r="AG258" s="7">
        <f t="shared" si="59"/>
        <v>10.241262511674343</v>
      </c>
    </row>
    <row r="259" spans="1:33" x14ac:dyDescent="0.25">
      <c r="A259" s="4" t="s">
        <v>89</v>
      </c>
      <c r="B259" s="4">
        <v>2021</v>
      </c>
      <c r="C259" s="4" t="s">
        <v>88</v>
      </c>
      <c r="D259" s="5">
        <f t="shared" si="45"/>
        <v>1</v>
      </c>
      <c r="E259" s="4">
        <v>14.76</v>
      </c>
      <c r="F259" s="4">
        <v>20.309999999999999</v>
      </c>
      <c r="G259" s="4">
        <v>11.86</v>
      </c>
      <c r="H259" s="4">
        <v>14.9</v>
      </c>
      <c r="I259" s="4"/>
      <c r="J259" s="4">
        <v>2596.8000000000002</v>
      </c>
      <c r="K259" s="4">
        <v>157.4</v>
      </c>
      <c r="L259" s="4">
        <v>14.506</v>
      </c>
      <c r="M259" s="4">
        <v>84.32</v>
      </c>
      <c r="N259" s="4">
        <v>21</v>
      </c>
      <c r="O259" s="4">
        <v>20.3</v>
      </c>
      <c r="P259" s="4">
        <v>63039.3</v>
      </c>
      <c r="Q259" s="6">
        <f t="shared" si="46"/>
        <v>24.275762476894638</v>
      </c>
      <c r="R259" s="4">
        <v>12</v>
      </c>
      <c r="S259" s="4">
        <v>5</v>
      </c>
      <c r="T259" s="6">
        <f t="shared" si="47"/>
        <v>0.65465187923598278</v>
      </c>
      <c r="U259" s="4">
        <v>14553.1</v>
      </c>
      <c r="V259" s="7">
        <f t="shared" si="48"/>
        <v>2.6919208191723265</v>
      </c>
      <c r="W259" s="7">
        <f t="shared" si="49"/>
        <v>5.0587903359833026</v>
      </c>
      <c r="X259" s="7">
        <f t="shared" si="50"/>
        <v>3.1894784236488696</v>
      </c>
      <c r="Y259" s="7">
        <f t="shared" si="51"/>
        <v>9.5856280198467356</v>
      </c>
      <c r="Z259" s="7">
        <f t="shared" si="52"/>
        <v>5.01396308418893</v>
      </c>
      <c r="AA259" s="7">
        <f t="shared" si="53"/>
        <v>13.499000000000001</v>
      </c>
      <c r="AB259" s="7">
        <f t="shared" si="54"/>
        <v>84.41</v>
      </c>
      <c r="AC259" s="7">
        <f t="shared" si="55"/>
        <v>20.100000000000001</v>
      </c>
      <c r="AD259" s="7">
        <f t="shared" si="56"/>
        <v>22.2</v>
      </c>
      <c r="AE259" s="7">
        <f t="shared" si="57"/>
        <v>3.1207945456849679</v>
      </c>
      <c r="AF259" s="7">
        <f t="shared" si="58"/>
        <v>0.65876152832674573</v>
      </c>
      <c r="AG259" s="7">
        <f t="shared" si="59"/>
        <v>9.5862599444214673</v>
      </c>
    </row>
    <row r="260" spans="1:33" x14ac:dyDescent="0.25">
      <c r="A260" s="4" t="s">
        <v>90</v>
      </c>
      <c r="B260" s="4">
        <v>2021</v>
      </c>
      <c r="C260" s="4" t="s">
        <v>88</v>
      </c>
      <c r="D260" s="5">
        <f t="shared" si="45"/>
        <v>1</v>
      </c>
      <c r="E260" s="4">
        <v>5.09</v>
      </c>
      <c r="F260" s="4">
        <v>12.86</v>
      </c>
      <c r="G260" s="4">
        <v>3.2</v>
      </c>
      <c r="H260" s="4">
        <v>3.1</v>
      </c>
      <c r="I260" s="4"/>
      <c r="J260" s="4">
        <v>1024.3</v>
      </c>
      <c r="K260" s="4">
        <v>76.099999999999994</v>
      </c>
      <c r="L260" s="4">
        <v>6.069</v>
      </c>
      <c r="M260" s="4">
        <v>24.16</v>
      </c>
      <c r="N260" s="4">
        <v>19.2</v>
      </c>
      <c r="O260" s="4">
        <v>19.7</v>
      </c>
      <c r="P260" s="4">
        <v>2554.9</v>
      </c>
      <c r="Q260" s="6">
        <f t="shared" si="46"/>
        <v>2.4942887825832276</v>
      </c>
      <c r="R260" s="4">
        <v>6</v>
      </c>
      <c r="S260" s="4">
        <v>3</v>
      </c>
      <c r="T260" s="6">
        <f t="shared" si="47"/>
        <v>0.87864883334960475</v>
      </c>
      <c r="U260" s="4">
        <v>3643.9</v>
      </c>
      <c r="V260" s="7">
        <f t="shared" si="48"/>
        <v>1.6272778305624314</v>
      </c>
      <c r="W260" s="7">
        <f t="shared" si="49"/>
        <v>4.3320482648676402</v>
      </c>
      <c r="X260" s="7">
        <f t="shared" si="50"/>
        <v>0.91400363148611896</v>
      </c>
      <c r="Y260" s="7">
        <f t="shared" si="51"/>
        <v>8.2010842092241667</v>
      </c>
      <c r="Z260" s="7">
        <f t="shared" si="52"/>
        <v>4.2150861799182291</v>
      </c>
      <c r="AA260" s="7">
        <f t="shared" si="53"/>
        <v>5.7670000000000003</v>
      </c>
      <c r="AB260" s="7">
        <f t="shared" si="54"/>
        <v>24.03</v>
      </c>
      <c r="AC260" s="7">
        <f t="shared" si="55"/>
        <v>18.100000000000001</v>
      </c>
      <c r="AD260" s="7">
        <f t="shared" si="56"/>
        <v>21.2</v>
      </c>
      <c r="AE260" s="7">
        <f t="shared" si="57"/>
        <v>1.0237813084651139</v>
      </c>
      <c r="AF260" s="7">
        <f t="shared" si="58"/>
        <v>1.087924043121353</v>
      </c>
      <c r="AG260" s="7">
        <f t="shared" si="59"/>
        <v>8.0796490078443259</v>
      </c>
    </row>
    <row r="261" spans="1:33" x14ac:dyDescent="0.25">
      <c r="A261" s="4" t="s">
        <v>91</v>
      </c>
      <c r="B261" s="4">
        <v>2021</v>
      </c>
      <c r="C261" s="4" t="s">
        <v>92</v>
      </c>
      <c r="D261" s="5">
        <f t="shared" ref="D261:D324" si="60">IF(OR(C261="ĐNB",C261="ĐBSH"),1,0)</f>
        <v>0</v>
      </c>
      <c r="E261" s="4">
        <v>5.82</v>
      </c>
      <c r="F261" s="4">
        <v>13.5</v>
      </c>
      <c r="G261" s="4">
        <v>3.36</v>
      </c>
      <c r="H261" s="4">
        <v>4.4400000000000004</v>
      </c>
      <c r="I261" s="4"/>
      <c r="J261" s="4">
        <v>1246.3</v>
      </c>
      <c r="K261" s="4">
        <v>73.400000000000006</v>
      </c>
      <c r="L261" s="4">
        <v>4.3860000000000001</v>
      </c>
      <c r="M261" s="4">
        <v>38.5</v>
      </c>
      <c r="N261" s="4">
        <v>18.3</v>
      </c>
      <c r="O261" s="4">
        <v>21.9</v>
      </c>
      <c r="P261" s="4">
        <v>4611</v>
      </c>
      <c r="Q261" s="6">
        <f t="shared" ref="Q261:Q324" si="61">IF(P261="","",P261/J261)</f>
        <v>3.6997512637406724</v>
      </c>
      <c r="R261" s="4">
        <v>3</v>
      </c>
      <c r="S261" s="4">
        <v>1</v>
      </c>
      <c r="T261" s="6">
        <f t="shared" ref="T261:T324" si="62">(R261+S261)/J261*100</f>
        <v>0.32095001203562545</v>
      </c>
      <c r="U261" s="4">
        <v>3066.9</v>
      </c>
      <c r="V261" s="7">
        <f t="shared" ref="V261:V324" si="63">IF(E261="","",LN(E261))</f>
        <v>1.7613002617433464</v>
      </c>
      <c r="W261" s="7">
        <f t="shared" ref="W261:W324" si="64">IF(K261="","",LN(K261))</f>
        <v>4.2959239356204701</v>
      </c>
      <c r="X261" s="7">
        <f t="shared" ref="X261:X324" si="65">IF(Q261="","",LN(Q261))</f>
        <v>1.3082655913743744</v>
      </c>
      <c r="Y261" s="7">
        <f t="shared" ref="Y261:Y324" si="66">LN(1+U261)</f>
        <v>8.0287485674318138</v>
      </c>
      <c r="Z261" s="7">
        <f t="shared" si="52"/>
        <v>4.2370008626236242</v>
      </c>
      <c r="AA261" s="7">
        <f t="shared" si="53"/>
        <v>4.2119999999999997</v>
      </c>
      <c r="AB261" s="7">
        <f t="shared" si="54"/>
        <v>38.090000000000003</v>
      </c>
      <c r="AC261" s="7">
        <f t="shared" si="55"/>
        <v>15.7</v>
      </c>
      <c r="AD261" s="7">
        <f t="shared" si="56"/>
        <v>20.100000000000001</v>
      </c>
      <c r="AE261" s="7">
        <f t="shared" si="57"/>
        <v>1.6399841007239431</v>
      </c>
      <c r="AF261" s="7">
        <f t="shared" si="58"/>
        <v>0.32276284999596544</v>
      </c>
      <c r="AG261" s="7">
        <f t="shared" si="59"/>
        <v>8.0311252187759727</v>
      </c>
    </row>
    <row r="262" spans="1:33" x14ac:dyDescent="0.25">
      <c r="A262" s="4" t="s">
        <v>93</v>
      </c>
      <c r="B262" s="4">
        <v>2021</v>
      </c>
      <c r="C262" s="4" t="s">
        <v>92</v>
      </c>
      <c r="D262" s="5">
        <f t="shared" si="60"/>
        <v>0</v>
      </c>
      <c r="E262" s="4">
        <v>6.33</v>
      </c>
      <c r="F262" s="4">
        <v>15.11</v>
      </c>
      <c r="G262" s="4">
        <v>3.07</v>
      </c>
      <c r="H262" s="4">
        <v>5.19</v>
      </c>
      <c r="I262" s="4"/>
      <c r="J262" s="4">
        <v>1508.3</v>
      </c>
      <c r="K262" s="4">
        <v>63.7</v>
      </c>
      <c r="L262" s="4">
        <v>4.6790000000000003</v>
      </c>
      <c r="M262" s="4">
        <v>41.16</v>
      </c>
      <c r="N262" s="4">
        <v>25</v>
      </c>
      <c r="O262" s="4">
        <v>26.1</v>
      </c>
      <c r="P262" s="4">
        <v>25440.2</v>
      </c>
      <c r="Q262" s="6">
        <f t="shared" si="61"/>
        <v>16.866803686269311</v>
      </c>
      <c r="R262" s="4">
        <v>8</v>
      </c>
      <c r="S262" s="4">
        <v>4</v>
      </c>
      <c r="T262" s="6">
        <f t="shared" si="62"/>
        <v>0.79559769276669101</v>
      </c>
      <c r="U262" s="4">
        <v>787.8</v>
      </c>
      <c r="V262" s="7">
        <f t="shared" si="63"/>
        <v>1.8453002361560848</v>
      </c>
      <c r="W262" s="7">
        <f t="shared" si="64"/>
        <v>4.1541845625781173</v>
      </c>
      <c r="X262" s="7">
        <f t="shared" si="65"/>
        <v>2.8253474112841697</v>
      </c>
      <c r="Y262" s="7">
        <f t="shared" si="66"/>
        <v>6.6705128032884256</v>
      </c>
      <c r="Z262" s="7">
        <f t="shared" si="52"/>
        <v>4.0960098415411617</v>
      </c>
      <c r="AA262" s="7">
        <f t="shared" si="53"/>
        <v>4.5309999999999997</v>
      </c>
      <c r="AB262" s="7">
        <f t="shared" si="54"/>
        <v>40.32</v>
      </c>
      <c r="AC262" s="7">
        <f t="shared" si="55"/>
        <v>21.8</v>
      </c>
      <c r="AD262" s="7">
        <f t="shared" si="56"/>
        <v>24.7</v>
      </c>
      <c r="AE262" s="7">
        <f t="shared" si="57"/>
        <v>2.8198086483769287</v>
      </c>
      <c r="AF262" s="7">
        <f t="shared" si="58"/>
        <v>0.80650581356273943</v>
      </c>
      <c r="AG262" s="7">
        <f t="shared" si="59"/>
        <v>6.5935923292807583</v>
      </c>
    </row>
    <row r="263" spans="1:33" x14ac:dyDescent="0.25">
      <c r="A263" s="4" t="s">
        <v>94</v>
      </c>
      <c r="B263" s="4">
        <v>2021</v>
      </c>
      <c r="C263" s="4" t="s">
        <v>86</v>
      </c>
      <c r="D263" s="5">
        <f t="shared" si="60"/>
        <v>0</v>
      </c>
      <c r="E263" s="4"/>
      <c r="F263" s="4"/>
      <c r="G263" s="4"/>
      <c r="H263" s="4"/>
      <c r="I263" s="4"/>
      <c r="J263" s="4">
        <v>918.5</v>
      </c>
      <c r="K263" s="4">
        <v>51.4</v>
      </c>
      <c r="L263" s="4">
        <v>2.3889999999999998</v>
      </c>
      <c r="M263" s="4">
        <v>27.75</v>
      </c>
      <c r="N263" s="4">
        <v>10.7</v>
      </c>
      <c r="O263" s="4">
        <v>15.2</v>
      </c>
      <c r="P263" s="4">
        <v>2873.5</v>
      </c>
      <c r="Q263" s="6">
        <f t="shared" si="61"/>
        <v>3.1284703320631464</v>
      </c>
      <c r="R263" s="4">
        <v>6</v>
      </c>
      <c r="S263" s="4">
        <v>5</v>
      </c>
      <c r="T263" s="6">
        <f t="shared" si="62"/>
        <v>1.1976047904191618</v>
      </c>
      <c r="U263" s="4">
        <v>4954.8</v>
      </c>
      <c r="V263" s="7" t="str">
        <f t="shared" si="63"/>
        <v/>
      </c>
      <c r="W263" s="7">
        <f t="shared" si="64"/>
        <v>3.9396381724611196</v>
      </c>
      <c r="X263" s="7">
        <f t="shared" si="65"/>
        <v>1.1405441732926158</v>
      </c>
      <c r="Y263" s="7">
        <f t="shared" si="66"/>
        <v>8.508313886809642</v>
      </c>
      <c r="Z263" s="7">
        <f t="shared" si="52"/>
        <v>3.8712010109078911</v>
      </c>
      <c r="AA263" s="7">
        <f t="shared" si="53"/>
        <v>2.2749999999999999</v>
      </c>
      <c r="AB263" s="7">
        <f t="shared" si="54"/>
        <v>27.76</v>
      </c>
      <c r="AC263" s="7">
        <f t="shared" si="55"/>
        <v>10.3</v>
      </c>
      <c r="AD263" s="7">
        <f t="shared" si="56"/>
        <v>14.2</v>
      </c>
      <c r="AE263" s="7">
        <f t="shared" si="57"/>
        <v>1.061288698392796</v>
      </c>
      <c r="AF263" s="7">
        <f t="shared" si="58"/>
        <v>1.20415982484948</v>
      </c>
      <c r="AG263" s="7">
        <f t="shared" si="59"/>
        <v>8.5137673298480454</v>
      </c>
    </row>
    <row r="264" spans="1:33" x14ac:dyDescent="0.25">
      <c r="A264" s="4" t="s">
        <v>95</v>
      </c>
      <c r="B264" s="4">
        <v>2021</v>
      </c>
      <c r="C264" s="4" t="s">
        <v>96</v>
      </c>
      <c r="D264" s="5">
        <f t="shared" si="60"/>
        <v>0</v>
      </c>
      <c r="E264" s="4">
        <v>6.41</v>
      </c>
      <c r="F264" s="4">
        <v>13.83</v>
      </c>
      <c r="G264" s="4">
        <v>4.5999999999999996</v>
      </c>
      <c r="H264" s="4">
        <v>4.5</v>
      </c>
      <c r="I264" s="4"/>
      <c r="J264" s="4">
        <v>1875.2</v>
      </c>
      <c r="K264" s="4">
        <v>70.3</v>
      </c>
      <c r="L264" s="4">
        <v>3.7949999999999999</v>
      </c>
      <c r="M264" s="4">
        <v>18.22</v>
      </c>
      <c r="N264" s="4">
        <v>26.7</v>
      </c>
      <c r="O264" s="4">
        <v>20.7</v>
      </c>
      <c r="P264" s="4">
        <v>24246.400000000001</v>
      </c>
      <c r="Q264" s="6">
        <f t="shared" si="61"/>
        <v>12.930034129692833</v>
      </c>
      <c r="R264" s="4">
        <v>6</v>
      </c>
      <c r="S264" s="4">
        <v>6</v>
      </c>
      <c r="T264" s="6">
        <f t="shared" si="62"/>
        <v>0.63993174061433444</v>
      </c>
      <c r="U264" s="4">
        <v>4595.8</v>
      </c>
      <c r="V264" s="7">
        <f t="shared" si="63"/>
        <v>1.8578592709325787</v>
      </c>
      <c r="W264" s="7">
        <f t="shared" si="64"/>
        <v>4.2527717988166192</v>
      </c>
      <c r="X264" s="7">
        <f t="shared" si="65"/>
        <v>2.5595528323543606</v>
      </c>
      <c r="Y264" s="7">
        <f t="shared" si="66"/>
        <v>8.4331156882250244</v>
      </c>
      <c r="Z264" s="7">
        <f t="shared" si="52"/>
        <v>4.1835756959500436</v>
      </c>
      <c r="AA264" s="7">
        <f t="shared" si="53"/>
        <v>3.556</v>
      </c>
      <c r="AB264" s="7">
        <f t="shared" si="54"/>
        <v>18.14</v>
      </c>
      <c r="AC264" s="7">
        <f t="shared" si="55"/>
        <v>19.8</v>
      </c>
      <c r="AD264" s="7">
        <f t="shared" si="56"/>
        <v>17.8</v>
      </c>
      <c r="AE264" s="7">
        <f t="shared" si="57"/>
        <v>2.5279850021170573</v>
      </c>
      <c r="AF264" s="7">
        <f t="shared" si="58"/>
        <v>0.86880973066898359</v>
      </c>
      <c r="AG264" s="7">
        <f t="shared" si="59"/>
        <v>8.262584772471449</v>
      </c>
    </row>
    <row r="265" spans="1:33" x14ac:dyDescent="0.25">
      <c r="A265" s="4" t="s">
        <v>97</v>
      </c>
      <c r="B265" s="4">
        <v>2021</v>
      </c>
      <c r="C265" s="4" t="s">
        <v>96</v>
      </c>
      <c r="D265" s="5">
        <f t="shared" si="60"/>
        <v>0</v>
      </c>
      <c r="E265" s="4">
        <v>3.98</v>
      </c>
      <c r="F265" s="4">
        <v>11.57</v>
      </c>
      <c r="G265" s="4">
        <v>2.04</v>
      </c>
      <c r="H265" s="4">
        <v>2.11</v>
      </c>
      <c r="I265" s="4"/>
      <c r="J265" s="4">
        <v>323.7</v>
      </c>
      <c r="K265" s="4">
        <v>42.5</v>
      </c>
      <c r="L265" s="4">
        <v>2.0230000000000001</v>
      </c>
      <c r="M265" s="4">
        <v>22.58</v>
      </c>
      <c r="N265" s="4">
        <v>27</v>
      </c>
      <c r="O265" s="4">
        <v>19.3</v>
      </c>
      <c r="P265" s="4">
        <v>1267</v>
      </c>
      <c r="Q265" s="6">
        <f t="shared" si="61"/>
        <v>3.9141180105035529</v>
      </c>
      <c r="R265" s="4">
        <v>2</v>
      </c>
      <c r="S265" s="4">
        <v>1</v>
      </c>
      <c r="T265" s="6">
        <f t="shared" si="62"/>
        <v>0.92678405931417984</v>
      </c>
      <c r="U265" s="4">
        <v>24.4</v>
      </c>
      <c r="V265" s="7">
        <f t="shared" si="63"/>
        <v>1.3812818192963463</v>
      </c>
      <c r="W265" s="7">
        <f t="shared" si="64"/>
        <v>3.7495040759303713</v>
      </c>
      <c r="X265" s="7">
        <f t="shared" si="65"/>
        <v>1.3645900193889404</v>
      </c>
      <c r="Y265" s="7">
        <f t="shared" si="66"/>
        <v>3.2347491740244907</v>
      </c>
      <c r="Z265" s="7">
        <f t="shared" si="52"/>
        <v>3.7160081215021892</v>
      </c>
      <c r="AA265" s="7">
        <f t="shared" si="53"/>
        <v>1.9019999999999999</v>
      </c>
      <c r="AB265" s="7">
        <f t="shared" si="54"/>
        <v>22.59</v>
      </c>
      <c r="AC265" s="7">
        <f t="shared" si="55"/>
        <v>16.3</v>
      </c>
      <c r="AD265" s="7">
        <f t="shared" si="56"/>
        <v>16.5</v>
      </c>
      <c r="AE265" s="7">
        <f t="shared" si="57"/>
        <v>1.2939261370366355</v>
      </c>
      <c r="AF265" s="7">
        <f t="shared" si="58"/>
        <v>0.94786729857819907</v>
      </c>
      <c r="AG265" s="7">
        <f t="shared" si="59"/>
        <v>3.039749158970765</v>
      </c>
    </row>
    <row r="266" spans="1:33" x14ac:dyDescent="0.25">
      <c r="A266" s="4" t="s">
        <v>98</v>
      </c>
      <c r="B266" s="4">
        <v>2021</v>
      </c>
      <c r="C266" s="4" t="s">
        <v>99</v>
      </c>
      <c r="D266" s="5">
        <f t="shared" si="60"/>
        <v>1</v>
      </c>
      <c r="E266" s="4">
        <v>9.41</v>
      </c>
      <c r="F266" s="4">
        <v>17.350000000000001</v>
      </c>
      <c r="G266" s="4">
        <v>5.7</v>
      </c>
      <c r="H266" s="4">
        <v>9.16</v>
      </c>
      <c r="I266" s="4"/>
      <c r="J266" s="4">
        <v>1462.9</v>
      </c>
      <c r="K266" s="4">
        <v>157.69999999999999</v>
      </c>
      <c r="L266" s="4">
        <v>9.532</v>
      </c>
      <c r="M266" s="4">
        <v>36.65</v>
      </c>
      <c r="N266" s="4">
        <v>33.5</v>
      </c>
      <c r="O266" s="4">
        <v>28.7</v>
      </c>
      <c r="P266" s="4">
        <v>18264</v>
      </c>
      <c r="Q266" s="6">
        <f t="shared" si="61"/>
        <v>12.48479048465377</v>
      </c>
      <c r="R266" s="4">
        <v>25</v>
      </c>
      <c r="S266" s="4">
        <v>3</v>
      </c>
      <c r="T266" s="6">
        <f t="shared" si="62"/>
        <v>1.914006425593</v>
      </c>
      <c r="U266" s="4">
        <v>15370.3</v>
      </c>
      <c r="V266" s="7">
        <f t="shared" si="63"/>
        <v>2.2417729535972883</v>
      </c>
      <c r="W266" s="7">
        <f t="shared" si="64"/>
        <v>5.0606944939689926</v>
      </c>
      <c r="X266" s="7">
        <f t="shared" si="65"/>
        <v>2.5245111422255913</v>
      </c>
      <c r="Y266" s="7">
        <f t="shared" si="66"/>
        <v>9.6402574133072587</v>
      </c>
      <c r="Z266" s="7">
        <f t="shared" si="52"/>
        <v>4.9924713234685845</v>
      </c>
      <c r="AA266" s="7">
        <f t="shared" si="53"/>
        <v>8.9979999999999993</v>
      </c>
      <c r="AB266" s="7">
        <f t="shared" si="54"/>
        <v>31.47</v>
      </c>
      <c r="AC266" s="7">
        <f t="shared" si="55"/>
        <v>27.8</v>
      </c>
      <c r="AD266" s="7">
        <f t="shared" si="56"/>
        <v>29.1</v>
      </c>
      <c r="AE266" s="7">
        <f t="shared" si="57"/>
        <v>2.6688349373973557</v>
      </c>
      <c r="AF266" s="7">
        <f t="shared" si="58"/>
        <v>2.1140159255866395</v>
      </c>
      <c r="AG266" s="7">
        <f t="shared" si="59"/>
        <v>9.5441304433774565</v>
      </c>
    </row>
    <row r="267" spans="1:33" x14ac:dyDescent="0.25">
      <c r="A267" s="4" t="s">
        <v>100</v>
      </c>
      <c r="B267" s="4">
        <v>2021</v>
      </c>
      <c r="C267" s="4" t="s">
        <v>86</v>
      </c>
      <c r="D267" s="5">
        <f t="shared" si="60"/>
        <v>0</v>
      </c>
      <c r="E267" s="4">
        <v>6.66</v>
      </c>
      <c r="F267" s="4">
        <v>15.4</v>
      </c>
      <c r="G267" s="4">
        <v>4.49</v>
      </c>
      <c r="H267" s="4">
        <v>4.46</v>
      </c>
      <c r="I267" s="4"/>
      <c r="J267" s="4">
        <v>1295.7</v>
      </c>
      <c r="K267" s="4">
        <v>44.6</v>
      </c>
      <c r="L267" s="4">
        <v>2.68</v>
      </c>
      <c r="M267" s="4">
        <v>9.9</v>
      </c>
      <c r="N267" s="4">
        <v>12.9</v>
      </c>
      <c r="O267" s="4">
        <v>14.6</v>
      </c>
      <c r="P267" s="4">
        <v>3473</v>
      </c>
      <c r="Q267" s="6">
        <f t="shared" si="61"/>
        <v>2.6804044146021453</v>
      </c>
      <c r="R267" s="4">
        <v>4</v>
      </c>
      <c r="S267" s="4">
        <v>2</v>
      </c>
      <c r="T267" s="6">
        <f t="shared" si="62"/>
        <v>0.46307015512850197</v>
      </c>
      <c r="U267" s="4">
        <v>1222.4000000000001</v>
      </c>
      <c r="V267" s="7">
        <f t="shared" si="63"/>
        <v>1.8961194845522977</v>
      </c>
      <c r="W267" s="7">
        <f t="shared" si="64"/>
        <v>3.7977338590260183</v>
      </c>
      <c r="X267" s="7">
        <f t="shared" si="65"/>
        <v>0.9859676841093088</v>
      </c>
      <c r="Y267" s="7">
        <f t="shared" si="66"/>
        <v>7.1093891468084642</v>
      </c>
      <c r="Z267" s="7">
        <f t="shared" si="52"/>
        <v>3.735285826928092</v>
      </c>
      <c r="AA267" s="7">
        <f t="shared" si="53"/>
        <v>2.5739999999999998</v>
      </c>
      <c r="AB267" s="7">
        <f t="shared" si="54"/>
        <v>9.8000000000000007</v>
      </c>
      <c r="AC267" s="7">
        <f t="shared" si="55"/>
        <v>12.6</v>
      </c>
      <c r="AD267" s="7">
        <f t="shared" si="56"/>
        <v>14.5</v>
      </c>
      <c r="AE267" s="7">
        <f t="shared" si="57"/>
        <v>0.92153846733122535</v>
      </c>
      <c r="AF267" s="7">
        <f t="shared" si="58"/>
        <v>0.46425255338904359</v>
      </c>
      <c r="AG267" s="7">
        <f t="shared" si="59"/>
        <v>7.1294577924999425</v>
      </c>
    </row>
    <row r="268" spans="1:33" x14ac:dyDescent="0.25">
      <c r="A268" s="4" t="s">
        <v>101</v>
      </c>
      <c r="B268" s="4">
        <v>2021</v>
      </c>
      <c r="C268" s="4" t="s">
        <v>96</v>
      </c>
      <c r="D268" s="5">
        <f t="shared" si="60"/>
        <v>0</v>
      </c>
      <c r="E268" s="4"/>
      <c r="F268" s="4"/>
      <c r="G268" s="4"/>
      <c r="H268" s="4"/>
      <c r="I268" s="4"/>
      <c r="J268" s="4">
        <v>542.20000000000005</v>
      </c>
      <c r="K268" s="4">
        <v>35.799999999999997</v>
      </c>
      <c r="L268" s="4">
        <v>2.1800000000000002</v>
      </c>
      <c r="M268" s="4">
        <v>25.49</v>
      </c>
      <c r="N268" s="4">
        <v>24.7</v>
      </c>
      <c r="O268" s="4">
        <v>18.399999999999999</v>
      </c>
      <c r="P268" s="4">
        <v>1802</v>
      </c>
      <c r="Q268" s="6">
        <f t="shared" si="61"/>
        <v>3.3234968646255991</v>
      </c>
      <c r="R268" s="4">
        <v>6</v>
      </c>
      <c r="S268" s="4">
        <v>0</v>
      </c>
      <c r="T268" s="6">
        <f t="shared" si="62"/>
        <v>1.1066027296200664</v>
      </c>
      <c r="U268" s="4">
        <v>67.099999999999994</v>
      </c>
      <c r="V268" s="7" t="str">
        <f t="shared" si="63"/>
        <v/>
      </c>
      <c r="W268" s="7">
        <f t="shared" si="64"/>
        <v>3.5779478934066544</v>
      </c>
      <c r="X268" s="7">
        <f t="shared" si="65"/>
        <v>1.2010175011037181</v>
      </c>
      <c r="Y268" s="7">
        <f t="shared" si="66"/>
        <v>4.220977213155467</v>
      </c>
      <c r="Z268" s="7">
        <f t="shared" si="52"/>
        <v>3.5779478934066544</v>
      </c>
      <c r="AA268" s="7">
        <f t="shared" si="53"/>
        <v>2.1520000000000001</v>
      </c>
      <c r="AB268" s="7">
        <f t="shared" si="54"/>
        <v>25.51</v>
      </c>
      <c r="AC268" s="7">
        <f t="shared" si="55"/>
        <v>21.8</v>
      </c>
      <c r="AD268" s="7">
        <f t="shared" si="56"/>
        <v>15.2</v>
      </c>
      <c r="AE268" s="7">
        <f t="shared" si="57"/>
        <v>1.2543427688051925</v>
      </c>
      <c r="AF268" s="7">
        <f t="shared" si="58"/>
        <v>0.93791033577190019</v>
      </c>
      <c r="AG268" s="7">
        <f t="shared" si="59"/>
        <v>4.2384449061958573</v>
      </c>
    </row>
    <row r="269" spans="1:33" x14ac:dyDescent="0.25">
      <c r="A269" s="4" t="s">
        <v>102</v>
      </c>
      <c r="B269" s="4">
        <v>2021</v>
      </c>
      <c r="C269" s="4" t="s">
        <v>86</v>
      </c>
      <c r="D269" s="5">
        <f t="shared" si="60"/>
        <v>0</v>
      </c>
      <c r="E269" s="4">
        <v>4.68</v>
      </c>
      <c r="F269" s="4">
        <v>11.42</v>
      </c>
      <c r="G269" s="4">
        <v>2.96</v>
      </c>
      <c r="H269" s="4">
        <v>3.04</v>
      </c>
      <c r="I269" s="4"/>
      <c r="J269" s="4">
        <v>1208.8</v>
      </c>
      <c r="K269" s="4">
        <v>51.8</v>
      </c>
      <c r="L269" s="4">
        <v>3.0270000000000001</v>
      </c>
      <c r="M269" s="4">
        <v>22.77</v>
      </c>
      <c r="N269" s="4">
        <v>14.1</v>
      </c>
      <c r="O269" s="4">
        <v>14.3</v>
      </c>
      <c r="P269" s="4">
        <v>720.4</v>
      </c>
      <c r="Q269" s="6">
        <f t="shared" si="61"/>
        <v>0.59596293845135673</v>
      </c>
      <c r="R269" s="4">
        <v>4</v>
      </c>
      <c r="S269" s="4">
        <v>3</v>
      </c>
      <c r="T269" s="6">
        <f t="shared" si="62"/>
        <v>0.5790866975512905</v>
      </c>
      <c r="U269" s="4">
        <v>130.5</v>
      </c>
      <c r="V269" s="7">
        <f t="shared" si="63"/>
        <v>1.5432981099295553</v>
      </c>
      <c r="W269" s="7">
        <f t="shared" si="64"/>
        <v>3.9473901492654373</v>
      </c>
      <c r="X269" s="7">
        <f t="shared" si="65"/>
        <v>-0.51757679765672882</v>
      </c>
      <c r="Y269" s="7">
        <f t="shared" si="66"/>
        <v>4.8790068516178193</v>
      </c>
      <c r="Z269" s="7">
        <f t="shared" si="52"/>
        <v>3.9357395320454622</v>
      </c>
      <c r="AA269" s="7">
        <f t="shared" si="53"/>
        <v>2.9929999999999999</v>
      </c>
      <c r="AB269" s="7">
        <f t="shared" si="54"/>
        <v>22.71</v>
      </c>
      <c r="AC269" s="7">
        <f t="shared" si="55"/>
        <v>13</v>
      </c>
      <c r="AD269" s="7">
        <f t="shared" si="56"/>
        <v>16.5</v>
      </c>
      <c r="AE269" s="7">
        <f t="shared" si="57"/>
        <v>-0.64931105481926565</v>
      </c>
      <c r="AF269" s="7">
        <f t="shared" si="58"/>
        <v>0.67007287042465857</v>
      </c>
      <c r="AG269" s="7">
        <f t="shared" si="59"/>
        <v>4.8418220873270936</v>
      </c>
    </row>
    <row r="270" spans="1:33" x14ac:dyDescent="0.25">
      <c r="A270" s="4" t="s">
        <v>103</v>
      </c>
      <c r="B270" s="4">
        <v>2021</v>
      </c>
      <c r="C270" s="4" t="s">
        <v>86</v>
      </c>
      <c r="D270" s="5">
        <f t="shared" si="60"/>
        <v>0</v>
      </c>
      <c r="E270" s="4">
        <v>8.59</v>
      </c>
      <c r="F270" s="4">
        <v>17.190000000000001</v>
      </c>
      <c r="G270" s="4">
        <v>5.68</v>
      </c>
      <c r="H270" s="4">
        <v>7.21</v>
      </c>
      <c r="I270" s="4"/>
      <c r="J270" s="4">
        <v>1247</v>
      </c>
      <c r="K270" s="4">
        <v>73.900000000000006</v>
      </c>
      <c r="L270" s="4">
        <v>7.7160000000000002</v>
      </c>
      <c r="M270" s="4">
        <v>70.319999999999993</v>
      </c>
      <c r="N270" s="4">
        <v>24.2</v>
      </c>
      <c r="O270" s="4">
        <v>27.3</v>
      </c>
      <c r="P270" s="4">
        <v>2222</v>
      </c>
      <c r="Q270" s="6">
        <f t="shared" si="61"/>
        <v>1.7818765036086608</v>
      </c>
      <c r="R270" s="4">
        <v>12</v>
      </c>
      <c r="S270" s="4">
        <v>5</v>
      </c>
      <c r="T270" s="6">
        <f t="shared" si="62"/>
        <v>1.36327185244587</v>
      </c>
      <c r="U270" s="4">
        <v>1646.3</v>
      </c>
      <c r="V270" s="7">
        <f t="shared" si="63"/>
        <v>2.150598735996164</v>
      </c>
      <c r="W270" s="7">
        <f t="shared" si="64"/>
        <v>4.3027128279541564</v>
      </c>
      <c r="X270" s="7">
        <f t="shared" si="65"/>
        <v>0.57766702451953889</v>
      </c>
      <c r="Y270" s="7">
        <f t="shared" si="66"/>
        <v>7.4068928629529367</v>
      </c>
      <c r="Z270" s="7">
        <f t="shared" si="52"/>
        <v>4.282206299391671</v>
      </c>
      <c r="AA270" s="7">
        <f t="shared" si="53"/>
        <v>7.3250000000000002</v>
      </c>
      <c r="AB270" s="7">
        <f t="shared" si="54"/>
        <v>70.02</v>
      </c>
      <c r="AC270" s="7">
        <f t="shared" si="55"/>
        <v>20.6</v>
      </c>
      <c r="AD270" s="7">
        <f t="shared" si="56"/>
        <v>24.6</v>
      </c>
      <c r="AE270" s="7">
        <f t="shared" si="57"/>
        <v>0.83164325781387038</v>
      </c>
      <c r="AF270" s="7">
        <f t="shared" si="58"/>
        <v>1.3701942451841702</v>
      </c>
      <c r="AG270" s="7">
        <f t="shared" si="59"/>
        <v>6.3919171133926023</v>
      </c>
    </row>
    <row r="271" spans="1:33" x14ac:dyDescent="0.25">
      <c r="A271" s="4" t="s">
        <v>104</v>
      </c>
      <c r="B271" s="4">
        <v>2021</v>
      </c>
      <c r="C271" s="4" t="s">
        <v>105</v>
      </c>
      <c r="D271" s="5">
        <f t="shared" si="60"/>
        <v>0</v>
      </c>
      <c r="E271" s="4">
        <v>5.04</v>
      </c>
      <c r="F271" s="4">
        <v>11.69</v>
      </c>
      <c r="G271" s="4">
        <v>3.26</v>
      </c>
      <c r="H271" s="4">
        <v>3.49</v>
      </c>
      <c r="I271" s="4"/>
      <c r="J271" s="4">
        <v>1569.7</v>
      </c>
      <c r="K271" s="4">
        <v>48.2</v>
      </c>
      <c r="L271" s="4">
        <v>3.081</v>
      </c>
      <c r="M271" s="4">
        <v>29.23</v>
      </c>
      <c r="N271" s="4">
        <v>15.9</v>
      </c>
      <c r="O271" s="4">
        <v>16.3</v>
      </c>
      <c r="P271" s="4">
        <v>16039</v>
      </c>
      <c r="Q271" s="6">
        <f t="shared" si="61"/>
        <v>10.217876027266357</v>
      </c>
      <c r="R271" s="4">
        <v>18</v>
      </c>
      <c r="S271" s="4">
        <v>1</v>
      </c>
      <c r="T271" s="6">
        <f t="shared" si="62"/>
        <v>1.2104223737019812</v>
      </c>
      <c r="U271" s="4">
        <v>13.4</v>
      </c>
      <c r="V271" s="7">
        <f t="shared" si="63"/>
        <v>1.6174060820832772</v>
      </c>
      <c r="W271" s="7">
        <f t="shared" si="64"/>
        <v>3.8753590210565547</v>
      </c>
      <c r="X271" s="7">
        <f t="shared" si="65"/>
        <v>2.3241387380562166</v>
      </c>
      <c r="Y271" s="7">
        <f t="shared" si="66"/>
        <v>2.6672282065819548</v>
      </c>
      <c r="Z271" s="7">
        <f t="shared" si="52"/>
        <v>3.751854253275325</v>
      </c>
      <c r="AA271" s="7">
        <f t="shared" si="53"/>
        <v>2.92</v>
      </c>
      <c r="AB271" s="7">
        <f t="shared" si="54"/>
        <v>29.01</v>
      </c>
      <c r="AC271" s="7">
        <f t="shared" si="55"/>
        <v>14.9</v>
      </c>
      <c r="AD271" s="7">
        <f t="shared" si="56"/>
        <v>16.8</v>
      </c>
      <c r="AE271" s="7">
        <f t="shared" si="57"/>
        <v>2.6839279710629196</v>
      </c>
      <c r="AF271" s="7">
        <f t="shared" si="58"/>
        <v>1.2971851083149566</v>
      </c>
      <c r="AG271" s="7">
        <f t="shared" si="59"/>
        <v>2.631888840136646</v>
      </c>
    </row>
    <row r="272" spans="1:33" x14ac:dyDescent="0.25">
      <c r="A272" s="4" t="s">
        <v>106</v>
      </c>
      <c r="B272" s="4">
        <v>2021</v>
      </c>
      <c r="C272" s="4" t="s">
        <v>96</v>
      </c>
      <c r="D272" s="5">
        <f t="shared" si="60"/>
        <v>0</v>
      </c>
      <c r="E272" s="4"/>
      <c r="F272" s="4"/>
      <c r="G272" s="4"/>
      <c r="H272" s="4"/>
      <c r="I272" s="4"/>
      <c r="J272" s="4">
        <v>887.1</v>
      </c>
      <c r="K272" s="4">
        <v>30.8</v>
      </c>
      <c r="L272" s="4">
        <v>1.407</v>
      </c>
      <c r="M272" s="4">
        <v>15.82</v>
      </c>
      <c r="N272" s="4">
        <v>19.5</v>
      </c>
      <c r="O272" s="4">
        <v>11.6</v>
      </c>
      <c r="P272" s="4">
        <v>2439.5</v>
      </c>
      <c r="Q272" s="6">
        <f t="shared" si="61"/>
        <v>2.7499718182842972</v>
      </c>
      <c r="R272" s="4">
        <v>0</v>
      </c>
      <c r="S272" s="4">
        <v>0</v>
      </c>
      <c r="T272" s="6">
        <f t="shared" si="62"/>
        <v>0</v>
      </c>
      <c r="U272" s="4">
        <v>4.5999999999999996</v>
      </c>
      <c r="V272" s="7" t="str">
        <f t="shared" si="63"/>
        <v/>
      </c>
      <c r="W272" s="7">
        <f t="shared" si="64"/>
        <v>3.427514689979529</v>
      </c>
      <c r="X272" s="7">
        <f t="shared" si="65"/>
        <v>1.0115906637293506</v>
      </c>
      <c r="Y272" s="7">
        <f t="shared" si="66"/>
        <v>1.7227665977411035</v>
      </c>
      <c r="Z272" s="7">
        <f t="shared" si="52"/>
        <v>3.3945083935113587</v>
      </c>
      <c r="AA272" s="7">
        <f t="shared" si="53"/>
        <v>1.407</v>
      </c>
      <c r="AB272" s="7">
        <f t="shared" si="54"/>
        <v>15.85</v>
      </c>
      <c r="AC272" s="7">
        <f t="shared" si="55"/>
        <v>12.8</v>
      </c>
      <c r="AD272" s="7">
        <f t="shared" si="56"/>
        <v>9.9</v>
      </c>
      <c r="AE272" s="7">
        <f t="shared" si="57"/>
        <v>1.052920055953402</v>
      </c>
      <c r="AF272" s="7">
        <f t="shared" si="58"/>
        <v>0</v>
      </c>
      <c r="AG272" s="7">
        <f t="shared" si="59"/>
        <v>1.7578579175523736</v>
      </c>
    </row>
    <row r="273" spans="1:33" x14ac:dyDescent="0.25">
      <c r="A273" s="4" t="s">
        <v>107</v>
      </c>
      <c r="B273" s="4">
        <v>2021</v>
      </c>
      <c r="C273" s="4" t="s">
        <v>99</v>
      </c>
      <c r="D273" s="5">
        <f t="shared" si="60"/>
        <v>1</v>
      </c>
      <c r="E273" s="4">
        <v>6.51</v>
      </c>
      <c r="F273" s="4">
        <v>16.079999999999998</v>
      </c>
      <c r="G273" s="4">
        <v>3.53</v>
      </c>
      <c r="H273" s="4">
        <v>4.7</v>
      </c>
      <c r="I273" s="4"/>
      <c r="J273" s="4">
        <v>875.2</v>
      </c>
      <c r="K273" s="4">
        <v>76</v>
      </c>
      <c r="L273" s="4">
        <v>5.484</v>
      </c>
      <c r="M273" s="4">
        <v>27.98</v>
      </c>
      <c r="N273" s="4">
        <v>27.6</v>
      </c>
      <c r="O273" s="4">
        <v>23.7</v>
      </c>
      <c r="P273" s="4">
        <v>13246.3</v>
      </c>
      <c r="Q273" s="6">
        <f t="shared" si="61"/>
        <v>15.135169104204751</v>
      </c>
      <c r="R273" s="4">
        <v>6</v>
      </c>
      <c r="S273" s="4">
        <v>3</v>
      </c>
      <c r="T273" s="6">
        <f t="shared" si="62"/>
        <v>1.0283363802559415</v>
      </c>
      <c r="U273" s="4">
        <v>5592.3</v>
      </c>
      <c r="V273" s="7">
        <f t="shared" si="63"/>
        <v>1.8733394562204779</v>
      </c>
      <c r="W273" s="7">
        <f t="shared" si="64"/>
        <v>4.3307333402863311</v>
      </c>
      <c r="X273" s="7">
        <f t="shared" si="65"/>
        <v>2.7170211154674084</v>
      </c>
      <c r="Y273" s="7">
        <f t="shared" si="66"/>
        <v>8.6293247318597643</v>
      </c>
      <c r="Z273" s="7">
        <f t="shared" si="52"/>
        <v>4.2413267525707461</v>
      </c>
      <c r="AA273" s="7">
        <f t="shared" si="53"/>
        <v>5.218</v>
      </c>
      <c r="AB273" s="7">
        <f t="shared" si="54"/>
        <v>27.81</v>
      </c>
      <c r="AC273" s="7">
        <f t="shared" si="55"/>
        <v>22.1</v>
      </c>
      <c r="AD273" s="7">
        <f t="shared" si="56"/>
        <v>20.3</v>
      </c>
      <c r="AE273" s="7">
        <f t="shared" si="57"/>
        <v>2.7133351974907103</v>
      </c>
      <c r="AF273" s="7">
        <f t="shared" si="58"/>
        <v>1.1603620329542819</v>
      </c>
      <c r="AG273" s="7">
        <f t="shared" si="59"/>
        <v>8.4877643807254248</v>
      </c>
    </row>
    <row r="274" spans="1:33" x14ac:dyDescent="0.25">
      <c r="A274" s="4" t="s">
        <v>108</v>
      </c>
      <c r="B274" s="4">
        <v>2021</v>
      </c>
      <c r="C274" s="4" t="s">
        <v>99</v>
      </c>
      <c r="D274" s="5">
        <f t="shared" si="60"/>
        <v>1</v>
      </c>
      <c r="E274" s="4">
        <v>55.66</v>
      </c>
      <c r="F274" s="4">
        <v>64.41</v>
      </c>
      <c r="G274" s="4">
        <v>60.92</v>
      </c>
      <c r="H274" s="4">
        <v>46.02</v>
      </c>
      <c r="I274" s="4"/>
      <c r="J274" s="4">
        <v>8330.7999999999993</v>
      </c>
      <c r="K274" s="4">
        <v>128.30000000000001</v>
      </c>
      <c r="L274" s="4">
        <v>21.425999999999998</v>
      </c>
      <c r="M274" s="4">
        <v>49.16</v>
      </c>
      <c r="N274" s="4">
        <v>50.3</v>
      </c>
      <c r="O274" s="4">
        <v>53.7</v>
      </c>
      <c r="P274" s="4">
        <v>126624.6</v>
      </c>
      <c r="Q274" s="6">
        <f t="shared" si="61"/>
        <v>15.19957267009171</v>
      </c>
      <c r="R274" s="4">
        <v>123</v>
      </c>
      <c r="S274" s="4">
        <v>28</v>
      </c>
      <c r="T274" s="6">
        <f t="shared" si="62"/>
        <v>1.8125510155087148</v>
      </c>
      <c r="U274" s="4">
        <v>4511.2</v>
      </c>
      <c r="V274" s="7">
        <f t="shared" si="63"/>
        <v>4.0192617560977446</v>
      </c>
      <c r="W274" s="7">
        <f t="shared" si="64"/>
        <v>4.8543712716215905</v>
      </c>
      <c r="X274" s="7">
        <f t="shared" si="65"/>
        <v>2.721267313647274</v>
      </c>
      <c r="Y274" s="7">
        <f t="shared" si="66"/>
        <v>8.4145401184366513</v>
      </c>
      <c r="Z274" s="7">
        <f t="shared" si="52"/>
        <v>4.8154311114712876</v>
      </c>
      <c r="AA274" s="7">
        <f t="shared" si="53"/>
        <v>20.114999999999998</v>
      </c>
      <c r="AB274" s="7">
        <f t="shared" si="54"/>
        <v>49.25</v>
      </c>
      <c r="AC274" s="7">
        <f t="shared" si="55"/>
        <v>48.5</v>
      </c>
      <c r="AD274" s="7">
        <f t="shared" si="56"/>
        <v>48</v>
      </c>
      <c r="AE274" s="7">
        <f t="shared" si="57"/>
        <v>2.7241116343221288</v>
      </c>
      <c r="AF274" s="7">
        <f t="shared" si="58"/>
        <v>1.9280907051476386</v>
      </c>
      <c r="AG274" s="7">
        <f t="shared" si="59"/>
        <v>8.3882683153410103</v>
      </c>
    </row>
    <row r="275" spans="1:33" x14ac:dyDescent="0.25">
      <c r="A275" s="4" t="s">
        <v>109</v>
      </c>
      <c r="B275" s="4">
        <v>2021</v>
      </c>
      <c r="C275" s="4" t="s">
        <v>92</v>
      </c>
      <c r="D275" s="5">
        <f t="shared" si="60"/>
        <v>0</v>
      </c>
      <c r="E275" s="4">
        <v>5.76</v>
      </c>
      <c r="F275" s="4">
        <v>13.5</v>
      </c>
      <c r="G275" s="4">
        <v>3.9</v>
      </c>
      <c r="H275" s="4">
        <v>3.76</v>
      </c>
      <c r="I275" s="4"/>
      <c r="J275" s="4">
        <v>1314.1</v>
      </c>
      <c r="K275" s="4">
        <v>68.900000000000006</v>
      </c>
      <c r="L275" s="4">
        <v>3.956</v>
      </c>
      <c r="M275" s="4">
        <v>22.3</v>
      </c>
      <c r="N275" s="4">
        <v>30.5</v>
      </c>
      <c r="O275" s="4">
        <v>19.600000000000001</v>
      </c>
      <c r="P275" s="4">
        <v>29725.599999999999</v>
      </c>
      <c r="Q275" s="6">
        <f t="shared" si="61"/>
        <v>22.620500722928242</v>
      </c>
      <c r="R275" s="4">
        <v>4</v>
      </c>
      <c r="S275" s="4">
        <v>1</v>
      </c>
      <c r="T275" s="6">
        <f t="shared" si="62"/>
        <v>0.38048854729472648</v>
      </c>
      <c r="U275" s="4">
        <v>8933.2999999999993</v>
      </c>
      <c r="V275" s="7">
        <f t="shared" si="63"/>
        <v>1.7509374747077999</v>
      </c>
      <c r="W275" s="7">
        <f t="shared" si="64"/>
        <v>4.2326561780196128</v>
      </c>
      <c r="X275" s="7">
        <f t="shared" si="65"/>
        <v>3.118856606735112</v>
      </c>
      <c r="Y275" s="7">
        <f t="shared" si="66"/>
        <v>9.0976530809318952</v>
      </c>
      <c r="Z275" s="7">
        <f t="shared" si="52"/>
        <v>4.1526134703460764</v>
      </c>
      <c r="AA275" s="7">
        <f t="shared" si="53"/>
        <v>3.73</v>
      </c>
      <c r="AB275" s="7">
        <f t="shared" si="54"/>
        <v>22.2</v>
      </c>
      <c r="AC275" s="7">
        <f t="shared" si="55"/>
        <v>25.7</v>
      </c>
      <c r="AD275" s="7">
        <f t="shared" si="56"/>
        <v>18.5</v>
      </c>
      <c r="AE275" s="7">
        <f t="shared" si="57"/>
        <v>3.2259676934436348</v>
      </c>
      <c r="AF275" s="7">
        <f t="shared" si="58"/>
        <v>0.38562393953416629</v>
      </c>
      <c r="AG275" s="7">
        <f t="shared" si="59"/>
        <v>9.1110502828289714</v>
      </c>
    </row>
    <row r="276" spans="1:33" x14ac:dyDescent="0.25">
      <c r="A276" s="4" t="s">
        <v>110</v>
      </c>
      <c r="B276" s="4">
        <v>2021</v>
      </c>
      <c r="C276" s="4" t="s">
        <v>96</v>
      </c>
      <c r="D276" s="5">
        <f t="shared" si="60"/>
        <v>0</v>
      </c>
      <c r="E276" s="4">
        <v>4.5999999999999996</v>
      </c>
      <c r="F276" s="4">
        <v>12.5</v>
      </c>
      <c r="G276" s="4">
        <v>2.38</v>
      </c>
      <c r="H276" s="4">
        <v>2.87</v>
      </c>
      <c r="I276" s="4"/>
      <c r="J276" s="4">
        <v>871.7</v>
      </c>
      <c r="K276" s="4">
        <v>59.2</v>
      </c>
      <c r="L276" s="4">
        <v>3.05</v>
      </c>
      <c r="M276" s="4">
        <v>23.95</v>
      </c>
      <c r="N276" s="4">
        <v>23.6</v>
      </c>
      <c r="O276" s="4">
        <v>15</v>
      </c>
      <c r="P276" s="4">
        <v>7534.9</v>
      </c>
      <c r="Q276" s="6">
        <f t="shared" si="61"/>
        <v>8.6439141906619241</v>
      </c>
      <c r="R276" s="4">
        <v>6</v>
      </c>
      <c r="S276" s="4">
        <v>3</v>
      </c>
      <c r="T276" s="6">
        <f t="shared" si="62"/>
        <v>1.0324652976941608</v>
      </c>
      <c r="U276" s="4">
        <v>826.1</v>
      </c>
      <c r="V276" s="7">
        <f t="shared" si="63"/>
        <v>1.5260563034950492</v>
      </c>
      <c r="W276" s="7">
        <f t="shared" si="64"/>
        <v>4.0809215418899605</v>
      </c>
      <c r="X276" s="7">
        <f t="shared" si="65"/>
        <v>2.1568555115548667</v>
      </c>
      <c r="Y276" s="7">
        <f t="shared" si="66"/>
        <v>6.717925606697861</v>
      </c>
      <c r="Z276" s="7">
        <f t="shared" si="52"/>
        <v>4.0552571735140539</v>
      </c>
      <c r="AA276" s="7">
        <f t="shared" si="53"/>
        <v>2.8610000000000002</v>
      </c>
      <c r="AB276" s="7">
        <f t="shared" si="54"/>
        <v>23.85</v>
      </c>
      <c r="AC276" s="7">
        <f t="shared" si="55"/>
        <v>18.600000000000001</v>
      </c>
      <c r="AD276" s="7">
        <f t="shared" si="56"/>
        <v>14.4</v>
      </c>
      <c r="AE276" s="7">
        <f t="shared" si="57"/>
        <v>2.3219390891201424</v>
      </c>
      <c r="AF276" s="7">
        <f t="shared" si="58"/>
        <v>1.0450534138411518</v>
      </c>
      <c r="AG276" s="7">
        <f t="shared" si="59"/>
        <v>6.7341159225710161</v>
      </c>
    </row>
    <row r="277" spans="1:33" x14ac:dyDescent="0.25">
      <c r="A277" s="4" t="s">
        <v>111</v>
      </c>
      <c r="B277" s="4">
        <v>2021</v>
      </c>
      <c r="C277" s="4" t="s">
        <v>99</v>
      </c>
      <c r="D277" s="5">
        <f t="shared" si="60"/>
        <v>1</v>
      </c>
      <c r="E277" s="4">
        <v>7.36</v>
      </c>
      <c r="F277" s="4">
        <v>16.690000000000001</v>
      </c>
      <c r="G277" s="4">
        <v>3.97</v>
      </c>
      <c r="H277" s="4">
        <v>6.07</v>
      </c>
      <c r="I277" s="4"/>
      <c r="J277" s="4">
        <v>1284.5999999999999</v>
      </c>
      <c r="K277" s="4">
        <v>88</v>
      </c>
      <c r="L277" s="4">
        <v>6.48</v>
      </c>
      <c r="M277" s="4">
        <v>16.63</v>
      </c>
      <c r="N277" s="4">
        <v>26.7</v>
      </c>
      <c r="O277" s="4">
        <v>31.1</v>
      </c>
      <c r="P277" s="4">
        <v>31113</v>
      </c>
      <c r="Q277" s="6">
        <f t="shared" si="61"/>
        <v>24.219990658570762</v>
      </c>
      <c r="R277" s="4">
        <v>24</v>
      </c>
      <c r="S277" s="4">
        <v>0</v>
      </c>
      <c r="T277" s="6">
        <f t="shared" si="62"/>
        <v>1.8682858477347037</v>
      </c>
      <c r="U277" s="4">
        <v>4748.2</v>
      </c>
      <c r="V277" s="7">
        <f t="shared" si="63"/>
        <v>1.9960599327407849</v>
      </c>
      <c r="W277" s="7">
        <f t="shared" si="64"/>
        <v>4.4773368144782069</v>
      </c>
      <c r="X277" s="7">
        <f t="shared" si="65"/>
        <v>3.1871783524341519</v>
      </c>
      <c r="Y277" s="7">
        <f t="shared" si="66"/>
        <v>8.4657314617916377</v>
      </c>
      <c r="Z277" s="7">
        <f t="shared" si="52"/>
        <v>4.3694478524670215</v>
      </c>
      <c r="AA277" s="7">
        <f t="shared" si="53"/>
        <v>6.0430000000000001</v>
      </c>
      <c r="AB277" s="7">
        <f t="shared" si="54"/>
        <v>16.52</v>
      </c>
      <c r="AC277" s="7">
        <f t="shared" si="55"/>
        <v>26.4</v>
      </c>
      <c r="AD277" s="7">
        <f t="shared" si="56"/>
        <v>23.9</v>
      </c>
      <c r="AE277" s="7">
        <f t="shared" si="57"/>
        <v>3.1917424454682166</v>
      </c>
      <c r="AF277" s="7">
        <f t="shared" si="58"/>
        <v>1.8123079347569144</v>
      </c>
      <c r="AG277" s="7">
        <f t="shared" si="59"/>
        <v>8.3331501537239419</v>
      </c>
    </row>
    <row r="278" spans="1:33" x14ac:dyDescent="0.25">
      <c r="A278" s="4" t="s">
        <v>112</v>
      </c>
      <c r="B278" s="4">
        <v>2021</v>
      </c>
      <c r="C278" s="4" t="s">
        <v>99</v>
      </c>
      <c r="D278" s="5">
        <f t="shared" si="60"/>
        <v>1</v>
      </c>
      <c r="E278" s="4">
        <v>6.8</v>
      </c>
      <c r="F278" s="4">
        <v>15.14</v>
      </c>
      <c r="G278" s="4">
        <v>4.4400000000000004</v>
      </c>
      <c r="H278" s="4">
        <v>5</v>
      </c>
      <c r="I278" s="4"/>
      <c r="J278" s="4">
        <v>1936.8</v>
      </c>
      <c r="K278" s="4">
        <v>77.3</v>
      </c>
      <c r="L278" s="4">
        <v>5.2279999999999998</v>
      </c>
      <c r="M278" s="4">
        <v>31.66</v>
      </c>
      <c r="N278" s="4">
        <v>30.4</v>
      </c>
      <c r="O278" s="4">
        <v>35</v>
      </c>
      <c r="P278" s="4">
        <v>37110.300000000003</v>
      </c>
      <c r="Q278" s="6">
        <f t="shared" si="61"/>
        <v>19.16062577447336</v>
      </c>
      <c r="R278" s="4">
        <v>8</v>
      </c>
      <c r="S278" s="4">
        <v>3</v>
      </c>
      <c r="T278" s="6">
        <f t="shared" si="62"/>
        <v>0.56794712928541924</v>
      </c>
      <c r="U278" s="4">
        <v>4588</v>
      </c>
      <c r="V278" s="7">
        <f t="shared" si="63"/>
        <v>1.9169226121820611</v>
      </c>
      <c r="W278" s="7">
        <f t="shared" si="64"/>
        <v>4.3476939555933765</v>
      </c>
      <c r="X278" s="7">
        <f t="shared" si="65"/>
        <v>2.9528574324724923</v>
      </c>
      <c r="Y278" s="7">
        <f t="shared" si="66"/>
        <v>8.4314174143948328</v>
      </c>
      <c r="Z278" s="7">
        <f t="shared" si="52"/>
        <v>4.2253728246285052</v>
      </c>
      <c r="AA278" s="7">
        <f t="shared" si="53"/>
        <v>5.0540000000000003</v>
      </c>
      <c r="AB278" s="7">
        <f t="shared" si="54"/>
        <v>31.47</v>
      </c>
      <c r="AC278" s="7">
        <f t="shared" si="55"/>
        <v>24.8</v>
      </c>
      <c r="AD278" s="7">
        <f t="shared" si="56"/>
        <v>27.5</v>
      </c>
      <c r="AE278" s="7">
        <f t="shared" si="57"/>
        <v>2.9572562746849327</v>
      </c>
      <c r="AF278" s="7">
        <f t="shared" si="58"/>
        <v>0.52170283806343909</v>
      </c>
      <c r="AG278" s="7">
        <f t="shared" si="59"/>
        <v>8.4325499173471332</v>
      </c>
    </row>
    <row r="279" spans="1:33" x14ac:dyDescent="0.25">
      <c r="A279" s="4" t="s">
        <v>113</v>
      </c>
      <c r="B279" s="4">
        <v>2021</v>
      </c>
      <c r="C279" s="4" t="s">
        <v>99</v>
      </c>
      <c r="D279" s="5">
        <f t="shared" si="60"/>
        <v>1</v>
      </c>
      <c r="E279" s="4">
        <v>11.11</v>
      </c>
      <c r="F279" s="4">
        <v>20.3</v>
      </c>
      <c r="G279" s="4">
        <v>6.49</v>
      </c>
      <c r="H279" s="4">
        <v>11.12</v>
      </c>
      <c r="I279" s="4"/>
      <c r="J279" s="4">
        <v>2072.4</v>
      </c>
      <c r="K279" s="4">
        <v>151.1</v>
      </c>
      <c r="L279" s="4">
        <v>9.5570000000000004</v>
      </c>
      <c r="M279" s="4">
        <v>45.51</v>
      </c>
      <c r="N279" s="4">
        <v>36</v>
      </c>
      <c r="O279" s="4">
        <v>32.6</v>
      </c>
      <c r="P279" s="4">
        <v>103982.39999999999</v>
      </c>
      <c r="Q279" s="6">
        <f t="shared" si="61"/>
        <v>50.174869716270983</v>
      </c>
      <c r="R279" s="4">
        <v>26</v>
      </c>
      <c r="S279" s="4">
        <v>11</v>
      </c>
      <c r="T279" s="6">
        <f t="shared" si="62"/>
        <v>1.7853696197645244</v>
      </c>
      <c r="U279" s="4">
        <v>11392.2</v>
      </c>
      <c r="V279" s="7">
        <f t="shared" si="63"/>
        <v>2.4078456036515385</v>
      </c>
      <c r="W279" s="7">
        <f t="shared" si="64"/>
        <v>5.0179418692786939</v>
      </c>
      <c r="X279" s="7">
        <f t="shared" si="65"/>
        <v>3.9155142980925031</v>
      </c>
      <c r="Y279" s="7">
        <f t="shared" si="66"/>
        <v>9.3407719651828476</v>
      </c>
      <c r="Z279" s="7">
        <f t="shared" si="52"/>
        <v>4.8970932526971271</v>
      </c>
      <c r="AA279" s="7">
        <f t="shared" si="53"/>
        <v>9.8339999999999996</v>
      </c>
      <c r="AB279" s="7">
        <f t="shared" si="54"/>
        <v>45.41</v>
      </c>
      <c r="AC279" s="7">
        <f t="shared" si="55"/>
        <v>34.700000000000003</v>
      </c>
      <c r="AD279" s="7">
        <f t="shared" si="56"/>
        <v>29</v>
      </c>
      <c r="AE279" s="7">
        <f t="shared" si="57"/>
        <v>3.8170726342718257</v>
      </c>
      <c r="AF279" s="7">
        <f t="shared" si="58"/>
        <v>1.7531044558071585</v>
      </c>
      <c r="AG279" s="7">
        <f t="shared" si="59"/>
        <v>9.199623147134977</v>
      </c>
    </row>
    <row r="280" spans="1:33" x14ac:dyDescent="0.25">
      <c r="A280" s="4" t="s">
        <v>114</v>
      </c>
      <c r="B280" s="4">
        <v>2021</v>
      </c>
      <c r="C280" s="4" t="s">
        <v>86</v>
      </c>
      <c r="D280" s="5">
        <f t="shared" si="60"/>
        <v>0</v>
      </c>
      <c r="E280" s="4">
        <v>4.45</v>
      </c>
      <c r="F280" s="4">
        <v>11.45</v>
      </c>
      <c r="G280" s="4">
        <v>2.5</v>
      </c>
      <c r="H280" s="4">
        <v>2.91</v>
      </c>
      <c r="I280" s="4"/>
      <c r="J280" s="4">
        <v>729.9</v>
      </c>
      <c r="K280" s="4">
        <v>54.4</v>
      </c>
      <c r="L280" s="4">
        <v>3.218</v>
      </c>
      <c r="M280" s="4">
        <v>29.14</v>
      </c>
      <c r="N280" s="4">
        <v>13.5</v>
      </c>
      <c r="O280" s="4">
        <v>19</v>
      </c>
      <c r="P280" s="4">
        <v>2237.6</v>
      </c>
      <c r="Q280" s="6">
        <f t="shared" si="61"/>
        <v>3.0656254281408413</v>
      </c>
      <c r="R280" s="4">
        <v>4</v>
      </c>
      <c r="S280" s="4">
        <v>1</v>
      </c>
      <c r="T280" s="6">
        <f t="shared" si="62"/>
        <v>0.68502534593779973</v>
      </c>
      <c r="U280" s="4">
        <v>940</v>
      </c>
      <c r="V280" s="7">
        <f t="shared" si="63"/>
        <v>1.4929040961781488</v>
      </c>
      <c r="W280" s="7">
        <f t="shared" si="64"/>
        <v>3.9963641538618968</v>
      </c>
      <c r="X280" s="7">
        <f t="shared" si="65"/>
        <v>1.1202516034301633</v>
      </c>
      <c r="Y280" s="7">
        <f t="shared" si="66"/>
        <v>6.8469431395853793</v>
      </c>
      <c r="Z280" s="7">
        <f t="shared" si="52"/>
        <v>3.9415818076696905</v>
      </c>
      <c r="AA280" s="7">
        <f t="shared" si="53"/>
        <v>3.0640000000000001</v>
      </c>
      <c r="AB280" s="7">
        <f t="shared" si="54"/>
        <v>27.97</v>
      </c>
      <c r="AC280" s="7">
        <f t="shared" si="55"/>
        <v>14.2</v>
      </c>
      <c r="AD280" s="7">
        <f t="shared" si="56"/>
        <v>15.7</v>
      </c>
      <c r="AE280" s="7">
        <f t="shared" si="57"/>
        <v>1.0797081340289572</v>
      </c>
      <c r="AF280" s="7">
        <f t="shared" si="58"/>
        <v>0.68511921074266924</v>
      </c>
      <c r="AG280" s="7">
        <f t="shared" si="59"/>
        <v>6.5749363608588265</v>
      </c>
    </row>
    <row r="281" spans="1:33" x14ac:dyDescent="0.25">
      <c r="A281" s="4" t="s">
        <v>115</v>
      </c>
      <c r="B281" s="4">
        <v>2021</v>
      </c>
      <c r="C281" s="4" t="s">
        <v>92</v>
      </c>
      <c r="D281" s="5">
        <f t="shared" si="60"/>
        <v>0</v>
      </c>
      <c r="E281" s="4">
        <v>9.7100000000000009</v>
      </c>
      <c r="F281" s="4">
        <v>19.75</v>
      </c>
      <c r="G281" s="4">
        <v>3.87</v>
      </c>
      <c r="H281" s="4">
        <v>10.53</v>
      </c>
      <c r="I281" s="4"/>
      <c r="J281" s="4">
        <v>1248.0999999999999</v>
      </c>
      <c r="K281" s="4">
        <v>63.5</v>
      </c>
      <c r="L281" s="4">
        <v>8.9290000000000003</v>
      </c>
      <c r="M281" s="4">
        <v>42.36</v>
      </c>
      <c r="N281" s="4">
        <v>25.6</v>
      </c>
      <c r="O281" s="4">
        <v>32.1</v>
      </c>
      <c r="P281" s="4">
        <v>17455.7</v>
      </c>
      <c r="Q281" s="6">
        <f t="shared" si="61"/>
        <v>13.985818444034935</v>
      </c>
      <c r="R281" s="4">
        <v>31</v>
      </c>
      <c r="S281" s="4">
        <v>10</v>
      </c>
      <c r="T281" s="6">
        <f t="shared" si="62"/>
        <v>3.2849931896482656</v>
      </c>
      <c r="U281" s="4">
        <v>3520.8</v>
      </c>
      <c r="V281" s="7">
        <f t="shared" si="63"/>
        <v>2.2731562823032334</v>
      </c>
      <c r="W281" s="7">
        <f t="shared" si="64"/>
        <v>4.1510399058986458</v>
      </c>
      <c r="X281" s="7">
        <f t="shared" si="65"/>
        <v>2.6380438479329342</v>
      </c>
      <c r="Y281" s="7">
        <f t="shared" si="66"/>
        <v>8.1667275015266778</v>
      </c>
      <c r="Z281" s="7">
        <f t="shared" si="52"/>
        <v>4.1635596312435741</v>
      </c>
      <c r="AA281" s="7">
        <f t="shared" si="53"/>
        <v>9.0410000000000004</v>
      </c>
      <c r="AB281" s="7">
        <f t="shared" si="54"/>
        <v>42.4</v>
      </c>
      <c r="AC281" s="7">
        <f t="shared" si="55"/>
        <v>23.9</v>
      </c>
      <c r="AD281" s="7">
        <f t="shared" si="56"/>
        <v>31.1</v>
      </c>
      <c r="AE281" s="7">
        <f t="shared" si="57"/>
        <v>2.7153971117261362</v>
      </c>
      <c r="AF281" s="7">
        <f t="shared" si="58"/>
        <v>3.3053853595614315</v>
      </c>
      <c r="AG281" s="7">
        <f t="shared" si="59"/>
        <v>8.1649654866904893</v>
      </c>
    </row>
    <row r="282" spans="1:33" x14ac:dyDescent="0.25">
      <c r="A282" s="4" t="s">
        <v>116</v>
      </c>
      <c r="B282" s="4">
        <v>2021</v>
      </c>
      <c r="C282" s="4" t="s">
        <v>86</v>
      </c>
      <c r="D282" s="5">
        <f t="shared" si="60"/>
        <v>0</v>
      </c>
      <c r="E282" s="4">
        <v>5.69</v>
      </c>
      <c r="F282" s="4">
        <v>12.63</v>
      </c>
      <c r="G282" s="4">
        <v>3.9</v>
      </c>
      <c r="H282" s="4">
        <v>4</v>
      </c>
      <c r="I282" s="4"/>
      <c r="J282" s="4">
        <v>1752.3</v>
      </c>
      <c r="K282" s="4">
        <v>59</v>
      </c>
      <c r="L282" s="4">
        <v>4.6059999999999999</v>
      </c>
      <c r="M282" s="4">
        <v>28.79</v>
      </c>
      <c r="N282" s="4">
        <v>15.7</v>
      </c>
      <c r="O282" s="4">
        <v>14.8</v>
      </c>
      <c r="P282" s="4">
        <v>2110</v>
      </c>
      <c r="Q282" s="6">
        <f t="shared" si="61"/>
        <v>1.2041317126062889</v>
      </c>
      <c r="R282" s="4">
        <v>63</v>
      </c>
      <c r="S282" s="4">
        <v>1</v>
      </c>
      <c r="T282" s="6">
        <f t="shared" si="62"/>
        <v>3.6523426353934831</v>
      </c>
      <c r="U282" s="4">
        <v>2743.9</v>
      </c>
      <c r="V282" s="7">
        <f t="shared" si="63"/>
        <v>1.7387102481382397</v>
      </c>
      <c r="W282" s="7">
        <f t="shared" si="64"/>
        <v>4.0775374439057197</v>
      </c>
      <c r="X282" s="7">
        <f t="shared" si="65"/>
        <v>0.18575873675573884</v>
      </c>
      <c r="Y282" s="7">
        <f t="shared" si="66"/>
        <v>7.9174999234075516</v>
      </c>
      <c r="Z282" s="7">
        <f t="shared" si="52"/>
        <v>4.0181832012565364</v>
      </c>
      <c r="AA282" s="7">
        <f t="shared" si="53"/>
        <v>4.4980000000000002</v>
      </c>
      <c r="AB282" s="7">
        <f t="shared" si="54"/>
        <v>28.45</v>
      </c>
      <c r="AC282" s="7">
        <f t="shared" si="55"/>
        <v>14.8</v>
      </c>
      <c r="AD282" s="7">
        <f t="shared" si="56"/>
        <v>17.8</v>
      </c>
      <c r="AE282" s="7">
        <f t="shared" si="57"/>
        <v>0.64897932070702102</v>
      </c>
      <c r="AF282" s="7">
        <f t="shared" si="58"/>
        <v>0.98328416912487704</v>
      </c>
      <c r="AG282" s="7">
        <f t="shared" si="59"/>
        <v>7.9309253724833884</v>
      </c>
    </row>
    <row r="283" spans="1:33" x14ac:dyDescent="0.25">
      <c r="A283" s="4" t="s">
        <v>117</v>
      </c>
      <c r="B283" s="4">
        <v>2021</v>
      </c>
      <c r="C283" s="4" t="s">
        <v>105</v>
      </c>
      <c r="D283" s="5">
        <f t="shared" si="60"/>
        <v>0</v>
      </c>
      <c r="E283" s="4">
        <v>4.5</v>
      </c>
      <c r="F283" s="4">
        <v>11.89</v>
      </c>
      <c r="G283" s="4">
        <v>2.11</v>
      </c>
      <c r="H283" s="4">
        <v>3.19</v>
      </c>
      <c r="I283" s="4"/>
      <c r="J283" s="4">
        <v>568.79999999999995</v>
      </c>
      <c r="K283" s="4">
        <v>47.7</v>
      </c>
      <c r="L283" s="4">
        <v>3.4670000000000001</v>
      </c>
      <c r="M283" s="4">
        <v>32.58</v>
      </c>
      <c r="N283" s="4">
        <v>18.2</v>
      </c>
      <c r="O283" s="4">
        <v>26.5</v>
      </c>
      <c r="P283" s="4">
        <v>6219</v>
      </c>
      <c r="Q283" s="6">
        <f t="shared" si="61"/>
        <v>10.933544303797468</v>
      </c>
      <c r="R283" s="4">
        <v>4</v>
      </c>
      <c r="S283" s="4">
        <v>1</v>
      </c>
      <c r="T283" s="6">
        <f t="shared" si="62"/>
        <v>0.87904360056258801</v>
      </c>
      <c r="U283" s="4">
        <v>433.7</v>
      </c>
      <c r="V283" s="7">
        <f t="shared" si="63"/>
        <v>1.5040773967762742</v>
      </c>
      <c r="W283" s="7">
        <f t="shared" si="64"/>
        <v>3.8649313978942956</v>
      </c>
      <c r="X283" s="7">
        <f t="shared" si="65"/>
        <v>2.391835522614858</v>
      </c>
      <c r="Y283" s="7">
        <f t="shared" si="66"/>
        <v>6.0746561379947464</v>
      </c>
      <c r="Z283" s="7">
        <f t="shared" si="52"/>
        <v>3.7612001156935624</v>
      </c>
      <c r="AA283" s="7">
        <f t="shared" si="53"/>
        <v>3.3119999999999998</v>
      </c>
      <c r="AB283" s="7">
        <f t="shared" si="54"/>
        <v>32.74</v>
      </c>
      <c r="AC283" s="7">
        <f t="shared" si="55"/>
        <v>16</v>
      </c>
      <c r="AD283" s="7">
        <f t="shared" si="56"/>
        <v>20.8</v>
      </c>
      <c r="AE283" s="7">
        <f t="shared" si="57"/>
        <v>2.4049714277383649</v>
      </c>
      <c r="AF283" s="7">
        <f t="shared" si="58"/>
        <v>0.89992800575953924</v>
      </c>
      <c r="AG283" s="7">
        <f t="shared" si="59"/>
        <v>5.1357984370502621</v>
      </c>
    </row>
    <row r="284" spans="1:33" x14ac:dyDescent="0.25">
      <c r="A284" s="4" t="s">
        <v>118</v>
      </c>
      <c r="B284" s="4">
        <v>2021</v>
      </c>
      <c r="C284" s="4" t="s">
        <v>96</v>
      </c>
      <c r="D284" s="5">
        <f t="shared" si="60"/>
        <v>0</v>
      </c>
      <c r="E284" s="4"/>
      <c r="F284" s="4"/>
      <c r="G284" s="4"/>
      <c r="H284" s="4"/>
      <c r="I284" s="4"/>
      <c r="J284" s="4">
        <v>478.4</v>
      </c>
      <c r="K284" s="4">
        <v>44.7</v>
      </c>
      <c r="L284" s="4">
        <v>2.278</v>
      </c>
      <c r="M284" s="4">
        <v>17.7</v>
      </c>
      <c r="N284" s="4">
        <v>25.6</v>
      </c>
      <c r="O284" s="4">
        <v>14.2</v>
      </c>
      <c r="P284" s="4">
        <v>1668.6</v>
      </c>
      <c r="Q284" s="6">
        <f t="shared" si="61"/>
        <v>3.4878762541806019</v>
      </c>
      <c r="R284" s="4">
        <v>4</v>
      </c>
      <c r="S284" s="4">
        <v>2</v>
      </c>
      <c r="T284" s="6">
        <f t="shared" si="62"/>
        <v>1.254180602006689</v>
      </c>
      <c r="U284" s="4">
        <v>3.1</v>
      </c>
      <c r="V284" s="7" t="str">
        <f t="shared" si="63"/>
        <v/>
      </c>
      <c r="W284" s="7">
        <f t="shared" si="64"/>
        <v>3.7999735016195233</v>
      </c>
      <c r="X284" s="7">
        <f t="shared" si="65"/>
        <v>1.2492930278315522</v>
      </c>
      <c r="Y284" s="7">
        <f t="shared" si="66"/>
        <v>1.410986973710262</v>
      </c>
      <c r="Z284" s="7">
        <f t="shared" si="52"/>
        <v>3.7681526350084442</v>
      </c>
      <c r="AA284" s="7">
        <f t="shared" si="53"/>
        <v>2.3119999999999998</v>
      </c>
      <c r="AB284" s="7">
        <f t="shared" si="54"/>
        <v>17.5</v>
      </c>
      <c r="AC284" s="7">
        <f t="shared" si="55"/>
        <v>12.5</v>
      </c>
      <c r="AD284" s="7">
        <f t="shared" si="56"/>
        <v>10.7</v>
      </c>
      <c r="AE284" s="7">
        <f t="shared" si="57"/>
        <v>1.2378743560016172</v>
      </c>
      <c r="AF284" s="7">
        <f t="shared" si="58"/>
        <v>1.2771392081736908</v>
      </c>
      <c r="AG284" s="7">
        <f t="shared" si="59"/>
        <v>1.4350845252893227</v>
      </c>
    </row>
    <row r="285" spans="1:33" x14ac:dyDescent="0.25">
      <c r="A285" s="4" t="s">
        <v>119</v>
      </c>
      <c r="B285" s="4">
        <v>2021</v>
      </c>
      <c r="C285" s="4" t="s">
        <v>86</v>
      </c>
      <c r="D285" s="5">
        <f t="shared" si="60"/>
        <v>0</v>
      </c>
      <c r="E285" s="4">
        <v>7.32</v>
      </c>
      <c r="F285" s="4">
        <v>14.76</v>
      </c>
      <c r="G285" s="4">
        <v>5.0199999999999996</v>
      </c>
      <c r="H285" s="4">
        <v>5.9</v>
      </c>
      <c r="I285" s="4"/>
      <c r="J285" s="4">
        <v>1725.8</v>
      </c>
      <c r="K285" s="4">
        <v>79.900000000000006</v>
      </c>
      <c r="L285" s="4">
        <v>6.4249999999999998</v>
      </c>
      <c r="M285" s="4">
        <v>18.34</v>
      </c>
      <c r="N285" s="4">
        <v>15.1</v>
      </c>
      <c r="O285" s="4">
        <v>21.6</v>
      </c>
      <c r="P285" s="4">
        <v>6054.4</v>
      </c>
      <c r="Q285" s="6">
        <f t="shared" si="61"/>
        <v>3.5081701240004635</v>
      </c>
      <c r="R285" s="4">
        <v>7</v>
      </c>
      <c r="S285" s="4">
        <v>1</v>
      </c>
      <c r="T285" s="6">
        <f t="shared" si="62"/>
        <v>0.46355313477807392</v>
      </c>
      <c r="U285" s="4">
        <v>7110.2</v>
      </c>
      <c r="V285" s="7">
        <f t="shared" si="63"/>
        <v>1.9906103279732201</v>
      </c>
      <c r="W285" s="7">
        <f t="shared" si="64"/>
        <v>4.3807758527722287</v>
      </c>
      <c r="X285" s="7">
        <f t="shared" si="65"/>
        <v>1.2550945693432973</v>
      </c>
      <c r="Y285" s="7">
        <f t="shared" si="66"/>
        <v>8.8694262849274654</v>
      </c>
      <c r="Z285" s="7">
        <f t="shared" si="52"/>
        <v>4.3359826961724748</v>
      </c>
      <c r="AA285" s="7">
        <f t="shared" si="53"/>
        <v>6.1130000000000004</v>
      </c>
      <c r="AB285" s="7">
        <f t="shared" si="54"/>
        <v>18.239999999999998</v>
      </c>
      <c r="AC285" s="7">
        <f t="shared" si="55"/>
        <v>15.9</v>
      </c>
      <c r="AD285" s="7">
        <f t="shared" si="56"/>
        <v>19.8</v>
      </c>
      <c r="AE285" s="7">
        <f t="shared" si="57"/>
        <v>1.2452909119757585</v>
      </c>
      <c r="AF285" s="7">
        <f t="shared" si="58"/>
        <v>0.46682616560658224</v>
      </c>
      <c r="AG285" s="7">
        <f t="shared" si="59"/>
        <v>8.5092416616286179</v>
      </c>
    </row>
    <row r="286" spans="1:33" x14ac:dyDescent="0.25">
      <c r="A286" s="4" t="s">
        <v>120</v>
      </c>
      <c r="B286" s="4">
        <v>2021</v>
      </c>
      <c r="C286" s="4" t="s">
        <v>96</v>
      </c>
      <c r="D286" s="5">
        <f t="shared" si="60"/>
        <v>0</v>
      </c>
      <c r="E286" s="4">
        <v>4.96</v>
      </c>
      <c r="F286" s="4">
        <v>12.59</v>
      </c>
      <c r="G286" s="4">
        <v>2.42</v>
      </c>
      <c r="H286" s="4">
        <v>3.7</v>
      </c>
      <c r="I286" s="4"/>
      <c r="J286" s="4">
        <v>761.9</v>
      </c>
      <c r="K286" s="4">
        <v>74.400000000000006</v>
      </c>
      <c r="L286" s="4">
        <v>4.0060000000000002</v>
      </c>
      <c r="M286" s="4">
        <v>26.5</v>
      </c>
      <c r="N286" s="4">
        <v>24.6</v>
      </c>
      <c r="O286" s="4">
        <v>16</v>
      </c>
      <c r="P286" s="4">
        <v>5981</v>
      </c>
      <c r="Q286" s="6">
        <f t="shared" si="61"/>
        <v>7.8501115631972702</v>
      </c>
      <c r="R286" s="4">
        <v>9</v>
      </c>
      <c r="S286" s="4">
        <v>1</v>
      </c>
      <c r="T286" s="6">
        <f t="shared" si="62"/>
        <v>1.3125082031762698</v>
      </c>
      <c r="U286" s="4">
        <v>764.7</v>
      </c>
      <c r="V286" s="7">
        <f t="shared" si="63"/>
        <v>1.6014057407368361</v>
      </c>
      <c r="W286" s="7">
        <f t="shared" si="64"/>
        <v>4.3094559418390466</v>
      </c>
      <c r="X286" s="7">
        <f t="shared" si="65"/>
        <v>2.0605277435655931</v>
      </c>
      <c r="Y286" s="7">
        <f t="shared" si="66"/>
        <v>6.6407904481190778</v>
      </c>
      <c r="Z286" s="7">
        <f t="shared" si="52"/>
        <v>4.2766661190160553</v>
      </c>
      <c r="AA286" s="7">
        <f t="shared" si="53"/>
        <v>3.8340000000000001</v>
      </c>
      <c r="AB286" s="7">
        <f t="shared" si="54"/>
        <v>26.42</v>
      </c>
      <c r="AC286" s="7">
        <f t="shared" si="55"/>
        <v>21</v>
      </c>
      <c r="AD286" s="7">
        <f t="shared" si="56"/>
        <v>20.3</v>
      </c>
      <c r="AE286" s="7">
        <f t="shared" si="57"/>
        <v>1.8359413008432575</v>
      </c>
      <c r="AF286" s="7">
        <f t="shared" si="58"/>
        <v>1.741693461950697</v>
      </c>
      <c r="AG286" s="7">
        <f t="shared" si="59"/>
        <v>6.6545390434116349</v>
      </c>
    </row>
    <row r="287" spans="1:33" x14ac:dyDescent="0.25">
      <c r="A287" s="4" t="s">
        <v>121</v>
      </c>
      <c r="B287" s="4">
        <v>2021</v>
      </c>
      <c r="C287" s="4" t="s">
        <v>105</v>
      </c>
      <c r="D287" s="5">
        <f t="shared" si="60"/>
        <v>0</v>
      </c>
      <c r="E287" s="4">
        <v>6.65</v>
      </c>
      <c r="F287" s="4">
        <v>16.010000000000002</v>
      </c>
      <c r="G287" s="4">
        <v>3.53</v>
      </c>
      <c r="H287" s="4">
        <v>5.0999999999999996</v>
      </c>
      <c r="I287" s="4"/>
      <c r="J287" s="4">
        <v>1321.9</v>
      </c>
      <c r="K287" s="4">
        <v>67</v>
      </c>
      <c r="L287" s="4">
        <v>5.5830000000000002</v>
      </c>
      <c r="M287" s="4">
        <v>39.270000000000003</v>
      </c>
      <c r="N287" s="4">
        <v>20.5</v>
      </c>
      <c r="O287" s="4">
        <v>29.8</v>
      </c>
      <c r="P287" s="4">
        <v>17251.900000000001</v>
      </c>
      <c r="Q287" s="6">
        <f t="shared" si="61"/>
        <v>13.050835917996823</v>
      </c>
      <c r="R287" s="4">
        <v>4</v>
      </c>
      <c r="S287" s="4">
        <v>2</v>
      </c>
      <c r="T287" s="6">
        <f t="shared" si="62"/>
        <v>0.45389212497163173</v>
      </c>
      <c r="U287" s="4">
        <v>401.1</v>
      </c>
      <c r="V287" s="7">
        <f t="shared" si="63"/>
        <v>1.8946168546677629</v>
      </c>
      <c r="W287" s="7">
        <f t="shared" si="64"/>
        <v>4.2046926193909657</v>
      </c>
      <c r="X287" s="7">
        <f t="shared" si="65"/>
        <v>2.5688521867361809</v>
      </c>
      <c r="Y287" s="7">
        <f t="shared" si="66"/>
        <v>5.9967008139032281</v>
      </c>
      <c r="Z287" s="7">
        <f t="shared" si="52"/>
        <v>4.1415461637063951</v>
      </c>
      <c r="AA287" s="7">
        <f t="shared" si="53"/>
        <v>5.3209999999999997</v>
      </c>
      <c r="AB287" s="7">
        <f t="shared" si="54"/>
        <v>39.26</v>
      </c>
      <c r="AC287" s="7">
        <f t="shared" si="55"/>
        <v>18.5</v>
      </c>
      <c r="AD287" s="7">
        <f t="shared" si="56"/>
        <v>30.3</v>
      </c>
      <c r="AE287" s="7">
        <f t="shared" si="57"/>
        <v>2.5379004113395909</v>
      </c>
      <c r="AF287" s="7">
        <f t="shared" si="58"/>
        <v>0.45808520384791573</v>
      </c>
      <c r="AG287" s="7">
        <f t="shared" si="59"/>
        <v>5.9804035997485574</v>
      </c>
    </row>
    <row r="288" spans="1:33" x14ac:dyDescent="0.25">
      <c r="A288" s="4" t="s">
        <v>122</v>
      </c>
      <c r="B288" s="4">
        <v>2021</v>
      </c>
      <c r="C288" s="4" t="s">
        <v>96</v>
      </c>
      <c r="D288" s="5">
        <f t="shared" si="60"/>
        <v>0</v>
      </c>
      <c r="E288" s="4">
        <v>4.21</v>
      </c>
      <c r="F288" s="4">
        <v>11.43</v>
      </c>
      <c r="G288" s="4">
        <v>2.19</v>
      </c>
      <c r="H288" s="4">
        <v>2.62</v>
      </c>
      <c r="I288" s="4"/>
      <c r="J288" s="4">
        <v>796.9</v>
      </c>
      <c r="K288" s="4">
        <v>47.2</v>
      </c>
      <c r="L288" s="4">
        <v>2.786</v>
      </c>
      <c r="M288" s="4">
        <v>23.08</v>
      </c>
      <c r="N288" s="4">
        <v>27.8</v>
      </c>
      <c r="O288" s="4">
        <v>16.899999999999999</v>
      </c>
      <c r="P288" s="4">
        <v>5154</v>
      </c>
      <c r="Q288" s="6">
        <f t="shared" si="61"/>
        <v>6.4675618019826828</v>
      </c>
      <c r="R288" s="4">
        <v>3</v>
      </c>
      <c r="S288" s="4">
        <v>2</v>
      </c>
      <c r="T288" s="6">
        <f t="shared" si="62"/>
        <v>0.62743129627305805</v>
      </c>
      <c r="U288" s="4">
        <v>301.7</v>
      </c>
      <c r="V288" s="7">
        <f t="shared" si="63"/>
        <v>1.43746264769429</v>
      </c>
      <c r="W288" s="7">
        <f t="shared" si="64"/>
        <v>3.8543938925915096</v>
      </c>
      <c r="X288" s="7">
        <f t="shared" si="65"/>
        <v>1.8667991908086079</v>
      </c>
      <c r="Y288" s="7">
        <f t="shared" si="66"/>
        <v>5.7127422160276726</v>
      </c>
      <c r="Z288" s="7">
        <f t="shared" si="52"/>
        <v>3.7887247890836524</v>
      </c>
      <c r="AA288" s="7">
        <f t="shared" si="53"/>
        <v>2.5550000000000002</v>
      </c>
      <c r="AB288" s="7">
        <f t="shared" si="54"/>
        <v>23.04</v>
      </c>
      <c r="AC288" s="7">
        <f t="shared" si="55"/>
        <v>21</v>
      </c>
      <c r="AD288" s="7">
        <f t="shared" si="56"/>
        <v>16</v>
      </c>
      <c r="AE288" s="7">
        <f t="shared" si="57"/>
        <v>2.1034164457094953</v>
      </c>
      <c r="AF288" s="7">
        <f t="shared" si="58"/>
        <v>0.63395460885000632</v>
      </c>
      <c r="AG288" s="7">
        <f t="shared" si="59"/>
        <v>5.7137328055093688</v>
      </c>
    </row>
    <row r="289" spans="1:33" x14ac:dyDescent="0.25">
      <c r="A289" s="4" t="s">
        <v>123</v>
      </c>
      <c r="B289" s="4">
        <v>2021</v>
      </c>
      <c r="C289" s="4" t="s">
        <v>99</v>
      </c>
      <c r="D289" s="5">
        <f t="shared" si="60"/>
        <v>1</v>
      </c>
      <c r="E289" s="4">
        <v>6.73</v>
      </c>
      <c r="F289" s="4">
        <v>16.46</v>
      </c>
      <c r="G289" s="4">
        <v>5.14</v>
      </c>
      <c r="H289" s="4">
        <v>3.46</v>
      </c>
      <c r="I289" s="4"/>
      <c r="J289" s="4">
        <v>1836.3</v>
      </c>
      <c r="K289" s="4">
        <v>44.5</v>
      </c>
      <c r="L289" s="4">
        <v>3.5150000000000001</v>
      </c>
      <c r="M289" s="4">
        <v>20.239999999999998</v>
      </c>
      <c r="N289" s="4">
        <v>22</v>
      </c>
      <c r="O289" s="4">
        <v>17.2</v>
      </c>
      <c r="P289" s="4">
        <v>12596.7</v>
      </c>
      <c r="Q289" s="6">
        <f t="shared" si="61"/>
        <v>6.8598268256820782</v>
      </c>
      <c r="R289" s="4">
        <v>18</v>
      </c>
      <c r="S289" s="4">
        <v>0</v>
      </c>
      <c r="T289" s="6">
        <f t="shared" si="62"/>
        <v>0.98023198823721613</v>
      </c>
      <c r="U289" s="4">
        <v>1993.1</v>
      </c>
      <c r="V289" s="7">
        <f t="shared" si="63"/>
        <v>1.9065751436566365</v>
      </c>
      <c r="W289" s="7">
        <f t="shared" si="64"/>
        <v>3.7954891891721947</v>
      </c>
      <c r="X289" s="7">
        <f t="shared" si="65"/>
        <v>1.9256821973494891</v>
      </c>
      <c r="Y289" s="7">
        <f t="shared" si="66"/>
        <v>7.5979480997156461</v>
      </c>
      <c r="Z289" s="7">
        <f t="shared" si="52"/>
        <v>3.7541989202345789</v>
      </c>
      <c r="AA289" s="7">
        <f t="shared" si="53"/>
        <v>3.36</v>
      </c>
      <c r="AB289" s="7">
        <f t="shared" si="54"/>
        <v>20.23</v>
      </c>
      <c r="AC289" s="7">
        <f t="shared" si="55"/>
        <v>20.100000000000001</v>
      </c>
      <c r="AD289" s="7">
        <f t="shared" si="56"/>
        <v>13.7</v>
      </c>
      <c r="AE289" s="7">
        <f t="shared" si="57"/>
        <v>1.9318494249643563</v>
      </c>
      <c r="AF289" s="7">
        <f t="shared" si="58"/>
        <v>1.0110655507498738</v>
      </c>
      <c r="AG289" s="7">
        <f t="shared" si="59"/>
        <v>7.60668570429781</v>
      </c>
    </row>
    <row r="290" spans="1:33" x14ac:dyDescent="0.25">
      <c r="A290" s="4" t="s">
        <v>124</v>
      </c>
      <c r="B290" s="4">
        <v>2021</v>
      </c>
      <c r="C290" s="4" t="s">
        <v>92</v>
      </c>
      <c r="D290" s="5">
        <f t="shared" si="60"/>
        <v>0</v>
      </c>
      <c r="E290" s="4">
        <v>6.7</v>
      </c>
      <c r="F290" s="4">
        <v>14.9</v>
      </c>
      <c r="G290" s="4">
        <v>4.6100000000000003</v>
      </c>
      <c r="H290" s="4">
        <v>4.7</v>
      </c>
      <c r="I290" s="4"/>
      <c r="J290" s="4">
        <v>3409.8</v>
      </c>
      <c r="K290" s="4">
        <v>46.2</v>
      </c>
      <c r="L290" s="4">
        <v>3.641</v>
      </c>
      <c r="M290" s="4">
        <v>15.53</v>
      </c>
      <c r="N290" s="4">
        <v>23.4</v>
      </c>
      <c r="O290" s="4">
        <v>18.2</v>
      </c>
      <c r="P290" s="4">
        <v>124311.4</v>
      </c>
      <c r="Q290" s="6">
        <f t="shared" si="61"/>
        <v>36.457094257727725</v>
      </c>
      <c r="R290" s="4">
        <v>77</v>
      </c>
      <c r="S290" s="4">
        <v>27</v>
      </c>
      <c r="T290" s="6">
        <f t="shared" si="62"/>
        <v>3.0500322599565957</v>
      </c>
      <c r="U290" s="4">
        <v>579.9</v>
      </c>
      <c r="V290" s="7">
        <f t="shared" si="63"/>
        <v>1.9021075263969205</v>
      </c>
      <c r="W290" s="7">
        <f t="shared" si="64"/>
        <v>3.8329797980876932</v>
      </c>
      <c r="X290" s="7">
        <f t="shared" si="65"/>
        <v>3.5961360693583755</v>
      </c>
      <c r="Y290" s="7">
        <f t="shared" si="66"/>
        <v>6.3645786249984866</v>
      </c>
      <c r="Z290" s="7">
        <f t="shared" si="52"/>
        <v>3.763522997109702</v>
      </c>
      <c r="AA290" s="7">
        <f t="shared" si="53"/>
        <v>3.4580000000000002</v>
      </c>
      <c r="AB290" s="7">
        <f t="shared" si="54"/>
        <v>15.5</v>
      </c>
      <c r="AC290" s="7">
        <f t="shared" si="55"/>
        <v>20.8</v>
      </c>
      <c r="AD290" s="7">
        <f t="shared" si="56"/>
        <v>18.5</v>
      </c>
      <c r="AE290" s="7">
        <f t="shared" si="57"/>
        <v>3.5320636705213357</v>
      </c>
      <c r="AF290" s="7">
        <f t="shared" si="58"/>
        <v>3.3876144062760014</v>
      </c>
      <c r="AG290" s="7">
        <f t="shared" si="59"/>
        <v>6.4864656205270013</v>
      </c>
    </row>
    <row r="291" spans="1:33" x14ac:dyDescent="0.25">
      <c r="A291" s="4" t="s">
        <v>125</v>
      </c>
      <c r="B291" s="4">
        <v>2021</v>
      </c>
      <c r="C291" s="4" t="s">
        <v>99</v>
      </c>
      <c r="D291" s="5">
        <f t="shared" si="60"/>
        <v>1</v>
      </c>
      <c r="E291" s="4">
        <v>6.31</v>
      </c>
      <c r="F291" s="4">
        <v>15.18</v>
      </c>
      <c r="G291" s="4">
        <v>3.59</v>
      </c>
      <c r="H291" s="4">
        <v>4.5999999999999996</v>
      </c>
      <c r="I291" s="4"/>
      <c r="J291" s="4">
        <v>1007.6</v>
      </c>
      <c r="K291" s="4">
        <v>70.7</v>
      </c>
      <c r="L291" s="4">
        <v>4.7089999999999996</v>
      </c>
      <c r="M291" s="4">
        <v>21.49</v>
      </c>
      <c r="N291" s="4">
        <v>31.7</v>
      </c>
      <c r="O291" s="4">
        <v>23.8</v>
      </c>
      <c r="P291" s="4">
        <v>27036.1</v>
      </c>
      <c r="Q291" s="6">
        <f t="shared" si="61"/>
        <v>26.832175466454942</v>
      </c>
      <c r="R291" s="4">
        <v>40</v>
      </c>
      <c r="S291" s="4">
        <v>2</v>
      </c>
      <c r="T291" s="6">
        <f t="shared" si="62"/>
        <v>4.1683207622072249</v>
      </c>
      <c r="U291" s="4">
        <v>1574.3</v>
      </c>
      <c r="V291" s="7">
        <f t="shared" si="63"/>
        <v>1.8421356765531218</v>
      </c>
      <c r="W291" s="7">
        <f t="shared" si="64"/>
        <v>4.2584455729025272</v>
      </c>
      <c r="X291" s="7">
        <f t="shared" si="65"/>
        <v>3.2896017445069567</v>
      </c>
      <c r="Y291" s="7">
        <f t="shared" si="66"/>
        <v>7.3622010093119234</v>
      </c>
      <c r="Z291" s="7">
        <f t="shared" si="52"/>
        <v>4.2121275978784842</v>
      </c>
      <c r="AA291" s="7">
        <f t="shared" si="53"/>
        <v>4.6379999999999999</v>
      </c>
      <c r="AB291" s="7">
        <f t="shared" si="54"/>
        <v>21.39</v>
      </c>
      <c r="AC291" s="7">
        <f t="shared" si="55"/>
        <v>30.2</v>
      </c>
      <c r="AD291" s="7">
        <f t="shared" si="56"/>
        <v>20</v>
      </c>
      <c r="AE291" s="7">
        <f t="shared" si="57"/>
        <v>3.2384949632101967</v>
      </c>
      <c r="AF291" s="7">
        <f t="shared" si="58"/>
        <v>3.5214810343092866</v>
      </c>
      <c r="AG291" s="7">
        <f t="shared" si="59"/>
        <v>7.2911792562134208</v>
      </c>
    </row>
    <row r="292" spans="1:33" x14ac:dyDescent="0.25">
      <c r="A292" s="4" t="s">
        <v>126</v>
      </c>
      <c r="B292" s="4">
        <v>2021</v>
      </c>
      <c r="C292" s="4" t="s">
        <v>92</v>
      </c>
      <c r="D292" s="5">
        <f t="shared" si="60"/>
        <v>0</v>
      </c>
      <c r="E292" s="4">
        <v>5.26</v>
      </c>
      <c r="F292" s="4">
        <v>12.72</v>
      </c>
      <c r="G292" s="4">
        <v>2.66</v>
      </c>
      <c r="H292" s="4">
        <v>4.1399999999999997</v>
      </c>
      <c r="I292" s="4"/>
      <c r="J292" s="4">
        <v>596</v>
      </c>
      <c r="K292" s="4">
        <v>69.7</v>
      </c>
      <c r="L292" s="4">
        <v>4.72</v>
      </c>
      <c r="M292" s="4">
        <v>35.4</v>
      </c>
      <c r="N292" s="4">
        <v>18.8</v>
      </c>
      <c r="O292" s="4">
        <v>18.899999999999999</v>
      </c>
      <c r="P292" s="4">
        <v>4957</v>
      </c>
      <c r="Q292" s="6">
        <f t="shared" si="61"/>
        <v>8.3171140939597308</v>
      </c>
      <c r="R292" s="4">
        <v>7</v>
      </c>
      <c r="S292" s="4">
        <v>1</v>
      </c>
      <c r="T292" s="6">
        <f t="shared" si="62"/>
        <v>1.3422818791946309</v>
      </c>
      <c r="U292" s="4">
        <v>2899.8</v>
      </c>
      <c r="V292" s="7">
        <f t="shared" si="63"/>
        <v>1.6601310267496185</v>
      </c>
      <c r="W292" s="7">
        <f t="shared" si="64"/>
        <v>4.2442003177664782</v>
      </c>
      <c r="X292" s="7">
        <f t="shared" si="65"/>
        <v>2.1183153309552241</v>
      </c>
      <c r="Y292" s="7">
        <f t="shared" si="66"/>
        <v>7.9727418400005865</v>
      </c>
      <c r="Z292" s="7">
        <f t="shared" si="52"/>
        <v>4.0792309244120526</v>
      </c>
      <c r="AA292" s="7">
        <f t="shared" si="53"/>
        <v>4.55</v>
      </c>
      <c r="AB292" s="7">
        <f t="shared" si="54"/>
        <v>35.31</v>
      </c>
      <c r="AC292" s="7">
        <f t="shared" si="55"/>
        <v>16.2</v>
      </c>
      <c r="AD292" s="7">
        <f t="shared" si="56"/>
        <v>15.8</v>
      </c>
      <c r="AE292" s="7">
        <f t="shared" si="57"/>
        <v>2.2531343333209515</v>
      </c>
      <c r="AF292" s="7">
        <f t="shared" si="58"/>
        <v>1.3477088948787062</v>
      </c>
      <c r="AG292" s="7">
        <f t="shared" si="59"/>
        <v>7.8694399381461775</v>
      </c>
    </row>
    <row r="293" spans="1:33" x14ac:dyDescent="0.25">
      <c r="A293" s="4" t="s">
        <v>127</v>
      </c>
      <c r="B293" s="4">
        <v>2021</v>
      </c>
      <c r="C293" s="4" t="s">
        <v>96</v>
      </c>
      <c r="D293" s="5">
        <f t="shared" si="60"/>
        <v>0</v>
      </c>
      <c r="E293" s="4">
        <v>5.28</v>
      </c>
      <c r="F293" s="4">
        <v>13.35</v>
      </c>
      <c r="G293" s="4">
        <v>2.93</v>
      </c>
      <c r="H293" s="4">
        <v>3.6</v>
      </c>
      <c r="I293" s="4"/>
      <c r="J293" s="4">
        <v>1507.5</v>
      </c>
      <c r="K293" s="4">
        <v>54</v>
      </c>
      <c r="L293" s="4">
        <v>3.706</v>
      </c>
      <c r="M293" s="4">
        <v>19.100000000000001</v>
      </c>
      <c r="N293" s="4">
        <v>34.6</v>
      </c>
      <c r="O293" s="4">
        <v>26</v>
      </c>
      <c r="P293" s="4">
        <v>27942.9</v>
      </c>
      <c r="Q293" s="6">
        <f t="shared" si="61"/>
        <v>18.535920398009953</v>
      </c>
      <c r="R293" s="4">
        <v>15</v>
      </c>
      <c r="S293" s="4">
        <v>4</v>
      </c>
      <c r="T293" s="6">
        <f t="shared" si="62"/>
        <v>1.2603648424543947</v>
      </c>
      <c r="U293" s="4">
        <v>1733.9</v>
      </c>
      <c r="V293" s="7">
        <f t="shared" si="63"/>
        <v>1.6639260977181702</v>
      </c>
      <c r="W293" s="7">
        <f t="shared" si="64"/>
        <v>3.9889840465642745</v>
      </c>
      <c r="X293" s="7">
        <f t="shared" si="65"/>
        <v>2.9197104926673556</v>
      </c>
      <c r="Y293" s="7">
        <f t="shared" si="66"/>
        <v>7.4587050538322819</v>
      </c>
      <c r="Z293" s="7">
        <f t="shared" si="52"/>
        <v>3.9259259105971376</v>
      </c>
      <c r="AA293" s="7">
        <f t="shared" si="53"/>
        <v>3.5779999999999998</v>
      </c>
      <c r="AB293" s="7">
        <f t="shared" si="54"/>
        <v>19.02</v>
      </c>
      <c r="AC293" s="7">
        <f t="shared" si="55"/>
        <v>25.2</v>
      </c>
      <c r="AD293" s="7">
        <f t="shared" si="56"/>
        <v>23.7</v>
      </c>
      <c r="AE293" s="7">
        <f t="shared" si="57"/>
        <v>3.0163959043890363</v>
      </c>
      <c r="AF293" s="7">
        <f t="shared" si="58"/>
        <v>1.4170996693434104</v>
      </c>
      <c r="AG293" s="7">
        <f t="shared" si="59"/>
        <v>7.1620098253213991</v>
      </c>
    </row>
    <row r="294" spans="1:33" x14ac:dyDescent="0.25">
      <c r="A294" s="4" t="s">
        <v>128</v>
      </c>
      <c r="B294" s="4">
        <v>2021</v>
      </c>
      <c r="C294" s="4" t="s">
        <v>92</v>
      </c>
      <c r="D294" s="5">
        <f t="shared" si="60"/>
        <v>0</v>
      </c>
      <c r="E294" s="4">
        <v>5</v>
      </c>
      <c r="F294" s="4">
        <v>12.71</v>
      </c>
      <c r="G294" s="4">
        <v>2.85</v>
      </c>
      <c r="H294" s="4">
        <v>3.3</v>
      </c>
      <c r="I294" s="4"/>
      <c r="J294" s="4">
        <v>875.5</v>
      </c>
      <c r="K294" s="4">
        <v>51.5</v>
      </c>
      <c r="L294" s="4">
        <v>3.5270000000000001</v>
      </c>
      <c r="M294" s="4">
        <v>32.700000000000003</v>
      </c>
      <c r="N294" s="4">
        <v>21.6</v>
      </c>
      <c r="O294" s="4">
        <v>23.4</v>
      </c>
      <c r="P294" s="4">
        <v>9703.7999999999993</v>
      </c>
      <c r="Q294" s="6">
        <f t="shared" si="61"/>
        <v>11.083723586521987</v>
      </c>
      <c r="R294" s="4">
        <v>3</v>
      </c>
      <c r="S294" s="4">
        <v>1</v>
      </c>
      <c r="T294" s="6">
        <f t="shared" si="62"/>
        <v>0.45688178183894917</v>
      </c>
      <c r="U294" s="4">
        <v>2325.5</v>
      </c>
      <c r="V294" s="7">
        <f t="shared" si="63"/>
        <v>1.6094379124341003</v>
      </c>
      <c r="W294" s="7">
        <f t="shared" si="64"/>
        <v>3.9415818076696905</v>
      </c>
      <c r="X294" s="7">
        <f t="shared" si="65"/>
        <v>2.4054776886278812</v>
      </c>
      <c r="Y294" s="7">
        <f t="shared" si="66"/>
        <v>7.7521202712847028</v>
      </c>
      <c r="Z294" s="7">
        <f t="shared" si="52"/>
        <v>3.9219733362813143</v>
      </c>
      <c r="AA294" s="7">
        <f t="shared" si="53"/>
        <v>3.4209999999999998</v>
      </c>
      <c r="AB294" s="7">
        <f t="shared" si="54"/>
        <v>32.700000000000003</v>
      </c>
      <c r="AC294" s="7">
        <f t="shared" si="55"/>
        <v>17.5</v>
      </c>
      <c r="AD294" s="7">
        <f t="shared" si="56"/>
        <v>21.1</v>
      </c>
      <c r="AE294" s="7">
        <f t="shared" si="57"/>
        <v>2.6356774965350644</v>
      </c>
      <c r="AF294" s="7">
        <f t="shared" si="58"/>
        <v>0.57188608029280563</v>
      </c>
      <c r="AG294" s="7">
        <f t="shared" si="59"/>
        <v>7.752979562422432</v>
      </c>
    </row>
    <row r="295" spans="1:33" x14ac:dyDescent="0.25">
      <c r="A295" s="4" t="s">
        <v>129</v>
      </c>
      <c r="B295" s="4">
        <v>2021</v>
      </c>
      <c r="C295" s="4" t="s">
        <v>92</v>
      </c>
      <c r="D295" s="5">
        <f t="shared" si="60"/>
        <v>0</v>
      </c>
      <c r="E295" s="4">
        <v>5.32</v>
      </c>
      <c r="F295" s="4">
        <v>13.33</v>
      </c>
      <c r="G295" s="4">
        <v>2.73</v>
      </c>
      <c r="H295" s="4">
        <v>3.9</v>
      </c>
      <c r="I295" s="4"/>
      <c r="J295" s="4">
        <v>910.7</v>
      </c>
      <c r="K295" s="4">
        <v>49.3</v>
      </c>
      <c r="L295" s="4">
        <v>5.1980000000000004</v>
      </c>
      <c r="M295" s="4">
        <v>23.07</v>
      </c>
      <c r="N295" s="4">
        <v>26.5</v>
      </c>
      <c r="O295" s="4">
        <v>17.100000000000001</v>
      </c>
      <c r="P295" s="4">
        <v>24495.4</v>
      </c>
      <c r="Q295" s="6">
        <f t="shared" si="61"/>
        <v>26.897331722850556</v>
      </c>
      <c r="R295" s="4">
        <v>7</v>
      </c>
      <c r="S295" s="4">
        <v>1</v>
      </c>
      <c r="T295" s="6">
        <f t="shared" si="62"/>
        <v>0.87844515208081697</v>
      </c>
      <c r="U295" s="4">
        <v>1225.8</v>
      </c>
      <c r="V295" s="7">
        <f t="shared" si="63"/>
        <v>1.6714733033535532</v>
      </c>
      <c r="W295" s="7">
        <f t="shared" si="64"/>
        <v>3.8979240810486444</v>
      </c>
      <c r="X295" s="7">
        <f t="shared" si="65"/>
        <v>3.2920270892288088</v>
      </c>
      <c r="Y295" s="7">
        <f t="shared" si="66"/>
        <v>7.1121644322400961</v>
      </c>
      <c r="Z295" s="7">
        <f t="shared" si="52"/>
        <v>3.8351419610921882</v>
      </c>
      <c r="AA295" s="7">
        <f t="shared" si="53"/>
        <v>4.952</v>
      </c>
      <c r="AB295" s="7">
        <f t="shared" si="54"/>
        <v>22.96</v>
      </c>
      <c r="AC295" s="7">
        <f t="shared" si="55"/>
        <v>21.9</v>
      </c>
      <c r="AD295" s="7">
        <f t="shared" si="56"/>
        <v>15.3</v>
      </c>
      <c r="AE295" s="7">
        <f t="shared" si="57"/>
        <v>3.2330323529100875</v>
      </c>
      <c r="AF295" s="7">
        <f t="shared" si="58"/>
        <v>0.99778270509977818</v>
      </c>
      <c r="AG295" s="7">
        <f t="shared" si="59"/>
        <v>7.0716582502520735</v>
      </c>
    </row>
    <row r="296" spans="1:33" x14ac:dyDescent="0.25">
      <c r="A296" s="4" t="s">
        <v>130</v>
      </c>
      <c r="B296" s="4">
        <v>2021</v>
      </c>
      <c r="C296" s="4" t="s">
        <v>92</v>
      </c>
      <c r="D296" s="5">
        <f t="shared" si="60"/>
        <v>0</v>
      </c>
      <c r="E296" s="4">
        <v>6.25</v>
      </c>
      <c r="F296" s="4">
        <v>15.24</v>
      </c>
      <c r="G296" s="4">
        <v>2.94</v>
      </c>
      <c r="H296" s="4">
        <v>5.07</v>
      </c>
      <c r="I296" s="4"/>
      <c r="J296" s="4">
        <v>1518.5</v>
      </c>
      <c r="K296" s="4">
        <v>69.8</v>
      </c>
      <c r="L296" s="4">
        <v>5.2060000000000004</v>
      </c>
      <c r="M296" s="4">
        <v>26.43</v>
      </c>
      <c r="N296" s="4">
        <v>26.6</v>
      </c>
      <c r="O296" s="4">
        <v>23.3</v>
      </c>
      <c r="P296" s="4">
        <v>15113.5</v>
      </c>
      <c r="Q296" s="6">
        <f t="shared" si="61"/>
        <v>9.9529140599275596</v>
      </c>
      <c r="R296" s="4">
        <v>3</v>
      </c>
      <c r="S296" s="4">
        <v>1</v>
      </c>
      <c r="T296" s="6">
        <f t="shared" si="62"/>
        <v>0.26341784655910438</v>
      </c>
      <c r="U296" s="4">
        <v>3989.7</v>
      </c>
      <c r="V296" s="7">
        <f t="shared" si="63"/>
        <v>1.8325814637483102</v>
      </c>
      <c r="W296" s="7">
        <f t="shared" si="64"/>
        <v>4.2456340097683265</v>
      </c>
      <c r="X296" s="7">
        <f t="shared" si="65"/>
        <v>2.2978653786368319</v>
      </c>
      <c r="Y296" s="7">
        <f t="shared" si="66"/>
        <v>8.29172193309285</v>
      </c>
      <c r="Z296" s="7">
        <f t="shared" si="52"/>
        <v>4.180522258463153</v>
      </c>
      <c r="AA296" s="7">
        <f t="shared" si="53"/>
        <v>5.1319999999999997</v>
      </c>
      <c r="AB296" s="7">
        <f t="shared" si="54"/>
        <v>26.33</v>
      </c>
      <c r="AC296" s="7">
        <f t="shared" si="55"/>
        <v>21.5</v>
      </c>
      <c r="AD296" s="7">
        <f t="shared" si="56"/>
        <v>20.100000000000001</v>
      </c>
      <c r="AE296" s="7">
        <f t="shared" si="57"/>
        <v>2.1939412307003638</v>
      </c>
      <c r="AF296" s="7">
        <f t="shared" si="58"/>
        <v>0.26578073089700999</v>
      </c>
      <c r="AG296" s="7">
        <f t="shared" si="59"/>
        <v>8.2999820087551353</v>
      </c>
    </row>
    <row r="297" spans="1:33" x14ac:dyDescent="0.25">
      <c r="A297" s="4" t="s">
        <v>131</v>
      </c>
      <c r="B297" s="4">
        <v>2021</v>
      </c>
      <c r="C297" s="4" t="s">
        <v>92</v>
      </c>
      <c r="D297" s="5">
        <f t="shared" si="60"/>
        <v>0</v>
      </c>
      <c r="E297" s="4">
        <v>5.53</v>
      </c>
      <c r="F297" s="4">
        <v>14.13</v>
      </c>
      <c r="G297" s="4">
        <v>2.86</v>
      </c>
      <c r="H297" s="4">
        <v>3.9</v>
      </c>
      <c r="I297" s="4"/>
      <c r="J297" s="4">
        <v>1244.0999999999999</v>
      </c>
      <c r="K297" s="4">
        <v>81.5</v>
      </c>
      <c r="L297" s="4">
        <v>4.3529999999999998</v>
      </c>
      <c r="M297" s="4">
        <v>21.12</v>
      </c>
      <c r="N297" s="4">
        <v>26.1</v>
      </c>
      <c r="O297" s="4">
        <v>22.2</v>
      </c>
      <c r="P297" s="4">
        <v>9819.6</v>
      </c>
      <c r="Q297" s="6">
        <f t="shared" si="61"/>
        <v>7.8929346515553425</v>
      </c>
      <c r="R297" s="4">
        <v>8</v>
      </c>
      <c r="S297" s="4">
        <v>2</v>
      </c>
      <c r="T297" s="6">
        <f t="shared" si="62"/>
        <v>0.80379390724218314</v>
      </c>
      <c r="U297" s="4">
        <v>1631.2</v>
      </c>
      <c r="V297" s="7">
        <f t="shared" si="63"/>
        <v>1.7101878155342434</v>
      </c>
      <c r="W297" s="7">
        <f t="shared" si="64"/>
        <v>4.4006030202468169</v>
      </c>
      <c r="X297" s="7">
        <f t="shared" si="65"/>
        <v>2.0659680114008911</v>
      </c>
      <c r="Y297" s="7">
        <f t="shared" si="66"/>
        <v>7.3976840770351426</v>
      </c>
      <c r="Z297" s="7">
        <f t="shared" si="52"/>
        <v>4.2413267525707461</v>
      </c>
      <c r="AA297" s="7">
        <f t="shared" si="53"/>
        <v>4.2949999999999999</v>
      </c>
      <c r="AB297" s="7">
        <f t="shared" si="54"/>
        <v>21.1</v>
      </c>
      <c r="AC297" s="7">
        <f t="shared" si="55"/>
        <v>22</v>
      </c>
      <c r="AD297" s="7">
        <f t="shared" si="56"/>
        <v>19.3</v>
      </c>
      <c r="AE297" s="7">
        <f t="shared" si="57"/>
        <v>2.1421719389565141</v>
      </c>
      <c r="AF297" s="7">
        <f t="shared" si="58"/>
        <v>0.81076698556834748</v>
      </c>
      <c r="AG297" s="7">
        <f t="shared" si="59"/>
        <v>7.3729347908623808</v>
      </c>
    </row>
    <row r="298" spans="1:33" x14ac:dyDescent="0.25">
      <c r="A298" s="4" t="s">
        <v>132</v>
      </c>
      <c r="B298" s="4">
        <v>2021</v>
      </c>
      <c r="C298" s="4" t="s">
        <v>99</v>
      </c>
      <c r="D298" s="5">
        <f t="shared" si="60"/>
        <v>1</v>
      </c>
      <c r="E298" s="4">
        <v>8.02</v>
      </c>
      <c r="F298" s="4">
        <v>16.010000000000002</v>
      </c>
      <c r="G298" s="4">
        <v>5.04</v>
      </c>
      <c r="H298" s="4">
        <v>7.02</v>
      </c>
      <c r="I298" s="4"/>
      <c r="J298" s="4">
        <v>1350.8</v>
      </c>
      <c r="K298" s="4">
        <v>170.2</v>
      </c>
      <c r="L298" s="4">
        <v>7.0090000000000003</v>
      </c>
      <c r="M298" s="4">
        <v>67.36</v>
      </c>
      <c r="N298" s="4">
        <v>41.4</v>
      </c>
      <c r="O298" s="4">
        <v>25.3</v>
      </c>
      <c r="P298" s="4">
        <v>47259.9</v>
      </c>
      <c r="Q298" s="6">
        <f t="shared" si="61"/>
        <v>34.986600533017473</v>
      </c>
      <c r="R298" s="4">
        <v>27</v>
      </c>
      <c r="S298" s="4">
        <v>7</v>
      </c>
      <c r="T298" s="6">
        <f t="shared" si="62"/>
        <v>2.517026946994374</v>
      </c>
      <c r="U298" s="4">
        <v>5885.4</v>
      </c>
      <c r="V298" s="7">
        <f t="shared" si="63"/>
        <v>2.0819384218784229</v>
      </c>
      <c r="W298" s="7">
        <f t="shared" si="64"/>
        <v>5.136974216139274</v>
      </c>
      <c r="X298" s="7">
        <f t="shared" si="65"/>
        <v>3.5549651462729521</v>
      </c>
      <c r="Y298" s="7">
        <f t="shared" si="66"/>
        <v>8.6803998843505106</v>
      </c>
      <c r="Z298" s="7">
        <f t="shared" si="52"/>
        <v>5.0472886117442908</v>
      </c>
      <c r="AA298" s="7">
        <f t="shared" si="53"/>
        <v>6.9009999999999998</v>
      </c>
      <c r="AB298" s="7">
        <f t="shared" si="54"/>
        <v>64.44</v>
      </c>
      <c r="AC298" s="7">
        <f t="shared" si="55"/>
        <v>38.700000000000003</v>
      </c>
      <c r="AD298" s="7">
        <f t="shared" si="56"/>
        <v>26.4</v>
      </c>
      <c r="AE298" s="7">
        <f t="shared" si="57"/>
        <v>3.4470021567975442</v>
      </c>
      <c r="AF298" s="7">
        <f t="shared" si="58"/>
        <v>2.5418660287081343</v>
      </c>
      <c r="AG298" s="7">
        <f t="shared" si="59"/>
        <v>8.5321803212244856</v>
      </c>
    </row>
    <row r="299" spans="1:33" x14ac:dyDescent="0.25">
      <c r="A299" s="4" t="s">
        <v>133</v>
      </c>
      <c r="B299" s="4">
        <v>2021</v>
      </c>
      <c r="C299" s="4" t="s">
        <v>92</v>
      </c>
      <c r="D299" s="5">
        <f t="shared" si="60"/>
        <v>0</v>
      </c>
      <c r="E299" s="4">
        <v>5.4</v>
      </c>
      <c r="F299" s="4">
        <v>12.91</v>
      </c>
      <c r="G299" s="4">
        <v>2.6</v>
      </c>
      <c r="H299" s="4">
        <v>4.4400000000000004</v>
      </c>
      <c r="I299" s="4"/>
      <c r="J299" s="4">
        <v>647.79999999999995</v>
      </c>
      <c r="K299" s="4">
        <v>57.9</v>
      </c>
      <c r="L299" s="4">
        <v>4.7220000000000004</v>
      </c>
      <c r="M299" s="4">
        <v>32.57</v>
      </c>
      <c r="N299" s="4">
        <v>27.7</v>
      </c>
      <c r="O299" s="4">
        <v>26.3</v>
      </c>
      <c r="P299" s="4">
        <v>11160.3</v>
      </c>
      <c r="Q299" s="6">
        <f t="shared" si="61"/>
        <v>17.228002469898115</v>
      </c>
      <c r="R299" s="4">
        <v>21</v>
      </c>
      <c r="S299" s="4">
        <v>1</v>
      </c>
      <c r="T299" s="6">
        <f t="shared" si="62"/>
        <v>3.3961099104661931</v>
      </c>
      <c r="U299" s="4">
        <v>3900.6</v>
      </c>
      <c r="V299" s="7">
        <f t="shared" si="63"/>
        <v>1.6863989535702288</v>
      </c>
      <c r="W299" s="7">
        <f t="shared" si="64"/>
        <v>4.0587173845789497</v>
      </c>
      <c r="X299" s="7">
        <f t="shared" si="65"/>
        <v>2.8465361105571962</v>
      </c>
      <c r="Y299" s="7">
        <f t="shared" si="66"/>
        <v>8.2691420043958423</v>
      </c>
      <c r="Z299" s="7">
        <f t="shared" si="52"/>
        <v>3.9665111907122159</v>
      </c>
      <c r="AA299" s="7">
        <f t="shared" si="53"/>
        <v>4.49</v>
      </c>
      <c r="AB299" s="7">
        <f t="shared" si="54"/>
        <v>32.46</v>
      </c>
      <c r="AC299" s="7">
        <f t="shared" si="55"/>
        <v>25.6</v>
      </c>
      <c r="AD299" s="7">
        <f t="shared" si="56"/>
        <v>22</v>
      </c>
      <c r="AE299" s="7">
        <f t="shared" si="57"/>
        <v>2.7821133472927264</v>
      </c>
      <c r="AF299" s="7">
        <f t="shared" si="58"/>
        <v>3.4515218073423282</v>
      </c>
      <c r="AG299" s="7">
        <f t="shared" si="59"/>
        <v>5.2246708263797386</v>
      </c>
    </row>
    <row r="300" spans="1:33" x14ac:dyDescent="0.25">
      <c r="A300" s="4" t="s">
        <v>134</v>
      </c>
      <c r="B300" s="4">
        <v>2021</v>
      </c>
      <c r="C300" s="4" t="s">
        <v>86</v>
      </c>
      <c r="D300" s="5">
        <f t="shared" si="60"/>
        <v>0</v>
      </c>
      <c r="E300" s="4"/>
      <c r="F300" s="4"/>
      <c r="G300" s="4"/>
      <c r="H300" s="4"/>
      <c r="I300" s="4"/>
      <c r="J300" s="4">
        <v>1206.8</v>
      </c>
      <c r="K300" s="4">
        <v>48.1</v>
      </c>
      <c r="L300" s="4">
        <v>2.331</v>
      </c>
      <c r="M300" s="4">
        <v>32.43</v>
      </c>
      <c r="N300" s="4">
        <v>11.9</v>
      </c>
      <c r="O300" s="4">
        <v>15.3</v>
      </c>
      <c r="P300" s="4">
        <v>4977.1000000000004</v>
      </c>
      <c r="Q300" s="6">
        <f t="shared" si="61"/>
        <v>4.1242127941663913</v>
      </c>
      <c r="R300" s="4">
        <v>20</v>
      </c>
      <c r="S300" s="4">
        <v>2</v>
      </c>
      <c r="T300" s="6">
        <f t="shared" si="62"/>
        <v>1.8230029830957906</v>
      </c>
      <c r="U300" s="4">
        <v>189.6</v>
      </c>
      <c r="V300" s="7" t="str">
        <f t="shared" si="63"/>
        <v/>
      </c>
      <c r="W300" s="7">
        <f t="shared" si="64"/>
        <v>3.8732821771117156</v>
      </c>
      <c r="X300" s="7">
        <f t="shared" si="65"/>
        <v>1.4168751637969541</v>
      </c>
      <c r="Y300" s="7">
        <f t="shared" si="66"/>
        <v>5.2501769912201013</v>
      </c>
      <c r="Z300" s="7">
        <f t="shared" si="52"/>
        <v>3.824284091120139</v>
      </c>
      <c r="AA300" s="7">
        <f t="shared" si="53"/>
        <v>2.238</v>
      </c>
      <c r="AB300" s="7">
        <f t="shared" si="54"/>
        <v>32.33</v>
      </c>
      <c r="AC300" s="7">
        <f t="shared" si="55"/>
        <v>15.2</v>
      </c>
      <c r="AD300" s="7">
        <f t="shared" si="56"/>
        <v>13.6</v>
      </c>
      <c r="AE300" s="7">
        <f t="shared" si="57"/>
        <v>1.314262191835549</v>
      </c>
      <c r="AF300" s="7">
        <f t="shared" si="58"/>
        <v>1.589027347996989</v>
      </c>
      <c r="AG300" s="7">
        <f t="shared" si="59"/>
        <v>5.5258512661635395</v>
      </c>
    </row>
    <row r="301" spans="1:33" x14ac:dyDescent="0.25">
      <c r="A301" s="4" t="s">
        <v>135</v>
      </c>
      <c r="B301" s="4">
        <v>2021</v>
      </c>
      <c r="C301" s="4" t="s">
        <v>96</v>
      </c>
      <c r="D301" s="5">
        <f t="shared" si="60"/>
        <v>0</v>
      </c>
      <c r="E301" s="4"/>
      <c r="F301" s="4"/>
      <c r="G301" s="4"/>
      <c r="H301" s="4"/>
      <c r="I301" s="4"/>
      <c r="J301" s="4">
        <v>1287.7</v>
      </c>
      <c r="K301" s="4">
        <v>44.3</v>
      </c>
      <c r="L301" s="4">
        <v>1.6180000000000001</v>
      </c>
      <c r="M301" s="4">
        <v>13.99</v>
      </c>
      <c r="N301" s="4">
        <v>16.8</v>
      </c>
      <c r="O301" s="4">
        <v>13.7</v>
      </c>
      <c r="P301" s="4">
        <v>5227.3999999999996</v>
      </c>
      <c r="Q301" s="6">
        <f t="shared" si="61"/>
        <v>4.0594859051021199</v>
      </c>
      <c r="R301" s="4">
        <v>5</v>
      </c>
      <c r="S301" s="4">
        <v>1</v>
      </c>
      <c r="T301" s="6">
        <f t="shared" si="62"/>
        <v>0.46594703735342086</v>
      </c>
      <c r="U301" s="4">
        <v>105.4</v>
      </c>
      <c r="V301" s="7" t="str">
        <f t="shared" si="63"/>
        <v/>
      </c>
      <c r="W301" s="7">
        <f t="shared" si="64"/>
        <v>3.7909846770510898</v>
      </c>
      <c r="X301" s="7">
        <f t="shared" si="65"/>
        <v>1.4010563412370165</v>
      </c>
      <c r="Y301" s="7">
        <f t="shared" si="66"/>
        <v>4.667205576907544</v>
      </c>
      <c r="Z301" s="7">
        <f t="shared" si="52"/>
        <v>3.7681526350084442</v>
      </c>
      <c r="AA301" s="7">
        <f t="shared" si="53"/>
        <v>1.556</v>
      </c>
      <c r="AB301" s="7">
        <f t="shared" si="54"/>
        <v>13.86</v>
      </c>
      <c r="AC301" s="7">
        <f t="shared" si="55"/>
        <v>13.1</v>
      </c>
      <c r="AD301" s="7">
        <f t="shared" si="56"/>
        <v>13.1</v>
      </c>
      <c r="AE301" s="7">
        <f t="shared" si="57"/>
        <v>1.5562456602439065</v>
      </c>
      <c r="AF301" s="7">
        <f t="shared" si="58"/>
        <v>0.47221784983472381</v>
      </c>
      <c r="AG301" s="7">
        <f t="shared" si="59"/>
        <v>4.6802776584748971</v>
      </c>
    </row>
    <row r="302" spans="1:33" x14ac:dyDescent="0.25">
      <c r="A302" s="4" t="s">
        <v>136</v>
      </c>
      <c r="B302" s="4">
        <v>2021</v>
      </c>
      <c r="C302" s="4" t="s">
        <v>88</v>
      </c>
      <c r="D302" s="5">
        <f t="shared" si="60"/>
        <v>1</v>
      </c>
      <c r="E302" s="4">
        <v>67.63</v>
      </c>
      <c r="F302" s="4">
        <v>64.13</v>
      </c>
      <c r="G302" s="4">
        <v>76.319999999999993</v>
      </c>
      <c r="H302" s="4">
        <v>60.68</v>
      </c>
      <c r="I302" s="4"/>
      <c r="J302" s="4">
        <v>9166.7999999999993</v>
      </c>
      <c r="K302" s="4">
        <v>146</v>
      </c>
      <c r="L302" s="4">
        <v>29.286999999999999</v>
      </c>
      <c r="M302" s="4">
        <v>78.98</v>
      </c>
      <c r="N302" s="4">
        <v>35.6</v>
      </c>
      <c r="O302" s="4">
        <v>48</v>
      </c>
      <c r="P302" s="4">
        <v>109385.5</v>
      </c>
      <c r="Q302" s="6">
        <f t="shared" si="61"/>
        <v>11.932790068508096</v>
      </c>
      <c r="R302" s="4">
        <v>237</v>
      </c>
      <c r="S302" s="4">
        <v>46</v>
      </c>
      <c r="T302" s="6">
        <f t="shared" si="62"/>
        <v>3.0872278221407692</v>
      </c>
      <c r="U302" s="4">
        <v>5773.2</v>
      </c>
      <c r="V302" s="7">
        <f t="shared" si="63"/>
        <v>4.2140516715868488</v>
      </c>
      <c r="W302" s="7">
        <f t="shared" si="64"/>
        <v>4.9836066217083363</v>
      </c>
      <c r="X302" s="7">
        <f t="shared" si="65"/>
        <v>2.4792900787168963</v>
      </c>
      <c r="Y302" s="7">
        <f t="shared" si="66"/>
        <v>8.661154997655558</v>
      </c>
      <c r="Z302" s="7">
        <f t="shared" si="52"/>
        <v>5.0012581322836587</v>
      </c>
      <c r="AA302" s="7">
        <f t="shared" si="53"/>
        <v>27.602</v>
      </c>
      <c r="AB302" s="7">
        <f t="shared" si="54"/>
        <v>79.010000000000005</v>
      </c>
      <c r="AC302" s="7">
        <f t="shared" si="55"/>
        <v>38.700000000000003</v>
      </c>
      <c r="AD302" s="7">
        <f t="shared" si="56"/>
        <v>51.2</v>
      </c>
      <c r="AE302" s="7">
        <f t="shared" si="57"/>
        <v>2.441180665348742</v>
      </c>
      <c r="AF302" s="7">
        <f t="shared" si="58"/>
        <v>3.0560492435736268</v>
      </c>
      <c r="AG302" s="7">
        <f t="shared" si="59"/>
        <v>8.561573647096969</v>
      </c>
    </row>
    <row r="303" spans="1:33" x14ac:dyDescent="0.25">
      <c r="A303" s="4" t="s">
        <v>137</v>
      </c>
      <c r="B303" s="4">
        <v>2021</v>
      </c>
      <c r="C303" s="4" t="s">
        <v>92</v>
      </c>
      <c r="D303" s="5">
        <f t="shared" si="60"/>
        <v>0</v>
      </c>
      <c r="E303" s="4">
        <v>6.8</v>
      </c>
      <c r="F303" s="4">
        <v>15.2</v>
      </c>
      <c r="G303" s="4">
        <v>4.6500000000000004</v>
      </c>
      <c r="H303" s="4">
        <v>4.75</v>
      </c>
      <c r="I303" s="4"/>
      <c r="J303" s="4">
        <v>3716.4</v>
      </c>
      <c r="K303" s="4">
        <v>57.6</v>
      </c>
      <c r="L303" s="4">
        <v>3.7909999999999999</v>
      </c>
      <c r="M303" s="4">
        <v>26.73</v>
      </c>
      <c r="N303" s="4">
        <v>25.1</v>
      </c>
      <c r="O303" s="4">
        <v>15.7</v>
      </c>
      <c r="P303" s="4">
        <v>51847.9</v>
      </c>
      <c r="Q303" s="6">
        <f t="shared" si="61"/>
        <v>13.951108599720159</v>
      </c>
      <c r="R303" s="4">
        <v>28</v>
      </c>
      <c r="S303" s="4">
        <v>2</v>
      </c>
      <c r="T303" s="6">
        <f t="shared" si="62"/>
        <v>0.80723280594123348</v>
      </c>
      <c r="U303" s="4">
        <v>3959.6</v>
      </c>
      <c r="V303" s="7">
        <f t="shared" si="63"/>
        <v>1.9169226121820611</v>
      </c>
      <c r="W303" s="7">
        <f t="shared" si="64"/>
        <v>4.0535225677018456</v>
      </c>
      <c r="X303" s="7">
        <f t="shared" si="65"/>
        <v>2.6355589746238302</v>
      </c>
      <c r="Y303" s="7">
        <f t="shared" si="66"/>
        <v>8.2841508079227797</v>
      </c>
      <c r="Z303" s="7">
        <f t="shared" si="52"/>
        <v>3.9376907521767239</v>
      </c>
      <c r="AA303" s="7">
        <f t="shared" si="53"/>
        <v>3.589</v>
      </c>
      <c r="AB303" s="7">
        <f t="shared" si="54"/>
        <v>23.28</v>
      </c>
      <c r="AC303" s="7">
        <f t="shared" si="55"/>
        <v>21.4</v>
      </c>
      <c r="AD303" s="7">
        <f t="shared" si="56"/>
        <v>16.2</v>
      </c>
      <c r="AE303" s="7">
        <f t="shared" si="57"/>
        <v>2.5701808339622447</v>
      </c>
      <c r="AF303" s="7">
        <f t="shared" si="58"/>
        <v>0.70943272667739909</v>
      </c>
      <c r="AG303" s="7">
        <f t="shared" si="59"/>
        <v>8.2849332114557459</v>
      </c>
    </row>
    <row r="304" spans="1:33" x14ac:dyDescent="0.25">
      <c r="A304" s="4" t="s">
        <v>138</v>
      </c>
      <c r="B304" s="4">
        <v>2021</v>
      </c>
      <c r="C304" s="4" t="s">
        <v>99</v>
      </c>
      <c r="D304" s="5">
        <f t="shared" si="60"/>
        <v>1</v>
      </c>
      <c r="E304" s="4">
        <v>5.48</v>
      </c>
      <c r="F304" s="4">
        <v>14.56</v>
      </c>
      <c r="G304" s="4">
        <v>3.48</v>
      </c>
      <c r="H304" s="4">
        <v>2.94</v>
      </c>
      <c r="I304" s="4"/>
      <c r="J304" s="4">
        <v>1873.9</v>
      </c>
      <c r="K304" s="4">
        <v>51.6</v>
      </c>
      <c r="L304" s="4">
        <v>2.9249999999999998</v>
      </c>
      <c r="M304" s="4">
        <v>11.75</v>
      </c>
      <c r="N304" s="4">
        <v>19.3</v>
      </c>
      <c r="O304" s="4">
        <v>12.5</v>
      </c>
      <c r="P304" s="4">
        <v>8422.7999999999993</v>
      </c>
      <c r="Q304" s="6">
        <f t="shared" si="61"/>
        <v>4.4947969475425573</v>
      </c>
      <c r="R304" s="4">
        <v>14</v>
      </c>
      <c r="S304" s="4">
        <v>2</v>
      </c>
      <c r="T304" s="6">
        <f t="shared" si="62"/>
        <v>0.85383424942633013</v>
      </c>
      <c r="U304" s="4">
        <v>746.6</v>
      </c>
      <c r="V304" s="7">
        <f t="shared" si="63"/>
        <v>1.7011051009599243</v>
      </c>
      <c r="W304" s="7">
        <f t="shared" si="64"/>
        <v>3.9435216724875173</v>
      </c>
      <c r="X304" s="7">
        <f t="shared" si="65"/>
        <v>1.5029204939427558</v>
      </c>
      <c r="Y304" s="7">
        <f t="shared" si="66"/>
        <v>6.616868075581408</v>
      </c>
      <c r="Z304" s="7">
        <f t="shared" si="52"/>
        <v>3.8691155044168695</v>
      </c>
      <c r="AA304" s="7">
        <f t="shared" si="53"/>
        <v>2.7549999999999999</v>
      </c>
      <c r="AB304" s="7">
        <f t="shared" si="54"/>
        <v>11.74</v>
      </c>
      <c r="AC304" s="7">
        <f t="shared" si="55"/>
        <v>17.899999999999999</v>
      </c>
      <c r="AD304" s="7">
        <f t="shared" si="56"/>
        <v>13.4</v>
      </c>
      <c r="AE304" s="7">
        <f t="shared" si="57"/>
        <v>1.4077709866343509</v>
      </c>
      <c r="AF304" s="7">
        <f t="shared" si="58"/>
        <v>0.74858303924713931</v>
      </c>
      <c r="AG304" s="7">
        <f t="shared" si="59"/>
        <v>6.081990573807353</v>
      </c>
    </row>
    <row r="305" spans="1:33" x14ac:dyDescent="0.25">
      <c r="A305" s="4" t="s">
        <v>139</v>
      </c>
      <c r="B305" s="4">
        <v>2021</v>
      </c>
      <c r="C305" s="4" t="s">
        <v>96</v>
      </c>
      <c r="D305" s="5">
        <f t="shared" si="60"/>
        <v>0</v>
      </c>
      <c r="E305" s="4">
        <v>6.38</v>
      </c>
      <c r="F305" s="4">
        <v>14.51</v>
      </c>
      <c r="G305" s="4">
        <v>4.12</v>
      </c>
      <c r="H305" s="4">
        <v>4.59</v>
      </c>
      <c r="I305" s="4"/>
      <c r="J305" s="4">
        <v>1323.2</v>
      </c>
      <c r="K305" s="4">
        <v>100</v>
      </c>
      <c r="L305" s="4">
        <v>3.9049999999999998</v>
      </c>
      <c r="M305" s="4">
        <v>32.14</v>
      </c>
      <c r="N305" s="4">
        <v>35.4</v>
      </c>
      <c r="O305" s="4">
        <v>25</v>
      </c>
      <c r="P305" s="4">
        <v>45133.4</v>
      </c>
      <c r="Q305" s="6">
        <f t="shared" si="61"/>
        <v>34.109280532043528</v>
      </c>
      <c r="R305" s="4">
        <v>19</v>
      </c>
      <c r="S305" s="4">
        <v>4</v>
      </c>
      <c r="T305" s="6">
        <f t="shared" si="62"/>
        <v>1.7382103990326481</v>
      </c>
      <c r="U305" s="4">
        <v>7437.3</v>
      </c>
      <c r="V305" s="7">
        <f t="shared" si="63"/>
        <v>1.8531680973566984</v>
      </c>
      <c r="W305" s="7">
        <f t="shared" si="64"/>
        <v>4.6051701859880918</v>
      </c>
      <c r="X305" s="7">
        <f t="shared" si="65"/>
        <v>3.5295695036265586</v>
      </c>
      <c r="Y305" s="7">
        <f t="shared" si="66"/>
        <v>8.9143976070946085</v>
      </c>
      <c r="Z305" s="7">
        <f t="shared" si="52"/>
        <v>4.5464811896394117</v>
      </c>
      <c r="AA305" s="7">
        <f t="shared" si="53"/>
        <v>3.6619999999999999</v>
      </c>
      <c r="AB305" s="7">
        <f t="shared" si="54"/>
        <v>32.090000000000003</v>
      </c>
      <c r="AC305" s="7">
        <f t="shared" si="55"/>
        <v>28.2</v>
      </c>
      <c r="AD305" s="7">
        <f t="shared" si="56"/>
        <v>24.4</v>
      </c>
      <c r="AE305" s="7">
        <f t="shared" si="57"/>
        <v>3.2720030509182005</v>
      </c>
      <c r="AF305" s="7">
        <f t="shared" si="58"/>
        <v>1.1468766725284807</v>
      </c>
      <c r="AG305" s="7">
        <f t="shared" si="59"/>
        <v>8.8088473646204193</v>
      </c>
    </row>
    <row r="306" spans="1:33" x14ac:dyDescent="0.25">
      <c r="A306" s="4" t="s">
        <v>140</v>
      </c>
      <c r="B306" s="4">
        <v>2021</v>
      </c>
      <c r="C306" s="4" t="s">
        <v>92</v>
      </c>
      <c r="D306" s="5">
        <f t="shared" si="60"/>
        <v>0</v>
      </c>
      <c r="E306" s="4">
        <v>6.15</v>
      </c>
      <c r="F306" s="4">
        <v>14.15</v>
      </c>
      <c r="G306" s="4">
        <v>3.13</v>
      </c>
      <c r="H306" s="4">
        <v>5.18</v>
      </c>
      <c r="I306" s="4"/>
      <c r="J306" s="4">
        <v>1153.8</v>
      </c>
      <c r="K306" s="4">
        <v>50.8</v>
      </c>
      <c r="L306" s="4">
        <v>4.1280000000000001</v>
      </c>
      <c r="M306" s="4">
        <v>52.82</v>
      </c>
      <c r="N306" s="4">
        <v>28.7</v>
      </c>
      <c r="O306" s="4">
        <v>30.7</v>
      </c>
      <c r="P306" s="4"/>
      <c r="Q306" s="6" t="str">
        <f t="shared" si="61"/>
        <v/>
      </c>
      <c r="R306" s="4">
        <v>0</v>
      </c>
      <c r="S306" s="4">
        <v>0</v>
      </c>
      <c r="T306" s="6">
        <f t="shared" si="62"/>
        <v>0</v>
      </c>
      <c r="U306" s="4">
        <v>3502.9</v>
      </c>
      <c r="V306" s="7">
        <f t="shared" si="63"/>
        <v>1.8164520818184267</v>
      </c>
      <c r="W306" s="7">
        <f t="shared" si="64"/>
        <v>3.9278963545844361</v>
      </c>
      <c r="X306" s="7" t="str">
        <f t="shared" si="65"/>
        <v/>
      </c>
      <c r="Y306" s="7">
        <f t="shared" si="66"/>
        <v>8.1616319128362562</v>
      </c>
      <c r="Z306" s="7">
        <f t="shared" si="52"/>
        <v>3.8836235309064482</v>
      </c>
      <c r="AA306" s="7">
        <f t="shared" si="53"/>
        <v>4.1020000000000003</v>
      </c>
      <c r="AB306" s="7">
        <f t="shared" si="54"/>
        <v>49.6</v>
      </c>
      <c r="AC306" s="7">
        <f t="shared" si="55"/>
        <v>23.1</v>
      </c>
      <c r="AD306" s="7">
        <f t="shared" si="56"/>
        <v>26.9</v>
      </c>
      <c r="AE306" s="7" t="str">
        <f t="shared" si="57"/>
        <v/>
      </c>
      <c r="AF306" s="7">
        <f t="shared" si="58"/>
        <v>0</v>
      </c>
      <c r="AG306" s="7">
        <f t="shared" si="59"/>
        <v>8.1354055466624295</v>
      </c>
    </row>
    <row r="307" spans="1:33" x14ac:dyDescent="0.25">
      <c r="A307" s="4" t="s">
        <v>141</v>
      </c>
      <c r="B307" s="4">
        <v>2021</v>
      </c>
      <c r="C307" s="4" t="s">
        <v>86</v>
      </c>
      <c r="D307" s="5">
        <f t="shared" si="60"/>
        <v>0</v>
      </c>
      <c r="E307" s="4">
        <v>5.36</v>
      </c>
      <c r="F307" s="4">
        <v>12.15</v>
      </c>
      <c r="G307" s="4">
        <v>3.82</v>
      </c>
      <c r="H307" s="4">
        <v>3.5</v>
      </c>
      <c r="I307" s="4"/>
      <c r="J307" s="4">
        <v>1779.4</v>
      </c>
      <c r="K307" s="4">
        <v>55.8</v>
      </c>
      <c r="L307" s="4">
        <v>2.8439999999999999</v>
      </c>
      <c r="M307" s="4">
        <v>14.25</v>
      </c>
      <c r="N307" s="4">
        <v>13.8</v>
      </c>
      <c r="O307" s="4">
        <v>17.600000000000001</v>
      </c>
      <c r="P307" s="4">
        <v>2445.9</v>
      </c>
      <c r="Q307" s="6">
        <f t="shared" si="61"/>
        <v>1.3745644599303135</v>
      </c>
      <c r="R307" s="4">
        <v>12</v>
      </c>
      <c r="S307" s="4">
        <v>1</v>
      </c>
      <c r="T307" s="6">
        <f t="shared" si="62"/>
        <v>0.73058334269978642</v>
      </c>
      <c r="U307" s="4">
        <v>1621.3</v>
      </c>
      <c r="V307" s="7">
        <f t="shared" si="63"/>
        <v>1.6789639750827108</v>
      </c>
      <c r="W307" s="7">
        <f t="shared" si="64"/>
        <v>4.0217738693872649</v>
      </c>
      <c r="X307" s="7">
        <f t="shared" si="65"/>
        <v>0.31813692452630776</v>
      </c>
      <c r="Y307" s="7">
        <f t="shared" si="66"/>
        <v>7.3916001744163529</v>
      </c>
      <c r="Z307" s="7">
        <f t="shared" si="52"/>
        <v>4.0217738693872649</v>
      </c>
      <c r="AA307" s="7">
        <f t="shared" si="53"/>
        <v>2.738</v>
      </c>
      <c r="AB307" s="7">
        <f t="shared" si="54"/>
        <v>14.21</v>
      </c>
      <c r="AC307" s="7">
        <f t="shared" si="55"/>
        <v>14.2</v>
      </c>
      <c r="AD307" s="7">
        <f t="shared" si="56"/>
        <v>18.3</v>
      </c>
      <c r="AE307" s="7">
        <f t="shared" si="57"/>
        <v>0.66499725844119417</v>
      </c>
      <c r="AF307" s="7">
        <f t="shared" si="58"/>
        <v>0.7334273624823695</v>
      </c>
      <c r="AG307" s="7">
        <f t="shared" si="59"/>
        <v>7.3458166427932889</v>
      </c>
    </row>
    <row r="308" spans="1:33" x14ac:dyDescent="0.25">
      <c r="A308" s="4" t="s">
        <v>142</v>
      </c>
      <c r="B308" s="4">
        <v>2021</v>
      </c>
      <c r="C308" s="4" t="s">
        <v>86</v>
      </c>
      <c r="D308" s="5">
        <f t="shared" si="60"/>
        <v>0</v>
      </c>
      <c r="E308" s="4">
        <v>4.38</v>
      </c>
      <c r="F308" s="4">
        <v>11.72</v>
      </c>
      <c r="G308" s="4">
        <v>2.9</v>
      </c>
      <c r="H308" s="4">
        <v>2.19</v>
      </c>
      <c r="I308" s="4"/>
      <c r="J308" s="4">
        <v>1018.6</v>
      </c>
      <c r="K308" s="4">
        <v>63.1</v>
      </c>
      <c r="L308" s="4">
        <v>2.3919999999999999</v>
      </c>
      <c r="M308" s="4">
        <v>17.510000000000002</v>
      </c>
      <c r="N308" s="4">
        <v>10.8</v>
      </c>
      <c r="O308" s="4">
        <v>11.5</v>
      </c>
      <c r="P308" s="4">
        <v>2774.5</v>
      </c>
      <c r="Q308" s="6">
        <f t="shared" si="61"/>
        <v>2.7238366385234634</v>
      </c>
      <c r="R308" s="4">
        <v>7</v>
      </c>
      <c r="S308" s="4">
        <v>2</v>
      </c>
      <c r="T308" s="6">
        <f t="shared" si="62"/>
        <v>0.8835656783820931</v>
      </c>
      <c r="U308" s="4">
        <v>3283.2</v>
      </c>
      <c r="V308" s="7">
        <f t="shared" si="63"/>
        <v>1.4770487243883548</v>
      </c>
      <c r="W308" s="7">
        <f t="shared" si="64"/>
        <v>4.1447207695471677</v>
      </c>
      <c r="X308" s="7">
        <f t="shared" si="65"/>
        <v>1.0020414153154515</v>
      </c>
      <c r="Y308" s="7">
        <f t="shared" si="66"/>
        <v>8.0968783700577376</v>
      </c>
      <c r="Z308" s="7">
        <f t="shared" si="52"/>
        <v>4.1108738641733114</v>
      </c>
      <c r="AA308" s="7">
        <f t="shared" si="53"/>
        <v>2.278</v>
      </c>
      <c r="AB308" s="7">
        <f t="shared" si="54"/>
        <v>17.41</v>
      </c>
      <c r="AC308" s="7">
        <f t="shared" si="55"/>
        <v>11.6</v>
      </c>
      <c r="AD308" s="7">
        <f t="shared" si="56"/>
        <v>12.8</v>
      </c>
      <c r="AE308" s="7">
        <f t="shared" si="57"/>
        <v>1.2813078499544777</v>
      </c>
      <c r="AF308" s="7">
        <f t="shared" si="58"/>
        <v>0.89117734429151396</v>
      </c>
      <c r="AG308" s="7">
        <f t="shared" si="59"/>
        <v>8.1018898461721687</v>
      </c>
    </row>
    <row r="309" spans="1:33" x14ac:dyDescent="0.25">
      <c r="A309" s="4" t="s">
        <v>143</v>
      </c>
      <c r="B309" s="4">
        <v>2021</v>
      </c>
      <c r="C309" s="4" t="s">
        <v>96</v>
      </c>
      <c r="D309" s="5">
        <f t="shared" si="60"/>
        <v>0</v>
      </c>
      <c r="E309" s="4">
        <v>4</v>
      </c>
      <c r="F309" s="4">
        <v>11.63</v>
      </c>
      <c r="G309" s="4">
        <v>2.34</v>
      </c>
      <c r="H309" s="4">
        <v>1.86</v>
      </c>
      <c r="I309" s="4"/>
      <c r="J309" s="4">
        <v>801.7</v>
      </c>
      <c r="K309" s="4">
        <v>45.2</v>
      </c>
      <c r="L309" s="4">
        <v>1.9830000000000001</v>
      </c>
      <c r="M309" s="4">
        <v>13.88</v>
      </c>
      <c r="N309" s="4">
        <v>23.1</v>
      </c>
      <c r="O309" s="4">
        <v>13.8</v>
      </c>
      <c r="P309" s="4">
        <v>14737.9</v>
      </c>
      <c r="Q309" s="6">
        <f t="shared" si="61"/>
        <v>18.383310465261317</v>
      </c>
      <c r="R309" s="4">
        <v>5</v>
      </c>
      <c r="S309" s="4">
        <v>1</v>
      </c>
      <c r="T309" s="6">
        <f t="shared" si="62"/>
        <v>0.74840962953723333</v>
      </c>
      <c r="U309" s="4">
        <v>260.39999999999998</v>
      </c>
      <c r="V309" s="7">
        <f t="shared" si="63"/>
        <v>1.3862943611198906</v>
      </c>
      <c r="W309" s="7">
        <f t="shared" si="64"/>
        <v>3.8110970868381857</v>
      </c>
      <c r="X309" s="7">
        <f t="shared" si="65"/>
        <v>2.9114432130738548</v>
      </c>
      <c r="Y309" s="7">
        <f t="shared" si="66"/>
        <v>5.5660518011901212</v>
      </c>
      <c r="Z309" s="7">
        <f t="shared" si="52"/>
        <v>3.7727609380946383</v>
      </c>
      <c r="AA309" s="7">
        <f t="shared" si="53"/>
        <v>1.841</v>
      </c>
      <c r="AB309" s="7">
        <f t="shared" si="54"/>
        <v>13.82</v>
      </c>
      <c r="AC309" s="7">
        <f t="shared" si="55"/>
        <v>21.3</v>
      </c>
      <c r="AD309" s="7">
        <f t="shared" si="56"/>
        <v>14.1</v>
      </c>
      <c r="AE309" s="7">
        <f t="shared" si="57"/>
        <v>2.8888922654216747</v>
      </c>
      <c r="AF309" s="7">
        <f t="shared" si="58"/>
        <v>0.88283516206331192</v>
      </c>
      <c r="AG309" s="7">
        <f t="shared" si="59"/>
        <v>5.6182245862945548</v>
      </c>
    </row>
    <row r="310" spans="1:33" x14ac:dyDescent="0.25">
      <c r="A310" s="4" t="s">
        <v>144</v>
      </c>
      <c r="B310" s="4">
        <v>2021</v>
      </c>
      <c r="C310" s="4" t="s">
        <v>88</v>
      </c>
      <c r="D310" s="5">
        <f t="shared" si="60"/>
        <v>1</v>
      </c>
      <c r="E310" s="4">
        <v>5.56</v>
      </c>
      <c r="F310" s="4">
        <v>12.42</v>
      </c>
      <c r="G310" s="4">
        <v>4.03</v>
      </c>
      <c r="H310" s="4">
        <v>3.66</v>
      </c>
      <c r="I310" s="4"/>
      <c r="J310" s="4">
        <v>1181.9000000000001</v>
      </c>
      <c r="K310" s="4">
        <v>76.599999999999994</v>
      </c>
      <c r="L310" s="4">
        <v>3.8580000000000001</v>
      </c>
      <c r="M310" s="4">
        <v>32.380000000000003</v>
      </c>
      <c r="N310" s="4">
        <v>16</v>
      </c>
      <c r="O310" s="4">
        <v>16</v>
      </c>
      <c r="P310" s="4">
        <v>14563.9</v>
      </c>
      <c r="Q310" s="6">
        <f t="shared" si="61"/>
        <v>12.322446907521785</v>
      </c>
      <c r="R310" s="4">
        <v>11</v>
      </c>
      <c r="S310" s="4">
        <v>2</v>
      </c>
      <c r="T310" s="6">
        <f t="shared" si="62"/>
        <v>1.0999238514256704</v>
      </c>
      <c r="U310" s="4">
        <v>7194.9</v>
      </c>
      <c r="V310" s="7">
        <f t="shared" si="63"/>
        <v>1.7155981082624909</v>
      </c>
      <c r="W310" s="7">
        <f t="shared" si="64"/>
        <v>4.3385970767465452</v>
      </c>
      <c r="X310" s="7">
        <f t="shared" si="65"/>
        <v>2.5114225510080193</v>
      </c>
      <c r="Y310" s="7">
        <f t="shared" si="66"/>
        <v>8.8812666983646373</v>
      </c>
      <c r="Z310" s="7">
        <f t="shared" si="52"/>
        <v>4.3040650932041702</v>
      </c>
      <c r="AA310" s="7">
        <f t="shared" si="53"/>
        <v>3.6930000000000001</v>
      </c>
      <c r="AB310" s="7">
        <f t="shared" si="54"/>
        <v>32.340000000000003</v>
      </c>
      <c r="AC310" s="7">
        <f t="shared" si="55"/>
        <v>14.7</v>
      </c>
      <c r="AD310" s="7">
        <f t="shared" si="56"/>
        <v>15.6</v>
      </c>
      <c r="AE310" s="7">
        <f t="shared" si="57"/>
        <v>2.5556293321054997</v>
      </c>
      <c r="AF310" s="7">
        <f t="shared" si="58"/>
        <v>1.1881524229822626</v>
      </c>
      <c r="AG310" s="7">
        <f t="shared" si="59"/>
        <v>8.7825376261463042</v>
      </c>
    </row>
    <row r="311" spans="1:33" x14ac:dyDescent="0.25">
      <c r="A311" s="4" t="s">
        <v>145</v>
      </c>
      <c r="B311" s="4">
        <v>2021</v>
      </c>
      <c r="C311" s="4" t="s">
        <v>86</v>
      </c>
      <c r="D311" s="5">
        <f t="shared" si="60"/>
        <v>0</v>
      </c>
      <c r="E311" s="4">
        <v>4.5999999999999996</v>
      </c>
      <c r="F311" s="4">
        <v>11.62</v>
      </c>
      <c r="G311" s="4">
        <v>3.05</v>
      </c>
      <c r="H311" s="4">
        <v>2.63</v>
      </c>
      <c r="I311" s="4"/>
      <c r="J311" s="4">
        <v>1029</v>
      </c>
      <c r="K311" s="4">
        <v>57.5</v>
      </c>
      <c r="L311" s="4">
        <v>2.7130000000000001</v>
      </c>
      <c r="M311" s="4">
        <v>22.71</v>
      </c>
      <c r="N311" s="4">
        <v>15.6</v>
      </c>
      <c r="O311" s="4">
        <v>18</v>
      </c>
      <c r="P311" s="4">
        <v>2025</v>
      </c>
      <c r="Q311" s="6">
        <f t="shared" si="61"/>
        <v>1.967930029154519</v>
      </c>
      <c r="R311" s="4">
        <v>5</v>
      </c>
      <c r="S311" s="4">
        <v>1</v>
      </c>
      <c r="T311" s="6">
        <f t="shared" si="62"/>
        <v>0.58309037900874638</v>
      </c>
      <c r="U311" s="4">
        <v>850</v>
      </c>
      <c r="V311" s="7">
        <f t="shared" si="63"/>
        <v>1.5260563034950492</v>
      </c>
      <c r="W311" s="7">
        <f t="shared" si="64"/>
        <v>4.0517849478033048</v>
      </c>
      <c r="X311" s="7">
        <f t="shared" si="65"/>
        <v>0.67698224370658988</v>
      </c>
      <c r="Y311" s="7">
        <f t="shared" si="66"/>
        <v>6.7464121285733745</v>
      </c>
      <c r="Z311" s="7">
        <f t="shared" si="52"/>
        <v>4.048300623720694</v>
      </c>
      <c r="AA311" s="7">
        <f t="shared" si="53"/>
        <v>2.6030000000000002</v>
      </c>
      <c r="AB311" s="7">
        <f t="shared" si="54"/>
        <v>22.69</v>
      </c>
      <c r="AC311" s="7">
        <f t="shared" si="55"/>
        <v>15.8</v>
      </c>
      <c r="AD311" s="7">
        <f t="shared" si="56"/>
        <v>16.899999999999999</v>
      </c>
      <c r="AE311" s="7">
        <f t="shared" si="57"/>
        <v>0.63000227895541705</v>
      </c>
      <c r="AF311" s="7">
        <f t="shared" si="58"/>
        <v>0.5865102639296188</v>
      </c>
      <c r="AG311" s="7">
        <f t="shared" si="59"/>
        <v>6.6849866573730008</v>
      </c>
    </row>
    <row r="312" spans="1:33" x14ac:dyDescent="0.25">
      <c r="A312" s="4" t="s">
        <v>146</v>
      </c>
      <c r="B312" s="4">
        <v>2021</v>
      </c>
      <c r="C312" s="4" t="s">
        <v>99</v>
      </c>
      <c r="D312" s="5">
        <f t="shared" si="60"/>
        <v>1</v>
      </c>
      <c r="E312" s="4">
        <v>7.19</v>
      </c>
      <c r="F312" s="4">
        <v>15.75</v>
      </c>
      <c r="G312" s="4">
        <v>3.73</v>
      </c>
      <c r="H312" s="4">
        <v>6.37</v>
      </c>
      <c r="I312" s="4"/>
      <c r="J312" s="4">
        <v>1191.8</v>
      </c>
      <c r="K312" s="4">
        <v>114.4</v>
      </c>
      <c r="L312" s="4">
        <v>6.9829999999999997</v>
      </c>
      <c r="M312" s="4">
        <v>30.06</v>
      </c>
      <c r="N312" s="4">
        <v>34.700000000000003</v>
      </c>
      <c r="O312" s="4">
        <v>35.1</v>
      </c>
      <c r="P312" s="4">
        <v>15232.8</v>
      </c>
      <c r="Q312" s="6">
        <f t="shared" si="61"/>
        <v>12.781339150864239</v>
      </c>
      <c r="R312" s="4">
        <v>7</v>
      </c>
      <c r="S312" s="4">
        <v>2</v>
      </c>
      <c r="T312" s="6">
        <f t="shared" si="62"/>
        <v>0.75516026178889073</v>
      </c>
      <c r="U312" s="4">
        <v>5469.2</v>
      </c>
      <c r="V312" s="7">
        <f t="shared" si="63"/>
        <v>1.9726911717329554</v>
      </c>
      <c r="W312" s="7">
        <f t="shared" si="64"/>
        <v>4.7397010789456973</v>
      </c>
      <c r="X312" s="7">
        <f t="shared" si="65"/>
        <v>2.5479862283474914</v>
      </c>
      <c r="Y312" s="7">
        <f t="shared" si="66"/>
        <v>8.6070704578189119</v>
      </c>
      <c r="Z312" s="7">
        <f t="shared" si="52"/>
        <v>4.6624952526073606</v>
      </c>
      <c r="AA312" s="7">
        <f t="shared" si="53"/>
        <v>6.6239999999999997</v>
      </c>
      <c r="AB312" s="7">
        <f t="shared" si="54"/>
        <v>29.97</v>
      </c>
      <c r="AC312" s="7">
        <f t="shared" si="55"/>
        <v>28.6</v>
      </c>
      <c r="AD312" s="7">
        <f t="shared" si="56"/>
        <v>31.5</v>
      </c>
      <c r="AE312" s="7">
        <f t="shared" si="57"/>
        <v>2.9784778824002407</v>
      </c>
      <c r="AF312" s="7">
        <f t="shared" si="58"/>
        <v>0.76844262295081966</v>
      </c>
      <c r="AG312" s="7">
        <f t="shared" si="59"/>
        <v>8.4123214451800639</v>
      </c>
    </row>
    <row r="313" spans="1:33" x14ac:dyDescent="0.25">
      <c r="A313" s="4" t="s">
        <v>147</v>
      </c>
      <c r="B313" s="4">
        <v>2021</v>
      </c>
      <c r="C313" s="4" t="s">
        <v>96</v>
      </c>
      <c r="D313" s="5">
        <f t="shared" si="60"/>
        <v>0</v>
      </c>
      <c r="E313" s="4">
        <v>5.26</v>
      </c>
      <c r="F313" s="4">
        <v>11.87</v>
      </c>
      <c r="G313" s="4">
        <v>3.7</v>
      </c>
      <c r="H313" s="4">
        <v>3.52</v>
      </c>
      <c r="I313" s="4"/>
      <c r="J313" s="4">
        <v>842.7</v>
      </c>
      <c r="K313" s="4">
        <v>42.6</v>
      </c>
      <c r="L313" s="4">
        <v>2.2389999999999999</v>
      </c>
      <c r="M313" s="4">
        <v>20.73</v>
      </c>
      <c r="N313" s="4">
        <v>22.2</v>
      </c>
      <c r="O313" s="4">
        <v>13.6</v>
      </c>
      <c r="P313" s="4">
        <v>7887.2</v>
      </c>
      <c r="Q313" s="6">
        <f t="shared" si="61"/>
        <v>9.3594398955737503</v>
      </c>
      <c r="R313" s="4">
        <v>2</v>
      </c>
      <c r="S313" s="4">
        <v>1</v>
      </c>
      <c r="T313" s="6">
        <f t="shared" si="62"/>
        <v>0.35599857600569595</v>
      </c>
      <c r="U313" s="4">
        <v>532.29999999999995</v>
      </c>
      <c r="V313" s="7">
        <f t="shared" si="63"/>
        <v>1.6601310267496185</v>
      </c>
      <c r="W313" s="7">
        <f t="shared" si="64"/>
        <v>3.751854253275325</v>
      </c>
      <c r="X313" s="7">
        <f t="shared" si="65"/>
        <v>2.2363854484825239</v>
      </c>
      <c r="Y313" s="7">
        <f t="shared" si="66"/>
        <v>6.2790841176065566</v>
      </c>
      <c r="Z313" s="7">
        <f t="shared" si="52"/>
        <v>3.6863763238958178</v>
      </c>
      <c r="AA313" s="7">
        <f t="shared" si="53"/>
        <v>2.0760000000000001</v>
      </c>
      <c r="AB313" s="7">
        <f t="shared" si="54"/>
        <v>20.63</v>
      </c>
      <c r="AC313" s="7">
        <f t="shared" si="55"/>
        <v>19.100000000000001</v>
      </c>
      <c r="AD313" s="7">
        <f t="shared" si="56"/>
        <v>12.2</v>
      </c>
      <c r="AE313" s="7">
        <f t="shared" si="57"/>
        <v>2.5107639346430943</v>
      </c>
      <c r="AF313" s="7">
        <f t="shared" si="58"/>
        <v>0.36075036075036077</v>
      </c>
      <c r="AG313" s="7">
        <f t="shared" si="59"/>
        <v>6.1791881531909318</v>
      </c>
    </row>
    <row r="314" spans="1:33" x14ac:dyDescent="0.25">
      <c r="A314" s="4" t="s">
        <v>148</v>
      </c>
      <c r="B314" s="4">
        <v>2021</v>
      </c>
      <c r="C314" s="4" t="s">
        <v>96</v>
      </c>
      <c r="D314" s="5">
        <f t="shared" si="60"/>
        <v>0</v>
      </c>
      <c r="E314" s="4"/>
      <c r="F314" s="4"/>
      <c r="G314" s="4"/>
      <c r="H314" s="4"/>
      <c r="I314" s="4"/>
      <c r="J314" s="4">
        <v>625.1</v>
      </c>
      <c r="K314" s="4">
        <v>35.299999999999997</v>
      </c>
      <c r="L314" s="4">
        <v>1.7210000000000001</v>
      </c>
      <c r="M314" s="4">
        <v>15.2</v>
      </c>
      <c r="N314" s="4">
        <v>18.8</v>
      </c>
      <c r="O314" s="4">
        <v>13.8</v>
      </c>
      <c r="P314" s="4">
        <v>2349.6999999999998</v>
      </c>
      <c r="Q314" s="6">
        <f t="shared" si="61"/>
        <v>3.758918573028315</v>
      </c>
      <c r="R314" s="4">
        <v>3</v>
      </c>
      <c r="S314" s="4">
        <v>2</v>
      </c>
      <c r="T314" s="6">
        <f t="shared" si="62"/>
        <v>0.79987202047672368</v>
      </c>
      <c r="U314" s="4">
        <v>4.8</v>
      </c>
      <c r="V314" s="7" t="str">
        <f t="shared" si="63"/>
        <v/>
      </c>
      <c r="W314" s="7">
        <f t="shared" si="64"/>
        <v>3.5638829639392511</v>
      </c>
      <c r="X314" s="7">
        <f t="shared" si="65"/>
        <v>1.3241313024767927</v>
      </c>
      <c r="Y314" s="7">
        <f t="shared" si="66"/>
        <v>1.7578579175523736</v>
      </c>
      <c r="Z314" s="7">
        <f t="shared" si="52"/>
        <v>3.4995332823830174</v>
      </c>
      <c r="AA314" s="7">
        <f t="shared" si="53"/>
        <v>1.7410000000000001</v>
      </c>
      <c r="AB314" s="7">
        <f t="shared" si="54"/>
        <v>15.19</v>
      </c>
      <c r="AC314" s="7">
        <f t="shared" si="55"/>
        <v>16.2</v>
      </c>
      <c r="AD314" s="7">
        <f t="shared" si="56"/>
        <v>11.6</v>
      </c>
      <c r="AE314" s="7">
        <f t="shared" si="57"/>
        <v>1.2242068069972716</v>
      </c>
      <c r="AF314" s="7">
        <f t="shared" si="58"/>
        <v>0.81499592502037488</v>
      </c>
      <c r="AG314" s="7">
        <f t="shared" si="59"/>
        <v>1.7749523509116738</v>
      </c>
    </row>
    <row r="315" spans="1:33" x14ac:dyDescent="0.25">
      <c r="A315" s="4" t="s">
        <v>149</v>
      </c>
      <c r="B315" s="4">
        <v>2021</v>
      </c>
      <c r="C315" s="4" t="s">
        <v>92</v>
      </c>
      <c r="D315" s="5">
        <f t="shared" si="60"/>
        <v>0</v>
      </c>
      <c r="E315" s="4">
        <v>19.04</v>
      </c>
      <c r="F315" s="4">
        <v>35.71</v>
      </c>
      <c r="G315" s="4">
        <v>7.62</v>
      </c>
      <c r="H315" s="4">
        <v>22.12</v>
      </c>
      <c r="I315" s="4"/>
      <c r="J315" s="4">
        <v>1195.5</v>
      </c>
      <c r="K315" s="4">
        <v>90.4</v>
      </c>
      <c r="L315" s="4">
        <v>20.663</v>
      </c>
      <c r="M315" s="4">
        <v>87.35</v>
      </c>
      <c r="N315" s="4">
        <v>48.1</v>
      </c>
      <c r="O315" s="4">
        <v>58.1</v>
      </c>
      <c r="P315" s="4">
        <v>30413.7</v>
      </c>
      <c r="Q315" s="6">
        <f t="shared" si="61"/>
        <v>25.440150564617316</v>
      </c>
      <c r="R315" s="4">
        <v>71</v>
      </c>
      <c r="S315" s="4">
        <v>8</v>
      </c>
      <c r="T315" s="6">
        <f t="shared" si="62"/>
        <v>6.6081137599330821</v>
      </c>
      <c r="U315" s="4">
        <v>4962.3</v>
      </c>
      <c r="V315" s="7">
        <f t="shared" si="63"/>
        <v>2.9465420293632194</v>
      </c>
      <c r="W315" s="7">
        <f t="shared" si="64"/>
        <v>4.5042442673981311</v>
      </c>
      <c r="X315" s="7">
        <f t="shared" si="65"/>
        <v>3.2363286568748997</v>
      </c>
      <c r="Y315" s="7">
        <f t="shared" si="66"/>
        <v>8.5098261210706703</v>
      </c>
      <c r="Z315" s="7">
        <f t="shared" si="52"/>
        <v>4.4863866499981242</v>
      </c>
      <c r="AA315" s="7">
        <f t="shared" si="53"/>
        <v>20.236000000000001</v>
      </c>
      <c r="AB315" s="7">
        <f t="shared" si="54"/>
        <v>87.25</v>
      </c>
      <c r="AC315" s="7">
        <f t="shared" si="55"/>
        <v>44</v>
      </c>
      <c r="AD315" s="7">
        <f t="shared" si="56"/>
        <v>54.2</v>
      </c>
      <c r="AE315" s="7">
        <f t="shared" si="57"/>
        <v>3.2759808431445858</v>
      </c>
      <c r="AF315" s="7">
        <f t="shared" si="58"/>
        <v>6.7550235143223603</v>
      </c>
      <c r="AG315" s="7">
        <f t="shared" si="59"/>
        <v>8.4658998970286863</v>
      </c>
    </row>
    <row r="316" spans="1:33" x14ac:dyDescent="0.25">
      <c r="A316" s="4" t="s">
        <v>150</v>
      </c>
      <c r="B316" s="4">
        <v>2021</v>
      </c>
      <c r="C316" s="4" t="s">
        <v>105</v>
      </c>
      <c r="D316" s="5">
        <f t="shared" si="60"/>
        <v>0</v>
      </c>
      <c r="E316" s="4">
        <v>5.6</v>
      </c>
      <c r="F316" s="4">
        <v>13.6</v>
      </c>
      <c r="G316" s="4">
        <v>3.23</v>
      </c>
      <c r="H316" s="4">
        <v>3.98</v>
      </c>
      <c r="I316" s="4"/>
      <c r="J316" s="4">
        <v>1909</v>
      </c>
      <c r="K316" s="4">
        <v>51</v>
      </c>
      <c r="L316" s="4">
        <v>3.7120000000000002</v>
      </c>
      <c r="M316" s="4">
        <v>24.82</v>
      </c>
      <c r="N316" s="4">
        <v>18.3</v>
      </c>
      <c r="O316" s="4">
        <v>23.1</v>
      </c>
      <c r="P316" s="4">
        <v>18797.3</v>
      </c>
      <c r="Q316" s="6">
        <f t="shared" si="61"/>
        <v>9.8466736511262436</v>
      </c>
      <c r="R316" s="4">
        <v>8</v>
      </c>
      <c r="S316" s="4">
        <v>3</v>
      </c>
      <c r="T316" s="6">
        <f t="shared" si="62"/>
        <v>0.57621791513881615</v>
      </c>
      <c r="U316" s="4">
        <v>333.1</v>
      </c>
      <c r="V316" s="7">
        <f t="shared" si="63"/>
        <v>1.7227665977411035</v>
      </c>
      <c r="W316" s="7">
        <f t="shared" si="64"/>
        <v>3.9318256327243257</v>
      </c>
      <c r="X316" s="7">
        <f t="shared" si="65"/>
        <v>2.2871336977571044</v>
      </c>
      <c r="Y316" s="7">
        <f t="shared" si="66"/>
        <v>5.8114403493627105</v>
      </c>
      <c r="Z316" s="7">
        <f t="shared" si="52"/>
        <v>3.8308129500026027</v>
      </c>
      <c r="AA316" s="7">
        <f t="shared" si="53"/>
        <v>3.5859999999999999</v>
      </c>
      <c r="AB316" s="7">
        <f t="shared" si="54"/>
        <v>24.72</v>
      </c>
      <c r="AC316" s="7">
        <f t="shared" si="55"/>
        <v>17.2</v>
      </c>
      <c r="AD316" s="7">
        <f t="shared" si="56"/>
        <v>23.2</v>
      </c>
      <c r="AE316" s="7">
        <f t="shared" si="57"/>
        <v>2.25137268546117</v>
      </c>
      <c r="AF316" s="7">
        <f t="shared" si="58"/>
        <v>0.52996979172187186</v>
      </c>
      <c r="AG316" s="7">
        <f t="shared" si="59"/>
        <v>5.0807830539983376</v>
      </c>
    </row>
    <row r="317" spans="1:33" x14ac:dyDescent="0.25">
      <c r="A317" s="4" t="s">
        <v>151</v>
      </c>
      <c r="B317" s="4">
        <v>2021</v>
      </c>
      <c r="C317" s="4" t="s">
        <v>105</v>
      </c>
      <c r="D317" s="5">
        <f t="shared" si="60"/>
        <v>0</v>
      </c>
      <c r="E317" s="4">
        <v>4.67</v>
      </c>
      <c r="F317" s="4">
        <v>11.42</v>
      </c>
      <c r="G317" s="4">
        <v>2.98</v>
      </c>
      <c r="H317" s="4">
        <v>2.98</v>
      </c>
      <c r="I317" s="4"/>
      <c r="J317" s="4">
        <v>664.4</v>
      </c>
      <c r="K317" s="4">
        <v>53.2</v>
      </c>
      <c r="L317" s="4">
        <v>3.5539999999999998</v>
      </c>
      <c r="M317" s="4">
        <v>16.260000000000002</v>
      </c>
      <c r="N317" s="4">
        <v>15.4</v>
      </c>
      <c r="O317" s="4">
        <v>23.2</v>
      </c>
      <c r="P317" s="4">
        <v>1452</v>
      </c>
      <c r="Q317" s="6">
        <f t="shared" si="61"/>
        <v>2.185430463576159</v>
      </c>
      <c r="R317" s="4">
        <v>2</v>
      </c>
      <c r="S317" s="4">
        <v>1</v>
      </c>
      <c r="T317" s="6">
        <f t="shared" si="62"/>
        <v>0.45153521974714034</v>
      </c>
      <c r="U317" s="4">
        <v>468.7</v>
      </c>
      <c r="V317" s="7">
        <f t="shared" si="63"/>
        <v>1.5411590716808059</v>
      </c>
      <c r="W317" s="7">
        <f t="shared" si="64"/>
        <v>3.9740583963475986</v>
      </c>
      <c r="X317" s="7">
        <f t="shared" si="65"/>
        <v>0.78181281764560162</v>
      </c>
      <c r="Y317" s="7">
        <f t="shared" si="66"/>
        <v>6.1520941930329496</v>
      </c>
      <c r="Z317" s="7">
        <f t="shared" si="52"/>
        <v>3.8732821771117156</v>
      </c>
      <c r="AA317" s="7">
        <f t="shared" si="53"/>
        <v>3.4820000000000002</v>
      </c>
      <c r="AB317" s="7">
        <f t="shared" si="54"/>
        <v>15.28</v>
      </c>
      <c r="AC317" s="7">
        <f t="shared" si="55"/>
        <v>14.3</v>
      </c>
      <c r="AD317" s="7">
        <f t="shared" si="56"/>
        <v>25.3</v>
      </c>
      <c r="AE317" s="7">
        <f t="shared" si="57"/>
        <v>1.0246128398138439</v>
      </c>
      <c r="AF317" s="7">
        <f t="shared" si="58"/>
        <v>0.47029314939645711</v>
      </c>
      <c r="AG317" s="7">
        <f t="shared" si="59"/>
        <v>5.5138318906977553</v>
      </c>
    </row>
    <row r="318" spans="1:33" x14ac:dyDescent="0.25">
      <c r="A318" s="4" t="s">
        <v>152</v>
      </c>
      <c r="B318" s="4">
        <v>2021</v>
      </c>
      <c r="C318" s="4" t="s">
        <v>88</v>
      </c>
      <c r="D318" s="5">
        <f t="shared" si="60"/>
        <v>1</v>
      </c>
      <c r="E318" s="4">
        <v>11.14</v>
      </c>
      <c r="F318" s="4">
        <v>16.510000000000002</v>
      </c>
      <c r="G318" s="4">
        <v>10.69</v>
      </c>
      <c r="H318" s="4">
        <v>8.92</v>
      </c>
      <c r="I318" s="4"/>
      <c r="J318" s="4">
        <v>3169.1</v>
      </c>
      <c r="K318" s="4">
        <v>119.1</v>
      </c>
      <c r="L318" s="4">
        <v>7.9059999999999997</v>
      </c>
      <c r="M318" s="4">
        <v>44.76</v>
      </c>
      <c r="N318" s="4">
        <v>21.9</v>
      </c>
      <c r="O318" s="4">
        <v>27.7</v>
      </c>
      <c r="P318" s="4">
        <v>40277</v>
      </c>
      <c r="Q318" s="6">
        <f t="shared" si="61"/>
        <v>12.70928654823136</v>
      </c>
      <c r="R318" s="4">
        <v>12</v>
      </c>
      <c r="S318" s="4">
        <v>6</v>
      </c>
      <c r="T318" s="6">
        <f t="shared" si="62"/>
        <v>0.56798460130636463</v>
      </c>
      <c r="U318" s="4">
        <v>10728.4</v>
      </c>
      <c r="V318" s="7">
        <f t="shared" si="63"/>
        <v>2.4105422344991378</v>
      </c>
      <c r="W318" s="7">
        <f t="shared" si="64"/>
        <v>4.779963476361254</v>
      </c>
      <c r="X318" s="7">
        <f t="shared" si="65"/>
        <v>2.5423329505205192</v>
      </c>
      <c r="Y318" s="7">
        <f t="shared" si="66"/>
        <v>9.2807429160743222</v>
      </c>
      <c r="Z318" s="7">
        <f t="shared" si="52"/>
        <v>4.7458013157278369</v>
      </c>
      <c r="AA318" s="7">
        <f t="shared" si="53"/>
        <v>7.6379999999999999</v>
      </c>
      <c r="AB318" s="7">
        <f t="shared" si="54"/>
        <v>44.27</v>
      </c>
      <c r="AC318" s="7">
        <f t="shared" si="55"/>
        <v>22.5</v>
      </c>
      <c r="AD318" s="7">
        <f t="shared" si="56"/>
        <v>25.5</v>
      </c>
      <c r="AE318" s="7">
        <f t="shared" si="57"/>
        <v>2.6366918656208997</v>
      </c>
      <c r="AF318" s="7">
        <f t="shared" si="58"/>
        <v>0.59797318562346569</v>
      </c>
      <c r="AG318" s="7">
        <f t="shared" si="59"/>
        <v>9.2098302418819493</v>
      </c>
    </row>
    <row r="319" spans="1:33" x14ac:dyDescent="0.25">
      <c r="A319" s="4" t="s">
        <v>153</v>
      </c>
      <c r="B319" s="4">
        <v>2021</v>
      </c>
      <c r="C319" s="4" t="s">
        <v>86</v>
      </c>
      <c r="D319" s="5">
        <f t="shared" si="60"/>
        <v>0</v>
      </c>
      <c r="E319" s="4">
        <v>5.58</v>
      </c>
      <c r="F319" s="4">
        <v>12.5</v>
      </c>
      <c r="G319" s="4">
        <v>3.8</v>
      </c>
      <c r="H319" s="4">
        <v>3.9</v>
      </c>
      <c r="I319" s="4"/>
      <c r="J319" s="4">
        <v>1601.3</v>
      </c>
      <c r="K319" s="4">
        <v>54.4</v>
      </c>
      <c r="L319" s="4">
        <v>2.3210000000000002</v>
      </c>
      <c r="M319" s="4">
        <v>20.18</v>
      </c>
      <c r="N319" s="4">
        <v>14.3</v>
      </c>
      <c r="O319" s="4">
        <v>16.3</v>
      </c>
      <c r="P319" s="4">
        <v>2817</v>
      </c>
      <c r="Q319" s="6">
        <f t="shared" si="61"/>
        <v>1.7591956535315056</v>
      </c>
      <c r="R319" s="4">
        <v>9</v>
      </c>
      <c r="S319" s="4">
        <v>1</v>
      </c>
      <c r="T319" s="6">
        <f t="shared" si="62"/>
        <v>0.62449259976269278</v>
      </c>
      <c r="U319" s="4">
        <v>145.4</v>
      </c>
      <c r="V319" s="7">
        <f t="shared" si="63"/>
        <v>1.7191887763932197</v>
      </c>
      <c r="W319" s="7">
        <f t="shared" si="64"/>
        <v>3.9963641538618968</v>
      </c>
      <c r="X319" s="7">
        <f t="shared" si="65"/>
        <v>0.56485668954794155</v>
      </c>
      <c r="Y319" s="7">
        <f t="shared" si="66"/>
        <v>4.9863426015272116</v>
      </c>
      <c r="Z319" s="7">
        <f t="shared" si="52"/>
        <v>3.9778107459661491</v>
      </c>
      <c r="AA319" s="7">
        <f t="shared" si="53"/>
        <v>2.2570000000000001</v>
      </c>
      <c r="AB319" s="7">
        <f t="shared" si="54"/>
        <v>19.13</v>
      </c>
      <c r="AC319" s="7">
        <f t="shared" si="55"/>
        <v>15</v>
      </c>
      <c r="AD319" s="7">
        <f t="shared" si="56"/>
        <v>18.3</v>
      </c>
      <c r="AE319" s="7">
        <f t="shared" si="57"/>
        <v>0.47662230242449244</v>
      </c>
      <c r="AF319" s="7">
        <f t="shared" si="58"/>
        <v>0.625</v>
      </c>
      <c r="AG319" s="7">
        <f t="shared" si="59"/>
        <v>4.6876714074998347</v>
      </c>
    </row>
    <row r="320" spans="1:33" x14ac:dyDescent="0.25">
      <c r="A320" s="4" t="s">
        <v>85</v>
      </c>
      <c r="B320" s="4">
        <v>2022</v>
      </c>
      <c r="C320" s="4" t="s">
        <v>86</v>
      </c>
      <c r="D320" s="5">
        <f t="shared" si="60"/>
        <v>0</v>
      </c>
      <c r="E320" s="4">
        <v>17</v>
      </c>
      <c r="F320" s="4">
        <v>12.7</v>
      </c>
      <c r="G320" s="4">
        <v>23</v>
      </c>
      <c r="H320" s="4">
        <v>13.1</v>
      </c>
      <c r="I320" s="4"/>
      <c r="J320" s="4">
        <v>1905.5</v>
      </c>
      <c r="K320" s="4">
        <v>52.7</v>
      </c>
      <c r="L320" s="4">
        <v>2.6539999999999999</v>
      </c>
      <c r="M320" s="4">
        <v>33.840000000000003</v>
      </c>
      <c r="N320" s="4">
        <v>14.5</v>
      </c>
      <c r="O320" s="4">
        <v>19.3</v>
      </c>
      <c r="P320" s="4">
        <v>10079.700000000001</v>
      </c>
      <c r="Q320" s="6">
        <f t="shared" si="61"/>
        <v>5.2897927053266862</v>
      </c>
      <c r="R320" s="4">
        <v>7</v>
      </c>
      <c r="S320" s="4">
        <v>2</v>
      </c>
      <c r="T320" s="6">
        <f t="shared" si="62"/>
        <v>0.47231697717134608</v>
      </c>
      <c r="U320" s="4">
        <v>166.5</v>
      </c>
      <c r="V320" s="7">
        <f t="shared" si="63"/>
        <v>2.8332133440562162</v>
      </c>
      <c r="W320" s="7">
        <f t="shared" si="64"/>
        <v>3.9646154555473165</v>
      </c>
      <c r="X320" s="7">
        <f t="shared" si="65"/>
        <v>1.6657790589637886</v>
      </c>
      <c r="Y320" s="7">
        <f t="shared" si="66"/>
        <v>5.1209833512651208</v>
      </c>
      <c r="Z320" s="7">
        <f t="shared" ref="Z320:Z383" si="67">IF(B320=2017,"",W257)</f>
        <v>3.8649313978942956</v>
      </c>
      <c r="AA320" s="7">
        <f t="shared" ref="AA320:AA383" si="68">IF(B320=2017,"",L257)</f>
        <v>2.5430000000000001</v>
      </c>
      <c r="AB320" s="7">
        <f t="shared" ref="AB320:AB383" si="69">IF(B320=2017,"",M257)</f>
        <v>33.83</v>
      </c>
      <c r="AC320" s="7">
        <f t="shared" ref="AC320:AC383" si="70">IF(B320=2017,"",N257)</f>
        <v>13.4</v>
      </c>
      <c r="AD320" s="7">
        <f t="shared" ref="AD320:AD383" si="71">IF(B320=2017,"",O257)</f>
        <v>20.399999999999999</v>
      </c>
      <c r="AE320" s="7">
        <f t="shared" ref="AE320:AE383" si="72">IF(B320=2017,"",X257)</f>
        <v>1.4629474402226359</v>
      </c>
      <c r="AF320" s="7">
        <f t="shared" ref="AF320:AF383" si="73">IF(B320=2017,"",T257)</f>
        <v>0.47132757266300079</v>
      </c>
      <c r="AG320" s="7">
        <f t="shared" ref="AG320:AG383" si="74">IF(B320=2017,"",Y257)</f>
        <v>5.0388987593691148</v>
      </c>
    </row>
    <row r="321" spans="1:33" x14ac:dyDescent="0.25">
      <c r="A321" s="4" t="s">
        <v>87</v>
      </c>
      <c r="B321" s="4">
        <v>2022</v>
      </c>
      <c r="C321" s="4" t="s">
        <v>88</v>
      </c>
      <c r="D321" s="5">
        <f t="shared" si="60"/>
        <v>1</v>
      </c>
      <c r="E321" s="4">
        <v>25.3</v>
      </c>
      <c r="F321" s="4">
        <v>30.2</v>
      </c>
      <c r="G321" s="4">
        <v>25.2</v>
      </c>
      <c r="H321" s="4">
        <v>23.1</v>
      </c>
      <c r="I321" s="4"/>
      <c r="J321" s="4">
        <v>1178.7</v>
      </c>
      <c r="K321" s="4">
        <v>372.1</v>
      </c>
      <c r="L321" s="4">
        <v>10.125</v>
      </c>
      <c r="M321" s="4">
        <v>60.4</v>
      </c>
      <c r="N321" s="4">
        <v>28</v>
      </c>
      <c r="O321" s="4">
        <v>29.1</v>
      </c>
      <c r="P321" s="4">
        <v>9647.6</v>
      </c>
      <c r="Q321" s="6">
        <f t="shared" si="61"/>
        <v>8.1849495206583516</v>
      </c>
      <c r="R321" s="4">
        <v>13</v>
      </c>
      <c r="S321" s="4">
        <v>5</v>
      </c>
      <c r="T321" s="6">
        <f t="shared" si="62"/>
        <v>1.5271061338763043</v>
      </c>
      <c r="U321" s="4">
        <v>28254.9</v>
      </c>
      <c r="V321" s="7">
        <f t="shared" si="63"/>
        <v>3.2308043957334744</v>
      </c>
      <c r="W321" s="7">
        <f t="shared" si="64"/>
        <v>5.9191626353525768</v>
      </c>
      <c r="X321" s="7">
        <f t="shared" si="65"/>
        <v>2.1022970435051618</v>
      </c>
      <c r="Y321" s="7">
        <f t="shared" si="66"/>
        <v>10.249057564326076</v>
      </c>
      <c r="Z321" s="7">
        <f t="shared" si="67"/>
        <v>5.6957503029589365</v>
      </c>
      <c r="AA321" s="7">
        <f t="shared" si="68"/>
        <v>9.6869999999999994</v>
      </c>
      <c r="AB321" s="7">
        <f t="shared" si="69"/>
        <v>58.4</v>
      </c>
      <c r="AC321" s="7">
        <f t="shared" si="70"/>
        <v>29.9</v>
      </c>
      <c r="AD321" s="7">
        <f t="shared" si="71"/>
        <v>28.5</v>
      </c>
      <c r="AE321" s="7">
        <f t="shared" si="72"/>
        <v>1.9398671720527669</v>
      </c>
      <c r="AF321" s="7">
        <f t="shared" si="73"/>
        <v>1.1903749681149565</v>
      </c>
      <c r="AG321" s="7">
        <f t="shared" si="74"/>
        <v>10.242531479525159</v>
      </c>
    </row>
    <row r="322" spans="1:33" x14ac:dyDescent="0.25">
      <c r="A322" s="4" t="s">
        <v>89</v>
      </c>
      <c r="B322" s="4">
        <v>2022</v>
      </c>
      <c r="C322" s="4" t="s">
        <v>88</v>
      </c>
      <c r="D322" s="5">
        <f t="shared" si="60"/>
        <v>1</v>
      </c>
      <c r="E322" s="4">
        <v>36.4</v>
      </c>
      <c r="F322" s="4">
        <v>32</v>
      </c>
      <c r="G322" s="4">
        <v>38</v>
      </c>
      <c r="H322" s="4">
        <v>37</v>
      </c>
      <c r="I322" s="4"/>
      <c r="J322" s="4">
        <v>2763.1</v>
      </c>
      <c r="K322" s="4">
        <v>163.5</v>
      </c>
      <c r="L322" s="4">
        <v>14.743</v>
      </c>
      <c r="M322" s="4">
        <v>84.23</v>
      </c>
      <c r="N322" s="4">
        <v>21.1</v>
      </c>
      <c r="O322" s="4">
        <v>22</v>
      </c>
      <c r="P322" s="4">
        <v>70760.5</v>
      </c>
      <c r="Q322" s="6">
        <f t="shared" si="61"/>
        <v>25.609098476349029</v>
      </c>
      <c r="R322" s="4">
        <v>12</v>
      </c>
      <c r="S322" s="4">
        <v>5</v>
      </c>
      <c r="T322" s="6">
        <f t="shared" si="62"/>
        <v>0.61525098621113972</v>
      </c>
      <c r="U322" s="4">
        <v>14342.5</v>
      </c>
      <c r="V322" s="7">
        <f t="shared" si="63"/>
        <v>3.5945687746426951</v>
      </c>
      <c r="W322" s="7">
        <f t="shared" si="64"/>
        <v>5.0968129903373081</v>
      </c>
      <c r="X322" s="7">
        <f t="shared" si="65"/>
        <v>3.242947697575</v>
      </c>
      <c r="Y322" s="7">
        <f t="shared" si="66"/>
        <v>9.5710521568971654</v>
      </c>
      <c r="Z322" s="7">
        <f t="shared" si="67"/>
        <v>5.0587903359833026</v>
      </c>
      <c r="AA322" s="7">
        <f t="shared" si="68"/>
        <v>14.506</v>
      </c>
      <c r="AB322" s="7">
        <f t="shared" si="69"/>
        <v>84.32</v>
      </c>
      <c r="AC322" s="7">
        <f t="shared" si="70"/>
        <v>21</v>
      </c>
      <c r="AD322" s="7">
        <f t="shared" si="71"/>
        <v>20.3</v>
      </c>
      <c r="AE322" s="7">
        <f t="shared" si="72"/>
        <v>3.1894784236488696</v>
      </c>
      <c r="AF322" s="7">
        <f t="shared" si="73"/>
        <v>0.65465187923598278</v>
      </c>
      <c r="AG322" s="7">
        <f t="shared" si="74"/>
        <v>9.5856280198467356</v>
      </c>
    </row>
    <row r="323" spans="1:33" x14ac:dyDescent="0.25">
      <c r="A323" s="4" t="s">
        <v>90</v>
      </c>
      <c r="B323" s="4">
        <v>2022</v>
      </c>
      <c r="C323" s="4" t="s">
        <v>88</v>
      </c>
      <c r="D323" s="5">
        <f t="shared" si="60"/>
        <v>1</v>
      </c>
      <c r="E323" s="4">
        <v>13.2</v>
      </c>
      <c r="F323" s="4">
        <v>15.9</v>
      </c>
      <c r="G323" s="4">
        <v>13</v>
      </c>
      <c r="H323" s="4">
        <v>12</v>
      </c>
      <c r="I323" s="4"/>
      <c r="J323" s="4">
        <v>1034.7</v>
      </c>
      <c r="K323" s="4">
        <v>87.4</v>
      </c>
      <c r="L323" s="4">
        <v>6.3929999999999998</v>
      </c>
      <c r="M323" s="4">
        <v>29.38</v>
      </c>
      <c r="N323" s="4">
        <v>20.100000000000001</v>
      </c>
      <c r="O323" s="4">
        <v>25.7</v>
      </c>
      <c r="P323" s="4">
        <v>2720.6</v>
      </c>
      <c r="Q323" s="6">
        <f t="shared" si="61"/>
        <v>2.6293611674881605</v>
      </c>
      <c r="R323" s="4">
        <v>6</v>
      </c>
      <c r="S323" s="4">
        <v>3</v>
      </c>
      <c r="T323" s="6">
        <f t="shared" si="62"/>
        <v>0.8698173383589447</v>
      </c>
      <c r="U323" s="4">
        <v>3857.2</v>
      </c>
      <c r="V323" s="7">
        <f t="shared" si="63"/>
        <v>2.5802168295923251</v>
      </c>
      <c r="W323" s="7">
        <f t="shared" si="64"/>
        <v>4.4704952826614894</v>
      </c>
      <c r="X323" s="7">
        <f t="shared" si="65"/>
        <v>0.96674091458842459</v>
      </c>
      <c r="Y323" s="7">
        <f t="shared" si="66"/>
        <v>8.2579560324537891</v>
      </c>
      <c r="Z323" s="7">
        <f t="shared" si="67"/>
        <v>4.3320482648676402</v>
      </c>
      <c r="AA323" s="7">
        <f t="shared" si="68"/>
        <v>6.069</v>
      </c>
      <c r="AB323" s="7">
        <f t="shared" si="69"/>
        <v>24.16</v>
      </c>
      <c r="AC323" s="7">
        <f t="shared" si="70"/>
        <v>19.2</v>
      </c>
      <c r="AD323" s="7">
        <f t="shared" si="71"/>
        <v>19.7</v>
      </c>
      <c r="AE323" s="7">
        <f t="shared" si="72"/>
        <v>0.91400363148611896</v>
      </c>
      <c r="AF323" s="7">
        <f t="shared" si="73"/>
        <v>0.87864883334960475</v>
      </c>
      <c r="AG323" s="7">
        <f t="shared" si="74"/>
        <v>8.2010842092241667</v>
      </c>
    </row>
    <row r="324" spans="1:33" x14ac:dyDescent="0.25">
      <c r="A324" s="4" t="s">
        <v>91</v>
      </c>
      <c r="B324" s="4">
        <v>2022</v>
      </c>
      <c r="C324" s="4" t="s">
        <v>92</v>
      </c>
      <c r="D324" s="5">
        <f t="shared" si="60"/>
        <v>0</v>
      </c>
      <c r="E324" s="4">
        <v>15.3</v>
      </c>
      <c r="F324" s="4">
        <v>15.5</v>
      </c>
      <c r="G324" s="4">
        <v>18</v>
      </c>
      <c r="H324" s="4">
        <v>12.6</v>
      </c>
      <c r="I324" s="4"/>
      <c r="J324" s="4">
        <v>1252.0999999999999</v>
      </c>
      <c r="K324" s="4">
        <v>81</v>
      </c>
      <c r="L324" s="4">
        <v>4.6399999999999997</v>
      </c>
      <c r="M324" s="4">
        <v>38.6</v>
      </c>
      <c r="N324" s="4">
        <v>18.5</v>
      </c>
      <c r="O324" s="4">
        <v>17.7</v>
      </c>
      <c r="P324" s="4">
        <v>5374.6</v>
      </c>
      <c r="Q324" s="6">
        <f t="shared" si="61"/>
        <v>4.2924686526635263</v>
      </c>
      <c r="R324" s="4">
        <v>3</v>
      </c>
      <c r="S324" s="4">
        <v>1</v>
      </c>
      <c r="T324" s="6">
        <f t="shared" si="62"/>
        <v>0.31946330165322262</v>
      </c>
      <c r="U324" s="4">
        <v>3065.9</v>
      </c>
      <c r="V324" s="7">
        <f t="shared" si="63"/>
        <v>2.7278528283983898</v>
      </c>
      <c r="W324" s="7">
        <f t="shared" si="64"/>
        <v>4.3944491546724391</v>
      </c>
      <c r="X324" s="7">
        <f t="shared" si="65"/>
        <v>1.4568620109471089</v>
      </c>
      <c r="Y324" s="7">
        <f t="shared" si="66"/>
        <v>8.0284225584310782</v>
      </c>
      <c r="Z324" s="7">
        <f t="shared" si="67"/>
        <v>4.2959239356204701</v>
      </c>
      <c r="AA324" s="7">
        <f t="shared" si="68"/>
        <v>4.3860000000000001</v>
      </c>
      <c r="AB324" s="7">
        <f t="shared" si="69"/>
        <v>38.5</v>
      </c>
      <c r="AC324" s="7">
        <f t="shared" si="70"/>
        <v>18.3</v>
      </c>
      <c r="AD324" s="7">
        <f t="shared" si="71"/>
        <v>21.9</v>
      </c>
      <c r="AE324" s="7">
        <f t="shared" si="72"/>
        <v>1.3082655913743744</v>
      </c>
      <c r="AF324" s="7">
        <f t="shared" si="73"/>
        <v>0.32095001203562545</v>
      </c>
      <c r="AG324" s="7">
        <f t="shared" si="74"/>
        <v>8.0287485674318138</v>
      </c>
    </row>
    <row r="325" spans="1:33" x14ac:dyDescent="0.25">
      <c r="A325" s="4" t="s">
        <v>93</v>
      </c>
      <c r="B325" s="4">
        <v>2022</v>
      </c>
      <c r="C325" s="4" t="s">
        <v>92</v>
      </c>
      <c r="D325" s="5">
        <f t="shared" ref="D325:D388" si="75">IF(OR(C325="ĐNB",C325="ĐBSH"),1,0)</f>
        <v>0</v>
      </c>
      <c r="E325" s="4">
        <v>19.100000000000001</v>
      </c>
      <c r="F325" s="4">
        <v>20.8</v>
      </c>
      <c r="G325" s="4">
        <v>20.5</v>
      </c>
      <c r="H325" s="4">
        <v>16.899999999999999</v>
      </c>
      <c r="I325" s="4"/>
      <c r="J325" s="4">
        <v>1504.3</v>
      </c>
      <c r="K325" s="4">
        <v>71.7</v>
      </c>
      <c r="L325" s="4">
        <v>5.149</v>
      </c>
      <c r="M325" s="4">
        <v>41.19</v>
      </c>
      <c r="N325" s="4">
        <v>25</v>
      </c>
      <c r="O325" s="4">
        <v>22.8</v>
      </c>
      <c r="P325" s="4">
        <v>30808.1</v>
      </c>
      <c r="Q325" s="6">
        <f t="shared" ref="Q325:Q388" si="76">IF(P325="","",P325/J325)</f>
        <v>20.480023931396662</v>
      </c>
      <c r="R325" s="4">
        <v>8</v>
      </c>
      <c r="S325" s="4">
        <v>4</v>
      </c>
      <c r="T325" s="6">
        <f t="shared" ref="T325:T388" si="77">(R325+S325)/J325*100</f>
        <v>0.79771322209665629</v>
      </c>
      <c r="U325" s="4">
        <v>801.4</v>
      </c>
      <c r="V325" s="7">
        <f t="shared" ref="V325:V388" si="78">IF(E325="","",LN(E325))</f>
        <v>2.9496883350525844</v>
      </c>
      <c r="W325" s="7">
        <f t="shared" ref="W325:W388" si="79">IF(K325="","",LN(K325))</f>
        <v>4.2724907476055751</v>
      </c>
      <c r="X325" s="7">
        <f t="shared" ref="X325:X388" si="80">IF(Q325="","",LN(Q325))</f>
        <v>3.0194499686958518</v>
      </c>
      <c r="Y325" s="7">
        <f t="shared" ref="Y325:Y388" si="81">LN(1+U325)</f>
        <v>6.6876072366477262</v>
      </c>
      <c r="Z325" s="7">
        <f t="shared" si="67"/>
        <v>4.1541845625781173</v>
      </c>
      <c r="AA325" s="7">
        <f t="shared" si="68"/>
        <v>4.6790000000000003</v>
      </c>
      <c r="AB325" s="7">
        <f t="shared" si="69"/>
        <v>41.16</v>
      </c>
      <c r="AC325" s="7">
        <f t="shared" si="70"/>
        <v>25</v>
      </c>
      <c r="AD325" s="7">
        <f t="shared" si="71"/>
        <v>26.1</v>
      </c>
      <c r="AE325" s="7">
        <f t="shared" si="72"/>
        <v>2.8253474112841697</v>
      </c>
      <c r="AF325" s="7">
        <f t="shared" si="73"/>
        <v>0.79559769276669101</v>
      </c>
      <c r="AG325" s="7">
        <f t="shared" si="74"/>
        <v>6.6705128032884256</v>
      </c>
    </row>
    <row r="326" spans="1:33" x14ac:dyDescent="0.25">
      <c r="A326" s="4" t="s">
        <v>94</v>
      </c>
      <c r="B326" s="4">
        <v>2022</v>
      </c>
      <c r="C326" s="4" t="s">
        <v>86</v>
      </c>
      <c r="D326" s="5">
        <f t="shared" si="75"/>
        <v>0</v>
      </c>
      <c r="E326" s="4"/>
      <c r="F326" s="4"/>
      <c r="G326" s="4"/>
      <c r="H326" s="4"/>
      <c r="I326" s="4"/>
      <c r="J326" s="4">
        <v>921.8</v>
      </c>
      <c r="K326" s="4">
        <v>59.3</v>
      </c>
      <c r="L326" s="4">
        <v>2.367</v>
      </c>
      <c r="M326" s="4">
        <v>27.76</v>
      </c>
      <c r="N326" s="4">
        <v>12.2</v>
      </c>
      <c r="O326" s="4">
        <v>12.6</v>
      </c>
      <c r="P326" s="4">
        <v>3068.3</v>
      </c>
      <c r="Q326" s="6">
        <f t="shared" si="76"/>
        <v>3.3285962247776095</v>
      </c>
      <c r="R326" s="4">
        <v>7</v>
      </c>
      <c r="S326" s="4">
        <v>5</v>
      </c>
      <c r="T326" s="6">
        <f t="shared" si="77"/>
        <v>1.3018008244738555</v>
      </c>
      <c r="U326" s="4">
        <v>4877.3999999999996</v>
      </c>
      <c r="V326" s="7" t="str">
        <f t="shared" si="78"/>
        <v/>
      </c>
      <c r="W326" s="7">
        <f t="shared" si="79"/>
        <v>4.0826093060036799</v>
      </c>
      <c r="X326" s="7">
        <f t="shared" si="80"/>
        <v>1.2025506609925971</v>
      </c>
      <c r="Y326" s="7">
        <f t="shared" si="81"/>
        <v>8.4925725762339894</v>
      </c>
      <c r="Z326" s="7">
        <f t="shared" si="67"/>
        <v>3.9396381724611196</v>
      </c>
      <c r="AA326" s="7">
        <f t="shared" si="68"/>
        <v>2.3889999999999998</v>
      </c>
      <c r="AB326" s="7">
        <f t="shared" si="69"/>
        <v>27.75</v>
      </c>
      <c r="AC326" s="7">
        <f t="shared" si="70"/>
        <v>10.7</v>
      </c>
      <c r="AD326" s="7">
        <f t="shared" si="71"/>
        <v>15.2</v>
      </c>
      <c r="AE326" s="7">
        <f t="shared" si="72"/>
        <v>1.1405441732926158</v>
      </c>
      <c r="AF326" s="7">
        <f t="shared" si="73"/>
        <v>1.1976047904191618</v>
      </c>
      <c r="AG326" s="7">
        <f t="shared" si="74"/>
        <v>8.508313886809642</v>
      </c>
    </row>
    <row r="327" spans="1:33" x14ac:dyDescent="0.25">
      <c r="A327" s="4" t="s">
        <v>95</v>
      </c>
      <c r="B327" s="4">
        <v>2022</v>
      </c>
      <c r="C327" s="4" t="s">
        <v>96</v>
      </c>
      <c r="D327" s="5">
        <f t="shared" si="75"/>
        <v>0</v>
      </c>
      <c r="E327" s="4">
        <v>17.2</v>
      </c>
      <c r="F327" s="4">
        <v>15.2</v>
      </c>
      <c r="G327" s="4">
        <v>21.5</v>
      </c>
      <c r="H327" s="4">
        <v>13.9</v>
      </c>
      <c r="I327" s="4"/>
      <c r="J327" s="4">
        <v>1890.9</v>
      </c>
      <c r="K327" s="4">
        <v>84.3</v>
      </c>
      <c r="L327" s="4">
        <v>4.1779999999999999</v>
      </c>
      <c r="M327" s="4">
        <v>19.579999999999998</v>
      </c>
      <c r="N327" s="4">
        <v>32</v>
      </c>
      <c r="O327" s="4">
        <v>19.8</v>
      </c>
      <c r="P327" s="4">
        <v>31969.4</v>
      </c>
      <c r="Q327" s="6">
        <f t="shared" si="76"/>
        <v>16.906975514305358</v>
      </c>
      <c r="R327" s="4">
        <v>4</v>
      </c>
      <c r="S327" s="4">
        <v>5</v>
      </c>
      <c r="T327" s="6">
        <f t="shared" si="77"/>
        <v>0.47596382674916704</v>
      </c>
      <c r="U327" s="4">
        <v>4975.3999999999996</v>
      </c>
      <c r="V327" s="7">
        <f t="shared" si="78"/>
        <v>2.8449093838194073</v>
      </c>
      <c r="W327" s="7">
        <f t="shared" si="79"/>
        <v>4.4343818650078095</v>
      </c>
      <c r="X327" s="7">
        <f t="shared" si="80"/>
        <v>2.8277262890959798</v>
      </c>
      <c r="Y327" s="7">
        <f t="shared" si="81"/>
        <v>8.5124620170403364</v>
      </c>
      <c r="Z327" s="7">
        <f t="shared" si="67"/>
        <v>4.2527717988166192</v>
      </c>
      <c r="AA327" s="7">
        <f t="shared" si="68"/>
        <v>3.7949999999999999</v>
      </c>
      <c r="AB327" s="7">
        <f t="shared" si="69"/>
        <v>18.22</v>
      </c>
      <c r="AC327" s="7">
        <f t="shared" si="70"/>
        <v>26.7</v>
      </c>
      <c r="AD327" s="7">
        <f t="shared" si="71"/>
        <v>20.7</v>
      </c>
      <c r="AE327" s="7">
        <f t="shared" si="72"/>
        <v>2.5595528323543606</v>
      </c>
      <c r="AF327" s="7">
        <f t="shared" si="73"/>
        <v>0.63993174061433444</v>
      </c>
      <c r="AG327" s="7">
        <f t="shared" si="74"/>
        <v>8.4331156882250244</v>
      </c>
    </row>
    <row r="328" spans="1:33" x14ac:dyDescent="0.25">
      <c r="A328" s="4" t="s">
        <v>97</v>
      </c>
      <c r="B328" s="4">
        <v>2022</v>
      </c>
      <c r="C328" s="4" t="s">
        <v>96</v>
      </c>
      <c r="D328" s="5">
        <f t="shared" si="75"/>
        <v>0</v>
      </c>
      <c r="E328" s="4">
        <v>10.9</v>
      </c>
      <c r="F328" s="4">
        <v>11.9</v>
      </c>
      <c r="G328" s="4">
        <v>11.4</v>
      </c>
      <c r="H328" s="4">
        <v>10</v>
      </c>
      <c r="I328" s="4"/>
      <c r="J328" s="4">
        <v>324.39999999999998</v>
      </c>
      <c r="K328" s="4">
        <v>47</v>
      </c>
      <c r="L328" s="4">
        <v>2.1819999999999999</v>
      </c>
      <c r="M328" s="4">
        <v>22.69</v>
      </c>
      <c r="N328" s="4">
        <v>27.6</v>
      </c>
      <c r="O328" s="4">
        <v>17.100000000000001</v>
      </c>
      <c r="P328" s="4">
        <v>2149</v>
      </c>
      <c r="Q328" s="6">
        <f t="shared" si="76"/>
        <v>6.6245376078914928</v>
      </c>
      <c r="R328" s="4">
        <v>2</v>
      </c>
      <c r="S328" s="4">
        <v>1</v>
      </c>
      <c r="T328" s="6">
        <f t="shared" si="77"/>
        <v>0.92478421701602964</v>
      </c>
      <c r="U328" s="4">
        <v>24.4</v>
      </c>
      <c r="V328" s="7">
        <f t="shared" si="78"/>
        <v>2.388762789235098</v>
      </c>
      <c r="W328" s="7">
        <f t="shared" si="79"/>
        <v>3.8501476017100584</v>
      </c>
      <c r="X328" s="7">
        <f t="shared" si="80"/>
        <v>1.8907805744012527</v>
      </c>
      <c r="Y328" s="7">
        <f t="shared" si="81"/>
        <v>3.2347491740244907</v>
      </c>
      <c r="Z328" s="7">
        <f t="shared" si="67"/>
        <v>3.7495040759303713</v>
      </c>
      <c r="AA328" s="7">
        <f t="shared" si="68"/>
        <v>2.0230000000000001</v>
      </c>
      <c r="AB328" s="7">
        <f t="shared" si="69"/>
        <v>22.58</v>
      </c>
      <c r="AC328" s="7">
        <f t="shared" si="70"/>
        <v>27</v>
      </c>
      <c r="AD328" s="7">
        <f t="shared" si="71"/>
        <v>19.3</v>
      </c>
      <c r="AE328" s="7">
        <f t="shared" si="72"/>
        <v>1.3645900193889404</v>
      </c>
      <c r="AF328" s="7">
        <f t="shared" si="73"/>
        <v>0.92678405931417984</v>
      </c>
      <c r="AG328" s="7">
        <f t="shared" si="74"/>
        <v>3.2347491740244907</v>
      </c>
    </row>
    <row r="329" spans="1:33" x14ac:dyDescent="0.25">
      <c r="A329" s="4" t="s">
        <v>98</v>
      </c>
      <c r="B329" s="4">
        <v>2022</v>
      </c>
      <c r="C329" s="4" t="s">
        <v>99</v>
      </c>
      <c r="D329" s="5">
        <f t="shared" si="75"/>
        <v>1</v>
      </c>
      <c r="E329" s="4">
        <v>26.6</v>
      </c>
      <c r="F329" s="4">
        <v>24.3</v>
      </c>
      <c r="G329" s="4">
        <v>31.6</v>
      </c>
      <c r="H329" s="4">
        <v>22.8</v>
      </c>
      <c r="I329" s="4"/>
      <c r="J329" s="4">
        <v>1488.3</v>
      </c>
      <c r="K329" s="4">
        <v>166.7</v>
      </c>
      <c r="L329" s="4">
        <v>10.007</v>
      </c>
      <c r="M329" s="4">
        <v>37.26</v>
      </c>
      <c r="N329" s="4">
        <v>34.4</v>
      </c>
      <c r="O329" s="4">
        <v>30.8</v>
      </c>
      <c r="P329" s="4">
        <v>22502.9</v>
      </c>
      <c r="Q329" s="6">
        <f t="shared" si="76"/>
        <v>15.119868306121079</v>
      </c>
      <c r="R329" s="4">
        <v>25</v>
      </c>
      <c r="S329" s="4">
        <v>3</v>
      </c>
      <c r="T329" s="6">
        <f t="shared" si="77"/>
        <v>1.8813411274608616</v>
      </c>
      <c r="U329" s="4">
        <v>15667.1</v>
      </c>
      <c r="V329" s="7">
        <f t="shared" si="78"/>
        <v>3.2809112157876537</v>
      </c>
      <c r="W329" s="7">
        <f t="shared" si="79"/>
        <v>5.1161957897567483</v>
      </c>
      <c r="X329" s="7">
        <f t="shared" si="80"/>
        <v>2.7160096608008284</v>
      </c>
      <c r="Y329" s="7">
        <f t="shared" si="81"/>
        <v>9.6593820772008918</v>
      </c>
      <c r="Z329" s="7">
        <f t="shared" si="67"/>
        <v>5.0606944939689926</v>
      </c>
      <c r="AA329" s="7">
        <f t="shared" si="68"/>
        <v>9.532</v>
      </c>
      <c r="AB329" s="7">
        <f t="shared" si="69"/>
        <v>36.65</v>
      </c>
      <c r="AC329" s="7">
        <f t="shared" si="70"/>
        <v>33.5</v>
      </c>
      <c r="AD329" s="7">
        <f t="shared" si="71"/>
        <v>28.7</v>
      </c>
      <c r="AE329" s="7">
        <f t="shared" si="72"/>
        <v>2.5245111422255913</v>
      </c>
      <c r="AF329" s="7">
        <f t="shared" si="73"/>
        <v>1.914006425593</v>
      </c>
      <c r="AG329" s="7">
        <f t="shared" si="74"/>
        <v>9.6402574133072587</v>
      </c>
    </row>
    <row r="330" spans="1:33" x14ac:dyDescent="0.25">
      <c r="A330" s="4" t="s">
        <v>100</v>
      </c>
      <c r="B330" s="4">
        <v>2022</v>
      </c>
      <c r="C330" s="4" t="s">
        <v>86</v>
      </c>
      <c r="D330" s="5">
        <f t="shared" si="75"/>
        <v>0</v>
      </c>
      <c r="E330" s="4">
        <v>17.600000000000001</v>
      </c>
      <c r="F330" s="4">
        <v>16</v>
      </c>
      <c r="G330" s="4">
        <v>17</v>
      </c>
      <c r="H330" s="4">
        <v>19</v>
      </c>
      <c r="I330" s="4"/>
      <c r="J330" s="4">
        <v>1298</v>
      </c>
      <c r="K330" s="4">
        <v>48.4</v>
      </c>
      <c r="L330" s="4">
        <v>2.7519999999999998</v>
      </c>
      <c r="M330" s="4">
        <v>10.25</v>
      </c>
      <c r="N330" s="4">
        <v>11.9</v>
      </c>
      <c r="O330" s="4">
        <v>16.399999999999999</v>
      </c>
      <c r="P330" s="4">
        <v>4586.1000000000004</v>
      </c>
      <c r="Q330" s="6">
        <f t="shared" si="76"/>
        <v>3.5332049306625581</v>
      </c>
      <c r="R330" s="4">
        <v>4</v>
      </c>
      <c r="S330" s="4">
        <v>2</v>
      </c>
      <c r="T330" s="6">
        <f t="shared" si="77"/>
        <v>0.46224961479198773</v>
      </c>
      <c r="U330" s="4">
        <v>1221.0999999999999</v>
      </c>
      <c r="V330" s="7">
        <f t="shared" si="78"/>
        <v>2.8678989020441064</v>
      </c>
      <c r="W330" s="7">
        <f t="shared" si="79"/>
        <v>3.8794998137225858</v>
      </c>
      <c r="X330" s="7">
        <f t="shared" si="80"/>
        <v>1.262205371411063</v>
      </c>
      <c r="Y330" s="7">
        <f t="shared" si="81"/>
        <v>7.1083259694439551</v>
      </c>
      <c r="Z330" s="7">
        <f t="shared" si="67"/>
        <v>3.7977338590260183</v>
      </c>
      <c r="AA330" s="7">
        <f t="shared" si="68"/>
        <v>2.68</v>
      </c>
      <c r="AB330" s="7">
        <f t="shared" si="69"/>
        <v>9.9</v>
      </c>
      <c r="AC330" s="7">
        <f t="shared" si="70"/>
        <v>12.9</v>
      </c>
      <c r="AD330" s="7">
        <f t="shared" si="71"/>
        <v>14.6</v>
      </c>
      <c r="AE330" s="7">
        <f t="shared" si="72"/>
        <v>0.9859676841093088</v>
      </c>
      <c r="AF330" s="7">
        <f t="shared" si="73"/>
        <v>0.46307015512850197</v>
      </c>
      <c r="AG330" s="7">
        <f t="shared" si="74"/>
        <v>7.1093891468084642</v>
      </c>
    </row>
    <row r="331" spans="1:33" x14ac:dyDescent="0.25">
      <c r="A331" s="4" t="s">
        <v>101</v>
      </c>
      <c r="B331" s="4">
        <v>2022</v>
      </c>
      <c r="C331" s="4" t="s">
        <v>96</v>
      </c>
      <c r="D331" s="5">
        <f t="shared" si="75"/>
        <v>0</v>
      </c>
      <c r="E331" s="4"/>
      <c r="F331" s="4"/>
      <c r="G331" s="4"/>
      <c r="H331" s="4"/>
      <c r="I331" s="4"/>
      <c r="J331" s="4">
        <v>543.1</v>
      </c>
      <c r="K331" s="4">
        <v>38.700000000000003</v>
      </c>
      <c r="L331" s="4">
        <v>2.25</v>
      </c>
      <c r="M331" s="4">
        <v>25.5</v>
      </c>
      <c r="N331" s="4">
        <v>25.6</v>
      </c>
      <c r="O331" s="4">
        <v>16.8</v>
      </c>
      <c r="P331" s="4">
        <v>1877.3</v>
      </c>
      <c r="Q331" s="6">
        <f t="shared" si="76"/>
        <v>3.4566378199226659</v>
      </c>
      <c r="R331" s="4">
        <v>4</v>
      </c>
      <c r="S331" s="4">
        <v>0</v>
      </c>
      <c r="T331" s="6">
        <f t="shared" si="77"/>
        <v>0.73651261277849378</v>
      </c>
      <c r="U331" s="4">
        <v>39.799999999999997</v>
      </c>
      <c r="V331" s="7" t="str">
        <f t="shared" si="78"/>
        <v/>
      </c>
      <c r="W331" s="7">
        <f t="shared" si="79"/>
        <v>3.655839600035736</v>
      </c>
      <c r="X331" s="7">
        <f t="shared" si="80"/>
        <v>1.2402963882895168</v>
      </c>
      <c r="Y331" s="7">
        <f t="shared" si="81"/>
        <v>3.708682081410116</v>
      </c>
      <c r="Z331" s="7">
        <f t="shared" si="67"/>
        <v>3.5779478934066544</v>
      </c>
      <c r="AA331" s="7">
        <f t="shared" si="68"/>
        <v>2.1800000000000002</v>
      </c>
      <c r="AB331" s="7">
        <f t="shared" si="69"/>
        <v>25.49</v>
      </c>
      <c r="AC331" s="7">
        <f t="shared" si="70"/>
        <v>24.7</v>
      </c>
      <c r="AD331" s="7">
        <f t="shared" si="71"/>
        <v>18.399999999999999</v>
      </c>
      <c r="AE331" s="7">
        <f t="shared" si="72"/>
        <v>1.2010175011037181</v>
      </c>
      <c r="AF331" s="7">
        <f t="shared" si="73"/>
        <v>1.1066027296200664</v>
      </c>
      <c r="AG331" s="7">
        <f t="shared" si="74"/>
        <v>4.220977213155467</v>
      </c>
    </row>
    <row r="332" spans="1:33" x14ac:dyDescent="0.25">
      <c r="A332" s="4" t="s">
        <v>102</v>
      </c>
      <c r="B332" s="4">
        <v>2022</v>
      </c>
      <c r="C332" s="4" t="s">
        <v>86</v>
      </c>
      <c r="D332" s="5">
        <f t="shared" si="75"/>
        <v>0</v>
      </c>
      <c r="E332" s="4">
        <v>12.3</v>
      </c>
      <c r="F332" s="4">
        <v>11</v>
      </c>
      <c r="G332" s="4">
        <v>14</v>
      </c>
      <c r="H332" s="4">
        <v>11.2</v>
      </c>
      <c r="I332" s="4"/>
      <c r="J332" s="4">
        <v>1207.5999999999999</v>
      </c>
      <c r="K332" s="4">
        <v>59.4</v>
      </c>
      <c r="L332" s="4">
        <v>3.1819999999999999</v>
      </c>
      <c r="M332" s="4">
        <v>22.84</v>
      </c>
      <c r="N332" s="4">
        <v>14.3</v>
      </c>
      <c r="O332" s="4">
        <v>16.5</v>
      </c>
      <c r="P332" s="4">
        <v>800.5</v>
      </c>
      <c r="Q332" s="6">
        <f t="shared" si="76"/>
        <v>0.66288506127856917</v>
      </c>
      <c r="R332" s="4">
        <v>5</v>
      </c>
      <c r="S332" s="4">
        <v>2</v>
      </c>
      <c r="T332" s="6">
        <f t="shared" si="77"/>
        <v>0.57966213978138459</v>
      </c>
      <c r="U332" s="4">
        <v>127.1</v>
      </c>
      <c r="V332" s="7">
        <f t="shared" si="78"/>
        <v>2.5095992623783721</v>
      </c>
      <c r="W332" s="7">
        <f t="shared" si="79"/>
        <v>4.0842942263685993</v>
      </c>
      <c r="X332" s="7">
        <f t="shared" si="80"/>
        <v>-0.41115366539591419</v>
      </c>
      <c r="Y332" s="7">
        <f t="shared" si="81"/>
        <v>4.8528112089026889</v>
      </c>
      <c r="Z332" s="7">
        <f t="shared" si="67"/>
        <v>3.9473901492654373</v>
      </c>
      <c r="AA332" s="7">
        <f t="shared" si="68"/>
        <v>3.0270000000000001</v>
      </c>
      <c r="AB332" s="7">
        <f t="shared" si="69"/>
        <v>22.77</v>
      </c>
      <c r="AC332" s="7">
        <f t="shared" si="70"/>
        <v>14.1</v>
      </c>
      <c r="AD332" s="7">
        <f t="shared" si="71"/>
        <v>14.3</v>
      </c>
      <c r="AE332" s="7">
        <f t="shared" si="72"/>
        <v>-0.51757679765672882</v>
      </c>
      <c r="AF332" s="7">
        <f t="shared" si="73"/>
        <v>0.5790866975512905</v>
      </c>
      <c r="AG332" s="7">
        <f t="shared" si="74"/>
        <v>4.8790068516178193</v>
      </c>
    </row>
    <row r="333" spans="1:33" x14ac:dyDescent="0.25">
      <c r="A333" s="4" t="s">
        <v>103</v>
      </c>
      <c r="B333" s="4">
        <v>2022</v>
      </c>
      <c r="C333" s="4" t="s">
        <v>86</v>
      </c>
      <c r="D333" s="5">
        <f t="shared" si="75"/>
        <v>0</v>
      </c>
      <c r="E333" s="4">
        <v>26.8</v>
      </c>
      <c r="F333" s="4">
        <v>25.3</v>
      </c>
      <c r="G333" s="4">
        <v>30</v>
      </c>
      <c r="H333" s="4">
        <v>24.3</v>
      </c>
      <c r="I333" s="4"/>
      <c r="J333" s="4">
        <v>1252.3</v>
      </c>
      <c r="K333" s="4">
        <v>86.7</v>
      </c>
      <c r="L333" s="4">
        <v>8.0329999999999995</v>
      </c>
      <c r="M333" s="4">
        <v>70.5</v>
      </c>
      <c r="N333" s="4">
        <v>22.9</v>
      </c>
      <c r="O333" s="4">
        <v>28.4</v>
      </c>
      <c r="P333" s="4">
        <v>3012</v>
      </c>
      <c r="Q333" s="6">
        <f t="shared" si="76"/>
        <v>2.4051744789587159</v>
      </c>
      <c r="R333" s="4">
        <v>12</v>
      </c>
      <c r="S333" s="4">
        <v>5</v>
      </c>
      <c r="T333" s="6">
        <f t="shared" si="77"/>
        <v>1.3575021959594347</v>
      </c>
      <c r="U333" s="4">
        <v>1809.9</v>
      </c>
      <c r="V333" s="7">
        <f t="shared" si="78"/>
        <v>3.2884018875168111</v>
      </c>
      <c r="W333" s="7">
        <f t="shared" si="79"/>
        <v>4.4624538837864964</v>
      </c>
      <c r="X333" s="7">
        <f t="shared" si="80"/>
        <v>0.87762244934979738</v>
      </c>
      <c r="Y333" s="7">
        <f t="shared" si="81"/>
        <v>7.501579238247297</v>
      </c>
      <c r="Z333" s="7">
        <f t="shared" si="67"/>
        <v>4.3027128279541564</v>
      </c>
      <c r="AA333" s="7">
        <f t="shared" si="68"/>
        <v>7.7160000000000002</v>
      </c>
      <c r="AB333" s="7">
        <f t="shared" si="69"/>
        <v>70.319999999999993</v>
      </c>
      <c r="AC333" s="7">
        <f t="shared" si="70"/>
        <v>24.2</v>
      </c>
      <c r="AD333" s="7">
        <f t="shared" si="71"/>
        <v>27.3</v>
      </c>
      <c r="AE333" s="7">
        <f t="shared" si="72"/>
        <v>0.57766702451953889</v>
      </c>
      <c r="AF333" s="7">
        <f t="shared" si="73"/>
        <v>1.36327185244587</v>
      </c>
      <c r="AG333" s="7">
        <f t="shared" si="74"/>
        <v>7.4068928629529367</v>
      </c>
    </row>
    <row r="334" spans="1:33" x14ac:dyDescent="0.25">
      <c r="A334" s="4" t="s">
        <v>104</v>
      </c>
      <c r="B334" s="4">
        <v>2022</v>
      </c>
      <c r="C334" s="4" t="s">
        <v>105</v>
      </c>
      <c r="D334" s="5">
        <f t="shared" si="75"/>
        <v>0</v>
      </c>
      <c r="E334" s="4">
        <v>13.9</v>
      </c>
      <c r="F334" s="4">
        <v>12</v>
      </c>
      <c r="G334" s="4">
        <v>13.8</v>
      </c>
      <c r="H334" s="4">
        <v>15</v>
      </c>
      <c r="I334" s="4"/>
      <c r="J334" s="4">
        <v>1591</v>
      </c>
      <c r="K334" s="4">
        <v>54.1</v>
      </c>
      <c r="L334" s="4">
        <v>3.2919999999999998</v>
      </c>
      <c r="M334" s="4">
        <v>29.33</v>
      </c>
      <c r="N334" s="4">
        <v>15.3</v>
      </c>
      <c r="O334" s="4">
        <v>17</v>
      </c>
      <c r="P334" s="4">
        <v>18414.8</v>
      </c>
      <c r="Q334" s="6">
        <f t="shared" si="76"/>
        <v>11.574355751099937</v>
      </c>
      <c r="R334" s="4">
        <v>18</v>
      </c>
      <c r="S334" s="4">
        <v>1</v>
      </c>
      <c r="T334" s="6">
        <f t="shared" si="77"/>
        <v>1.1942174732872406</v>
      </c>
      <c r="U334" s="4">
        <v>57.9</v>
      </c>
      <c r="V334" s="7">
        <f t="shared" si="78"/>
        <v>2.631888840136646</v>
      </c>
      <c r="W334" s="7">
        <f t="shared" si="79"/>
        <v>3.9908341858524357</v>
      </c>
      <c r="X334" s="7">
        <f t="shared" si="80"/>
        <v>2.4487919397710241</v>
      </c>
      <c r="Y334" s="7">
        <f t="shared" si="81"/>
        <v>4.0758410906575406</v>
      </c>
      <c r="Z334" s="7">
        <f t="shared" si="67"/>
        <v>3.8753590210565547</v>
      </c>
      <c r="AA334" s="7">
        <f t="shared" si="68"/>
        <v>3.081</v>
      </c>
      <c r="AB334" s="7">
        <f t="shared" si="69"/>
        <v>29.23</v>
      </c>
      <c r="AC334" s="7">
        <f t="shared" si="70"/>
        <v>15.9</v>
      </c>
      <c r="AD334" s="7">
        <f t="shared" si="71"/>
        <v>16.3</v>
      </c>
      <c r="AE334" s="7">
        <f t="shared" si="72"/>
        <v>2.3241387380562166</v>
      </c>
      <c r="AF334" s="7">
        <f t="shared" si="73"/>
        <v>1.2104223737019812</v>
      </c>
      <c r="AG334" s="7">
        <f t="shared" si="74"/>
        <v>2.6672282065819548</v>
      </c>
    </row>
    <row r="335" spans="1:33" x14ac:dyDescent="0.25">
      <c r="A335" s="4" t="s">
        <v>106</v>
      </c>
      <c r="B335" s="4">
        <v>2022</v>
      </c>
      <c r="C335" s="4" t="s">
        <v>96</v>
      </c>
      <c r="D335" s="5">
        <f t="shared" si="75"/>
        <v>0</v>
      </c>
      <c r="E335" s="4"/>
      <c r="F335" s="4"/>
      <c r="G335" s="4"/>
      <c r="H335" s="4"/>
      <c r="I335" s="4"/>
      <c r="J335" s="4">
        <v>892.7</v>
      </c>
      <c r="K335" s="4">
        <v>33.799999999999997</v>
      </c>
      <c r="L335" s="4">
        <v>1.4259999999999999</v>
      </c>
      <c r="M335" s="4">
        <v>15.94</v>
      </c>
      <c r="N335" s="4">
        <v>20.6</v>
      </c>
      <c r="O335" s="4">
        <v>11.1</v>
      </c>
      <c r="P335" s="4">
        <v>2854.7</v>
      </c>
      <c r="Q335" s="6">
        <f t="shared" si="76"/>
        <v>3.197826817519883</v>
      </c>
      <c r="R335" s="4">
        <v>0</v>
      </c>
      <c r="S335" s="4">
        <v>0</v>
      </c>
      <c r="T335" s="6">
        <f t="shared" si="77"/>
        <v>0</v>
      </c>
      <c r="U335" s="4">
        <v>4.5999999999999996</v>
      </c>
      <c r="V335" s="7" t="str">
        <f t="shared" si="78"/>
        <v/>
      </c>
      <c r="W335" s="7">
        <f t="shared" si="79"/>
        <v>3.520460802488973</v>
      </c>
      <c r="X335" s="7">
        <f t="shared" si="80"/>
        <v>1.1624714595745225</v>
      </c>
      <c r="Y335" s="7">
        <f t="shared" si="81"/>
        <v>1.7227665977411035</v>
      </c>
      <c r="Z335" s="7">
        <f t="shared" si="67"/>
        <v>3.427514689979529</v>
      </c>
      <c r="AA335" s="7">
        <f t="shared" si="68"/>
        <v>1.407</v>
      </c>
      <c r="AB335" s="7">
        <f t="shared" si="69"/>
        <v>15.82</v>
      </c>
      <c r="AC335" s="7">
        <f t="shared" si="70"/>
        <v>19.5</v>
      </c>
      <c r="AD335" s="7">
        <f t="shared" si="71"/>
        <v>11.6</v>
      </c>
      <c r="AE335" s="7">
        <f t="shared" si="72"/>
        <v>1.0115906637293506</v>
      </c>
      <c r="AF335" s="7">
        <f t="shared" si="73"/>
        <v>0</v>
      </c>
      <c r="AG335" s="7">
        <f t="shared" si="74"/>
        <v>1.7227665977411035</v>
      </c>
    </row>
    <row r="336" spans="1:33" x14ac:dyDescent="0.25">
      <c r="A336" s="4" t="s">
        <v>107</v>
      </c>
      <c r="B336" s="4">
        <v>2022</v>
      </c>
      <c r="C336" s="4" t="s">
        <v>99</v>
      </c>
      <c r="D336" s="5">
        <f t="shared" si="75"/>
        <v>1</v>
      </c>
      <c r="E336" s="4">
        <v>18</v>
      </c>
      <c r="F336" s="4">
        <v>23.3</v>
      </c>
      <c r="G336" s="4">
        <v>17.899999999999999</v>
      </c>
      <c r="H336" s="4">
        <v>15.5</v>
      </c>
      <c r="I336" s="4"/>
      <c r="J336" s="4">
        <v>878.1</v>
      </c>
      <c r="K336" s="4">
        <v>87.1</v>
      </c>
      <c r="L336" s="4">
        <v>5.8630000000000004</v>
      </c>
      <c r="M336" s="4">
        <v>28.02</v>
      </c>
      <c r="N336" s="4">
        <v>27.6</v>
      </c>
      <c r="O336" s="4">
        <v>18.5</v>
      </c>
      <c r="P336" s="4">
        <v>15842.5</v>
      </c>
      <c r="Q336" s="6">
        <f t="shared" si="76"/>
        <v>18.041794784193144</v>
      </c>
      <c r="R336" s="4">
        <v>7</v>
      </c>
      <c r="S336" s="4">
        <v>4</v>
      </c>
      <c r="T336" s="6">
        <f t="shared" si="77"/>
        <v>1.2527047033367498</v>
      </c>
      <c r="U336" s="4">
        <v>6087.1</v>
      </c>
      <c r="V336" s="7">
        <f t="shared" si="78"/>
        <v>2.8903717578961645</v>
      </c>
      <c r="W336" s="7">
        <f t="shared" si="79"/>
        <v>4.467056883858457</v>
      </c>
      <c r="X336" s="7">
        <f t="shared" si="80"/>
        <v>2.8926909988317222</v>
      </c>
      <c r="Y336" s="7">
        <f t="shared" si="81"/>
        <v>8.7140913251622045</v>
      </c>
      <c r="Z336" s="7">
        <f t="shared" si="67"/>
        <v>4.3307333402863311</v>
      </c>
      <c r="AA336" s="7">
        <f t="shared" si="68"/>
        <v>5.484</v>
      </c>
      <c r="AB336" s="7">
        <f t="shared" si="69"/>
        <v>27.98</v>
      </c>
      <c r="AC336" s="7">
        <f t="shared" si="70"/>
        <v>27.6</v>
      </c>
      <c r="AD336" s="7">
        <f t="shared" si="71"/>
        <v>23.7</v>
      </c>
      <c r="AE336" s="7">
        <f t="shared" si="72"/>
        <v>2.7170211154674084</v>
      </c>
      <c r="AF336" s="7">
        <f t="shared" si="73"/>
        <v>1.0283363802559415</v>
      </c>
      <c r="AG336" s="7">
        <f t="shared" si="74"/>
        <v>8.6293247318597643</v>
      </c>
    </row>
    <row r="337" spans="1:33" x14ac:dyDescent="0.25">
      <c r="A337" s="4" t="s">
        <v>108</v>
      </c>
      <c r="B337" s="4">
        <v>2022</v>
      </c>
      <c r="C337" s="4" t="s">
        <v>99</v>
      </c>
      <c r="D337" s="5">
        <f t="shared" si="75"/>
        <v>1</v>
      </c>
      <c r="E337" s="4">
        <v>85.9</v>
      </c>
      <c r="F337" s="4">
        <v>97</v>
      </c>
      <c r="G337" s="4">
        <v>82.4</v>
      </c>
      <c r="H337" s="4">
        <v>83.9</v>
      </c>
      <c r="I337" s="4"/>
      <c r="J337" s="4">
        <v>8435.7000000000007</v>
      </c>
      <c r="K337" s="4">
        <v>141.1</v>
      </c>
      <c r="L337" s="4">
        <v>22.169</v>
      </c>
      <c r="M337" s="4">
        <v>49.06</v>
      </c>
      <c r="N337" s="4">
        <v>50.3</v>
      </c>
      <c r="O337" s="4">
        <v>55</v>
      </c>
      <c r="P337" s="4">
        <v>178060.1</v>
      </c>
      <c r="Q337" s="6">
        <f t="shared" si="76"/>
        <v>21.107922282679564</v>
      </c>
      <c r="R337" s="4">
        <v>134</v>
      </c>
      <c r="S337" s="4">
        <v>28</v>
      </c>
      <c r="T337" s="6">
        <f t="shared" si="77"/>
        <v>1.9204096873999785</v>
      </c>
      <c r="U337" s="4">
        <v>4605.3</v>
      </c>
      <c r="V337" s="7">
        <f t="shared" si="78"/>
        <v>4.4531838289902099</v>
      </c>
      <c r="W337" s="7">
        <f t="shared" si="79"/>
        <v>4.9494688588587685</v>
      </c>
      <c r="X337" s="7">
        <f t="shared" si="80"/>
        <v>3.0496484336472913</v>
      </c>
      <c r="Y337" s="7">
        <f t="shared" si="81"/>
        <v>8.4351802106955578</v>
      </c>
      <c r="Z337" s="7">
        <f t="shared" si="67"/>
        <v>4.8543712716215905</v>
      </c>
      <c r="AA337" s="7">
        <f t="shared" si="68"/>
        <v>21.425999999999998</v>
      </c>
      <c r="AB337" s="7">
        <f t="shared" si="69"/>
        <v>49.16</v>
      </c>
      <c r="AC337" s="7">
        <f t="shared" si="70"/>
        <v>50.3</v>
      </c>
      <c r="AD337" s="7">
        <f t="shared" si="71"/>
        <v>53.7</v>
      </c>
      <c r="AE337" s="7">
        <f t="shared" si="72"/>
        <v>2.721267313647274</v>
      </c>
      <c r="AF337" s="7">
        <f t="shared" si="73"/>
        <v>1.8125510155087148</v>
      </c>
      <c r="AG337" s="7">
        <f t="shared" si="74"/>
        <v>8.4145401184366513</v>
      </c>
    </row>
    <row r="338" spans="1:33" x14ac:dyDescent="0.25">
      <c r="A338" s="4" t="s">
        <v>109</v>
      </c>
      <c r="B338" s="4">
        <v>2022</v>
      </c>
      <c r="C338" s="4" t="s">
        <v>92</v>
      </c>
      <c r="D338" s="5">
        <f t="shared" si="75"/>
        <v>0</v>
      </c>
      <c r="E338" s="4">
        <v>14</v>
      </c>
      <c r="F338" s="4">
        <v>15.8</v>
      </c>
      <c r="G338" s="4">
        <v>13.2</v>
      </c>
      <c r="H338" s="4">
        <v>14</v>
      </c>
      <c r="I338" s="4"/>
      <c r="J338" s="4">
        <v>1317.3</v>
      </c>
      <c r="K338" s="4">
        <v>71.900000000000006</v>
      </c>
      <c r="L338" s="4">
        <v>4.218</v>
      </c>
      <c r="M338" s="4">
        <v>22.3</v>
      </c>
      <c r="N338" s="4">
        <v>30.8</v>
      </c>
      <c r="O338" s="4">
        <v>19.8</v>
      </c>
      <c r="P338" s="4">
        <v>38919.1</v>
      </c>
      <c r="Q338" s="6">
        <f t="shared" si="76"/>
        <v>29.544598800576939</v>
      </c>
      <c r="R338" s="4">
        <v>4</v>
      </c>
      <c r="S338" s="4">
        <v>1</v>
      </c>
      <c r="T338" s="6">
        <f t="shared" si="77"/>
        <v>0.37956426022925682</v>
      </c>
      <c r="U338" s="4">
        <v>9120.2999999999993</v>
      </c>
      <c r="V338" s="7">
        <f t="shared" si="78"/>
        <v>2.6390573296152584</v>
      </c>
      <c r="W338" s="7">
        <f t="shared" si="79"/>
        <v>4.2752762647270011</v>
      </c>
      <c r="X338" s="7">
        <f t="shared" si="80"/>
        <v>3.3859009454391313</v>
      </c>
      <c r="Y338" s="7">
        <f t="shared" si="81"/>
        <v>9.1183676167696159</v>
      </c>
      <c r="Z338" s="7">
        <f t="shared" si="67"/>
        <v>4.2326561780196128</v>
      </c>
      <c r="AA338" s="7">
        <f t="shared" si="68"/>
        <v>3.956</v>
      </c>
      <c r="AB338" s="7">
        <f t="shared" si="69"/>
        <v>22.3</v>
      </c>
      <c r="AC338" s="7">
        <f t="shared" si="70"/>
        <v>30.5</v>
      </c>
      <c r="AD338" s="7">
        <f t="shared" si="71"/>
        <v>19.600000000000001</v>
      </c>
      <c r="AE338" s="7">
        <f t="shared" si="72"/>
        <v>3.118856606735112</v>
      </c>
      <c r="AF338" s="7">
        <f t="shared" si="73"/>
        <v>0.38048854729472648</v>
      </c>
      <c r="AG338" s="7">
        <f t="shared" si="74"/>
        <v>9.0976530809318952</v>
      </c>
    </row>
    <row r="339" spans="1:33" x14ac:dyDescent="0.25">
      <c r="A339" s="4" t="s">
        <v>110</v>
      </c>
      <c r="B339" s="4">
        <v>2022</v>
      </c>
      <c r="C339" s="4" t="s">
        <v>96</v>
      </c>
      <c r="D339" s="5">
        <f t="shared" si="75"/>
        <v>0</v>
      </c>
      <c r="E339" s="4">
        <v>10.7</v>
      </c>
      <c r="F339" s="4">
        <v>11.9</v>
      </c>
      <c r="G339" s="4">
        <v>12.2</v>
      </c>
      <c r="H339" s="4">
        <v>8.6</v>
      </c>
      <c r="I339" s="4"/>
      <c r="J339" s="4">
        <v>875.4</v>
      </c>
      <c r="K339" s="4">
        <v>67.2</v>
      </c>
      <c r="L339" s="4">
        <v>3.3039999999999998</v>
      </c>
      <c r="M339" s="4">
        <v>25.43</v>
      </c>
      <c r="N339" s="4">
        <v>23.8</v>
      </c>
      <c r="O339" s="4">
        <v>24.7</v>
      </c>
      <c r="P339" s="4">
        <v>8433.7000000000007</v>
      </c>
      <c r="Q339" s="6">
        <f t="shared" si="76"/>
        <v>9.6341101210875042</v>
      </c>
      <c r="R339" s="4">
        <v>7</v>
      </c>
      <c r="S339" s="4">
        <v>3</v>
      </c>
      <c r="T339" s="6">
        <f t="shared" si="77"/>
        <v>1.1423349326022392</v>
      </c>
      <c r="U339" s="4">
        <v>822.6</v>
      </c>
      <c r="V339" s="7">
        <f t="shared" si="78"/>
        <v>2.3702437414678603</v>
      </c>
      <c r="W339" s="7">
        <f t="shared" si="79"/>
        <v>4.2076732475291037</v>
      </c>
      <c r="X339" s="7">
        <f t="shared" si="80"/>
        <v>2.2653099386064244</v>
      </c>
      <c r="Y339" s="7">
        <f t="shared" si="81"/>
        <v>6.713684975153634</v>
      </c>
      <c r="Z339" s="7">
        <f t="shared" si="67"/>
        <v>4.0809215418899605</v>
      </c>
      <c r="AA339" s="7">
        <f t="shared" si="68"/>
        <v>3.05</v>
      </c>
      <c r="AB339" s="7">
        <f t="shared" si="69"/>
        <v>23.95</v>
      </c>
      <c r="AC339" s="7">
        <f t="shared" si="70"/>
        <v>23.6</v>
      </c>
      <c r="AD339" s="7">
        <f t="shared" si="71"/>
        <v>15</v>
      </c>
      <c r="AE339" s="7">
        <f t="shared" si="72"/>
        <v>2.1568555115548667</v>
      </c>
      <c r="AF339" s="7">
        <f t="shared" si="73"/>
        <v>1.0324652976941608</v>
      </c>
      <c r="AG339" s="7">
        <f t="shared" si="74"/>
        <v>6.717925606697861</v>
      </c>
    </row>
    <row r="340" spans="1:33" x14ac:dyDescent="0.25">
      <c r="A340" s="4" t="s">
        <v>111</v>
      </c>
      <c r="B340" s="4">
        <v>2022</v>
      </c>
      <c r="C340" s="4" t="s">
        <v>99</v>
      </c>
      <c r="D340" s="5">
        <f t="shared" si="75"/>
        <v>1</v>
      </c>
      <c r="E340" s="4">
        <v>23.4</v>
      </c>
      <c r="F340" s="4">
        <v>26.8</v>
      </c>
      <c r="G340" s="4">
        <v>27.2</v>
      </c>
      <c r="H340" s="4">
        <v>18</v>
      </c>
      <c r="I340" s="4"/>
      <c r="J340" s="4">
        <v>1290.9000000000001</v>
      </c>
      <c r="K340" s="4">
        <v>102.5</v>
      </c>
      <c r="L340" s="4">
        <v>6.9470000000000001</v>
      </c>
      <c r="M340" s="4">
        <v>16.84</v>
      </c>
      <c r="N340" s="4">
        <v>28.1</v>
      </c>
      <c r="O340" s="4">
        <v>31.8</v>
      </c>
      <c r="P340" s="4">
        <v>34379.9</v>
      </c>
      <c r="Q340" s="6">
        <f t="shared" si="76"/>
        <v>26.632504454256718</v>
      </c>
      <c r="R340" s="4">
        <v>24</v>
      </c>
      <c r="S340" s="4">
        <v>0</v>
      </c>
      <c r="T340" s="6">
        <f t="shared" si="77"/>
        <v>1.8591680223100162</v>
      </c>
      <c r="U340" s="4">
        <v>5151</v>
      </c>
      <c r="V340" s="7">
        <f t="shared" si="78"/>
        <v>3.1527360223636558</v>
      </c>
      <c r="W340" s="7">
        <f t="shared" si="79"/>
        <v>4.6298627985784631</v>
      </c>
      <c r="X340" s="7">
        <f t="shared" si="80"/>
        <v>3.282132441752116</v>
      </c>
      <c r="Y340" s="7">
        <f t="shared" si="81"/>
        <v>8.5471402677841901</v>
      </c>
      <c r="Z340" s="7">
        <f t="shared" si="67"/>
        <v>4.4773368144782069</v>
      </c>
      <c r="AA340" s="7">
        <f t="shared" si="68"/>
        <v>6.48</v>
      </c>
      <c r="AB340" s="7">
        <f t="shared" si="69"/>
        <v>16.63</v>
      </c>
      <c r="AC340" s="7">
        <f t="shared" si="70"/>
        <v>26.7</v>
      </c>
      <c r="AD340" s="7">
        <f t="shared" si="71"/>
        <v>31.1</v>
      </c>
      <c r="AE340" s="7">
        <f t="shared" si="72"/>
        <v>3.1871783524341519</v>
      </c>
      <c r="AF340" s="7">
        <f t="shared" si="73"/>
        <v>1.8682858477347037</v>
      </c>
      <c r="AG340" s="7">
        <f t="shared" si="74"/>
        <v>8.4657314617916377</v>
      </c>
    </row>
    <row r="341" spans="1:33" x14ac:dyDescent="0.25">
      <c r="A341" s="4" t="s">
        <v>112</v>
      </c>
      <c r="B341" s="4">
        <v>2022</v>
      </c>
      <c r="C341" s="4" t="s">
        <v>99</v>
      </c>
      <c r="D341" s="5">
        <f t="shared" si="75"/>
        <v>1</v>
      </c>
      <c r="E341" s="4">
        <v>22.4</v>
      </c>
      <c r="F341" s="4">
        <v>20.9</v>
      </c>
      <c r="G341" s="4">
        <v>26.5</v>
      </c>
      <c r="H341" s="4">
        <v>19.100000000000001</v>
      </c>
      <c r="I341" s="4"/>
      <c r="J341" s="4">
        <v>1946.8</v>
      </c>
      <c r="K341" s="4">
        <v>87.7</v>
      </c>
      <c r="L341" s="4">
        <v>5.4470000000000001</v>
      </c>
      <c r="M341" s="4">
        <v>31.75</v>
      </c>
      <c r="N341" s="4">
        <v>29.7</v>
      </c>
      <c r="O341" s="4">
        <v>36.1</v>
      </c>
      <c r="P341" s="4">
        <v>46499.199999999997</v>
      </c>
      <c r="Q341" s="6">
        <f t="shared" si="76"/>
        <v>23.884939387713171</v>
      </c>
      <c r="R341" s="4">
        <v>8</v>
      </c>
      <c r="S341" s="4">
        <v>3</v>
      </c>
      <c r="T341" s="6">
        <f t="shared" si="77"/>
        <v>0.5650297924799671</v>
      </c>
      <c r="U341" s="4">
        <v>4710</v>
      </c>
      <c r="V341" s="7">
        <f t="shared" si="78"/>
        <v>3.1090609588609941</v>
      </c>
      <c r="W341" s="7">
        <f t="shared" si="79"/>
        <v>4.4739218993781371</v>
      </c>
      <c r="X341" s="7">
        <f t="shared" si="80"/>
        <v>3.1732481091670777</v>
      </c>
      <c r="Y341" s="7">
        <f t="shared" si="81"/>
        <v>8.4576554787000404</v>
      </c>
      <c r="Z341" s="7">
        <f t="shared" si="67"/>
        <v>4.3476939555933765</v>
      </c>
      <c r="AA341" s="7">
        <f t="shared" si="68"/>
        <v>5.2279999999999998</v>
      </c>
      <c r="AB341" s="7">
        <f t="shared" si="69"/>
        <v>31.66</v>
      </c>
      <c r="AC341" s="7">
        <f t="shared" si="70"/>
        <v>30.4</v>
      </c>
      <c r="AD341" s="7">
        <f t="shared" si="71"/>
        <v>35</v>
      </c>
      <c r="AE341" s="7">
        <f t="shared" si="72"/>
        <v>2.9528574324724923</v>
      </c>
      <c r="AF341" s="7">
        <f t="shared" si="73"/>
        <v>0.56794712928541924</v>
      </c>
      <c r="AG341" s="7">
        <f t="shared" si="74"/>
        <v>8.4314174143948328</v>
      </c>
    </row>
    <row r="342" spans="1:33" x14ac:dyDescent="0.25">
      <c r="A342" s="4" t="s">
        <v>113</v>
      </c>
      <c r="B342" s="4">
        <v>2022</v>
      </c>
      <c r="C342" s="4" t="s">
        <v>99</v>
      </c>
      <c r="D342" s="5">
        <f t="shared" si="75"/>
        <v>1</v>
      </c>
      <c r="E342" s="4">
        <v>32.1</v>
      </c>
      <c r="F342" s="4">
        <v>35.4</v>
      </c>
      <c r="G342" s="4">
        <v>30.7</v>
      </c>
      <c r="H342" s="4">
        <v>31.7</v>
      </c>
      <c r="I342" s="4"/>
      <c r="J342" s="4">
        <v>2088</v>
      </c>
      <c r="K342" s="4">
        <v>171.6</v>
      </c>
      <c r="L342" s="4">
        <v>9.9280000000000008</v>
      </c>
      <c r="M342" s="4">
        <v>45.58</v>
      </c>
      <c r="N342" s="4">
        <v>36.5</v>
      </c>
      <c r="O342" s="4">
        <v>32.9</v>
      </c>
      <c r="P342" s="4">
        <v>122179.3</v>
      </c>
      <c r="Q342" s="6">
        <f t="shared" si="76"/>
        <v>58.514990421455941</v>
      </c>
      <c r="R342" s="4">
        <v>25</v>
      </c>
      <c r="S342" s="4">
        <v>11</v>
      </c>
      <c r="T342" s="6">
        <f t="shared" si="77"/>
        <v>1.7241379310344827</v>
      </c>
      <c r="U342" s="4">
        <v>12118</v>
      </c>
      <c r="V342" s="7">
        <f t="shared" si="78"/>
        <v>3.4688560301359703</v>
      </c>
      <c r="W342" s="7">
        <f t="shared" si="79"/>
        <v>5.1451661870538619</v>
      </c>
      <c r="X342" s="7">
        <f t="shared" si="80"/>
        <v>4.0692829679328932</v>
      </c>
      <c r="Y342" s="7">
        <f t="shared" si="81"/>
        <v>9.4025297479684866</v>
      </c>
      <c r="Z342" s="7">
        <f t="shared" si="67"/>
        <v>5.0179418692786939</v>
      </c>
      <c r="AA342" s="7">
        <f t="shared" si="68"/>
        <v>9.5570000000000004</v>
      </c>
      <c r="AB342" s="7">
        <f t="shared" si="69"/>
        <v>45.51</v>
      </c>
      <c r="AC342" s="7">
        <f t="shared" si="70"/>
        <v>36</v>
      </c>
      <c r="AD342" s="7">
        <f t="shared" si="71"/>
        <v>32.6</v>
      </c>
      <c r="AE342" s="7">
        <f t="shared" si="72"/>
        <v>3.9155142980925031</v>
      </c>
      <c r="AF342" s="7">
        <f t="shared" si="73"/>
        <v>1.7853696197645244</v>
      </c>
      <c r="AG342" s="7">
        <f t="shared" si="74"/>
        <v>9.3407719651828476</v>
      </c>
    </row>
    <row r="343" spans="1:33" x14ac:dyDescent="0.25">
      <c r="A343" s="4" t="s">
        <v>114</v>
      </c>
      <c r="B343" s="4">
        <v>2022</v>
      </c>
      <c r="C343" s="4" t="s">
        <v>86</v>
      </c>
      <c r="D343" s="5">
        <f t="shared" si="75"/>
        <v>0</v>
      </c>
      <c r="E343" s="4">
        <v>11.3</v>
      </c>
      <c r="F343" s="4">
        <v>8.5</v>
      </c>
      <c r="G343" s="4">
        <v>15.6</v>
      </c>
      <c r="H343" s="4">
        <v>8.4</v>
      </c>
      <c r="I343" s="4"/>
      <c r="J343" s="4">
        <v>729.5</v>
      </c>
      <c r="K343" s="4">
        <v>67.7</v>
      </c>
      <c r="L343" s="4">
        <v>3.4710000000000001</v>
      </c>
      <c r="M343" s="4">
        <v>28.1</v>
      </c>
      <c r="N343" s="4">
        <v>12.5</v>
      </c>
      <c r="O343" s="4">
        <v>18.100000000000001</v>
      </c>
      <c r="P343" s="4">
        <v>2284.9</v>
      </c>
      <c r="Q343" s="6">
        <f t="shared" si="76"/>
        <v>3.1321453050034269</v>
      </c>
      <c r="R343" s="4">
        <v>4</v>
      </c>
      <c r="S343" s="4">
        <v>1</v>
      </c>
      <c r="T343" s="6">
        <f t="shared" si="77"/>
        <v>0.68540095956134339</v>
      </c>
      <c r="U343" s="4">
        <v>940.5</v>
      </c>
      <c r="V343" s="7">
        <f t="shared" si="78"/>
        <v>2.4248027257182949</v>
      </c>
      <c r="W343" s="7">
        <f t="shared" si="79"/>
        <v>4.2150861799182291</v>
      </c>
      <c r="X343" s="7">
        <f t="shared" si="80"/>
        <v>1.1417181707316584</v>
      </c>
      <c r="Y343" s="7">
        <f t="shared" si="81"/>
        <v>6.8474743480972071</v>
      </c>
      <c r="Z343" s="7">
        <f t="shared" si="67"/>
        <v>3.9963641538618968</v>
      </c>
      <c r="AA343" s="7">
        <f t="shared" si="68"/>
        <v>3.218</v>
      </c>
      <c r="AB343" s="7">
        <f t="shared" si="69"/>
        <v>29.14</v>
      </c>
      <c r="AC343" s="7">
        <f t="shared" si="70"/>
        <v>13.5</v>
      </c>
      <c r="AD343" s="7">
        <f t="shared" si="71"/>
        <v>19</v>
      </c>
      <c r="AE343" s="7">
        <f t="shared" si="72"/>
        <v>1.1202516034301633</v>
      </c>
      <c r="AF343" s="7">
        <f t="shared" si="73"/>
        <v>0.68502534593779973</v>
      </c>
      <c r="AG343" s="7">
        <f t="shared" si="74"/>
        <v>6.8469431395853793</v>
      </c>
    </row>
    <row r="344" spans="1:33" x14ac:dyDescent="0.25">
      <c r="A344" s="4" t="s">
        <v>115</v>
      </c>
      <c r="B344" s="4">
        <v>2022</v>
      </c>
      <c r="C344" s="4" t="s">
        <v>92</v>
      </c>
      <c r="D344" s="5">
        <f t="shared" si="75"/>
        <v>0</v>
      </c>
      <c r="E344" s="4">
        <v>23</v>
      </c>
      <c r="F344" s="4">
        <v>29.4</v>
      </c>
      <c r="G344" s="4">
        <v>19</v>
      </c>
      <c r="H344" s="4">
        <v>23.7</v>
      </c>
      <c r="I344" s="4"/>
      <c r="J344" s="4">
        <v>1254</v>
      </c>
      <c r="K344" s="4">
        <v>77.2</v>
      </c>
      <c r="L344" s="4">
        <v>8.93</v>
      </c>
      <c r="M344" s="4">
        <v>42.36</v>
      </c>
      <c r="N344" s="4">
        <v>25.3</v>
      </c>
      <c r="O344" s="4">
        <v>32.200000000000003</v>
      </c>
      <c r="P344" s="4">
        <v>24211.1</v>
      </c>
      <c r="Q344" s="6">
        <f t="shared" si="76"/>
        <v>19.307097288676236</v>
      </c>
      <c r="R344" s="4">
        <v>14</v>
      </c>
      <c r="S344" s="4">
        <v>11</v>
      </c>
      <c r="T344" s="6">
        <f t="shared" si="77"/>
        <v>1.9936204146730463</v>
      </c>
      <c r="U344" s="4">
        <v>3504.9</v>
      </c>
      <c r="V344" s="7">
        <f t="shared" si="78"/>
        <v>3.1354942159291497</v>
      </c>
      <c r="W344" s="7">
        <f t="shared" si="79"/>
        <v>4.3463994570307305</v>
      </c>
      <c r="X344" s="7">
        <f t="shared" si="80"/>
        <v>2.9604727634774077</v>
      </c>
      <c r="Y344" s="7">
        <f t="shared" si="81"/>
        <v>8.1622025425416034</v>
      </c>
      <c r="Z344" s="7">
        <f t="shared" si="67"/>
        <v>4.1510399058986458</v>
      </c>
      <c r="AA344" s="7">
        <f t="shared" si="68"/>
        <v>8.9290000000000003</v>
      </c>
      <c r="AB344" s="7">
        <f t="shared" si="69"/>
        <v>42.36</v>
      </c>
      <c r="AC344" s="7">
        <f t="shared" si="70"/>
        <v>25.6</v>
      </c>
      <c r="AD344" s="7">
        <f t="shared" si="71"/>
        <v>32.1</v>
      </c>
      <c r="AE344" s="7">
        <f t="shared" si="72"/>
        <v>2.6380438479329342</v>
      </c>
      <c r="AF344" s="7">
        <f t="shared" si="73"/>
        <v>3.2849931896482656</v>
      </c>
      <c r="AG344" s="7">
        <f t="shared" si="74"/>
        <v>8.1667275015266778</v>
      </c>
    </row>
    <row r="345" spans="1:33" x14ac:dyDescent="0.25">
      <c r="A345" s="4" t="s">
        <v>116</v>
      </c>
      <c r="B345" s="4">
        <v>2022</v>
      </c>
      <c r="C345" s="4" t="s">
        <v>86</v>
      </c>
      <c r="D345" s="5">
        <f t="shared" si="75"/>
        <v>0</v>
      </c>
      <c r="E345" s="4">
        <v>14.1</v>
      </c>
      <c r="F345" s="4">
        <v>12.3</v>
      </c>
      <c r="G345" s="4">
        <v>18.3</v>
      </c>
      <c r="H345" s="4">
        <v>10.8</v>
      </c>
      <c r="I345" s="4"/>
      <c r="J345" s="4">
        <v>1751.8</v>
      </c>
      <c r="K345" s="4">
        <v>66.400000000000006</v>
      </c>
      <c r="L345" s="4">
        <v>4.93</v>
      </c>
      <c r="M345" s="4">
        <v>29.84</v>
      </c>
      <c r="N345" s="4">
        <v>16</v>
      </c>
      <c r="O345" s="4">
        <v>16.2</v>
      </c>
      <c r="P345" s="4">
        <v>2804.9</v>
      </c>
      <c r="Q345" s="6">
        <f t="shared" si="76"/>
        <v>1.6011530996689121</v>
      </c>
      <c r="R345" s="4">
        <v>95</v>
      </c>
      <c r="S345" s="4">
        <v>1</v>
      </c>
      <c r="T345" s="6">
        <f t="shared" si="77"/>
        <v>5.4800776344331545</v>
      </c>
      <c r="U345" s="4">
        <v>2745.8</v>
      </c>
      <c r="V345" s="7">
        <f t="shared" si="78"/>
        <v>2.6461747973841225</v>
      </c>
      <c r="W345" s="7">
        <f t="shared" si="79"/>
        <v>4.1956970564823886</v>
      </c>
      <c r="X345" s="7">
        <f t="shared" si="80"/>
        <v>0.47072405696842362</v>
      </c>
      <c r="Y345" s="7">
        <f t="shared" si="81"/>
        <v>7.9181918767465218</v>
      </c>
      <c r="Z345" s="7">
        <f t="shared" si="67"/>
        <v>4.0775374439057197</v>
      </c>
      <c r="AA345" s="7">
        <f t="shared" si="68"/>
        <v>4.6059999999999999</v>
      </c>
      <c r="AB345" s="7">
        <f t="shared" si="69"/>
        <v>28.79</v>
      </c>
      <c r="AC345" s="7">
        <f t="shared" si="70"/>
        <v>15.7</v>
      </c>
      <c r="AD345" s="7">
        <f t="shared" si="71"/>
        <v>14.8</v>
      </c>
      <c r="AE345" s="7">
        <f t="shared" si="72"/>
        <v>0.18575873675573884</v>
      </c>
      <c r="AF345" s="7">
        <f t="shared" si="73"/>
        <v>3.6523426353934831</v>
      </c>
      <c r="AG345" s="7">
        <f t="shared" si="74"/>
        <v>7.9174999234075516</v>
      </c>
    </row>
    <row r="346" spans="1:33" x14ac:dyDescent="0.25">
      <c r="A346" s="4" t="s">
        <v>117</v>
      </c>
      <c r="B346" s="4">
        <v>2022</v>
      </c>
      <c r="C346" s="4" t="s">
        <v>105</v>
      </c>
      <c r="D346" s="5">
        <f t="shared" si="75"/>
        <v>0</v>
      </c>
      <c r="E346" s="4">
        <v>10.7</v>
      </c>
      <c r="F346" s="4">
        <v>11</v>
      </c>
      <c r="G346" s="4">
        <v>10.8</v>
      </c>
      <c r="H346" s="4">
        <v>10.5</v>
      </c>
      <c r="I346" s="4"/>
      <c r="J346" s="4">
        <v>579.9</v>
      </c>
      <c r="K346" s="4">
        <v>53.2</v>
      </c>
      <c r="L346" s="4">
        <v>3.5369999999999999</v>
      </c>
      <c r="M346" s="4">
        <v>32.51</v>
      </c>
      <c r="N346" s="4">
        <v>17.600000000000001</v>
      </c>
      <c r="O346" s="4">
        <v>27</v>
      </c>
      <c r="P346" s="4">
        <v>7962.2</v>
      </c>
      <c r="Q346" s="6">
        <f t="shared" si="76"/>
        <v>13.73029832729781</v>
      </c>
      <c r="R346" s="4">
        <v>4</v>
      </c>
      <c r="S346" s="4">
        <v>1</v>
      </c>
      <c r="T346" s="6">
        <f t="shared" si="77"/>
        <v>0.86221762372822897</v>
      </c>
      <c r="U346" s="4">
        <v>423.2</v>
      </c>
      <c r="V346" s="7">
        <f t="shared" si="78"/>
        <v>2.3702437414678603</v>
      </c>
      <c r="W346" s="7">
        <f t="shared" si="79"/>
        <v>3.9740583963475986</v>
      </c>
      <c r="X346" s="7">
        <f t="shared" si="80"/>
        <v>2.6196049476791372</v>
      </c>
      <c r="Y346" s="7">
        <f t="shared" si="81"/>
        <v>6.0502050421305817</v>
      </c>
      <c r="Z346" s="7">
        <f t="shared" si="67"/>
        <v>3.8649313978942956</v>
      </c>
      <c r="AA346" s="7">
        <f t="shared" si="68"/>
        <v>3.4670000000000001</v>
      </c>
      <c r="AB346" s="7">
        <f t="shared" si="69"/>
        <v>32.58</v>
      </c>
      <c r="AC346" s="7">
        <f t="shared" si="70"/>
        <v>18.2</v>
      </c>
      <c r="AD346" s="7">
        <f t="shared" si="71"/>
        <v>26.5</v>
      </c>
      <c r="AE346" s="7">
        <f t="shared" si="72"/>
        <v>2.391835522614858</v>
      </c>
      <c r="AF346" s="7">
        <f t="shared" si="73"/>
        <v>0.87904360056258801</v>
      </c>
      <c r="AG346" s="7">
        <f t="shared" si="74"/>
        <v>6.0746561379947464</v>
      </c>
    </row>
    <row r="347" spans="1:33" x14ac:dyDescent="0.25">
      <c r="A347" s="4" t="s">
        <v>118</v>
      </c>
      <c r="B347" s="4">
        <v>2022</v>
      </c>
      <c r="C347" s="4" t="s">
        <v>96</v>
      </c>
      <c r="D347" s="5">
        <f t="shared" si="75"/>
        <v>0</v>
      </c>
      <c r="E347" s="4"/>
      <c r="F347" s="4"/>
      <c r="G347" s="4"/>
      <c r="H347" s="4"/>
      <c r="I347" s="4"/>
      <c r="J347" s="4">
        <v>482.1</v>
      </c>
      <c r="K347" s="4">
        <v>49.6</v>
      </c>
      <c r="L347" s="4">
        <v>2.5139999999999998</v>
      </c>
      <c r="M347" s="4">
        <v>17.690000000000001</v>
      </c>
      <c r="N347" s="4">
        <v>23.8</v>
      </c>
      <c r="O347" s="4">
        <v>15.8</v>
      </c>
      <c r="P347" s="4">
        <v>2054</v>
      </c>
      <c r="Q347" s="6">
        <f t="shared" si="76"/>
        <v>4.2605268616469614</v>
      </c>
      <c r="R347" s="4">
        <v>4</v>
      </c>
      <c r="S347" s="4">
        <v>2</v>
      </c>
      <c r="T347" s="6">
        <f t="shared" si="77"/>
        <v>1.2445550715619167</v>
      </c>
      <c r="U347" s="4">
        <v>3.1</v>
      </c>
      <c r="V347" s="7" t="str">
        <f t="shared" si="78"/>
        <v/>
      </c>
      <c r="W347" s="7">
        <f t="shared" si="79"/>
        <v>3.903990833730882</v>
      </c>
      <c r="X347" s="7">
        <f t="shared" si="80"/>
        <v>1.4493928290769269</v>
      </c>
      <c r="Y347" s="7">
        <f t="shared" si="81"/>
        <v>1.410986973710262</v>
      </c>
      <c r="Z347" s="7">
        <f t="shared" si="67"/>
        <v>3.7999735016195233</v>
      </c>
      <c r="AA347" s="7">
        <f t="shared" si="68"/>
        <v>2.278</v>
      </c>
      <c r="AB347" s="7">
        <f t="shared" si="69"/>
        <v>17.7</v>
      </c>
      <c r="AC347" s="7">
        <f t="shared" si="70"/>
        <v>25.6</v>
      </c>
      <c r="AD347" s="7">
        <f t="shared" si="71"/>
        <v>14.2</v>
      </c>
      <c r="AE347" s="7">
        <f t="shared" si="72"/>
        <v>1.2492930278315522</v>
      </c>
      <c r="AF347" s="7">
        <f t="shared" si="73"/>
        <v>1.254180602006689</v>
      </c>
      <c r="AG347" s="7">
        <f t="shared" si="74"/>
        <v>1.410986973710262</v>
      </c>
    </row>
    <row r="348" spans="1:33" x14ac:dyDescent="0.25">
      <c r="A348" s="4" t="s">
        <v>119</v>
      </c>
      <c r="B348" s="4">
        <v>2022</v>
      </c>
      <c r="C348" s="4" t="s">
        <v>86</v>
      </c>
      <c r="D348" s="5">
        <f t="shared" si="75"/>
        <v>0</v>
      </c>
      <c r="E348" s="4">
        <v>20.100000000000001</v>
      </c>
      <c r="F348" s="4">
        <v>18.600000000000001</v>
      </c>
      <c r="G348" s="4">
        <v>24.5</v>
      </c>
      <c r="H348" s="4">
        <v>16.399999999999999</v>
      </c>
      <c r="I348" s="4"/>
      <c r="J348" s="4">
        <v>1734.3</v>
      </c>
      <c r="K348" s="4">
        <v>90.3</v>
      </c>
      <c r="L348" s="4">
        <v>6.6269999999999998</v>
      </c>
      <c r="M348" s="4">
        <v>18.37</v>
      </c>
      <c r="N348" s="4">
        <v>15.1</v>
      </c>
      <c r="O348" s="4">
        <v>23.4</v>
      </c>
      <c r="P348" s="4">
        <v>6472.1</v>
      </c>
      <c r="Q348" s="6">
        <f t="shared" si="76"/>
        <v>3.7318226373753101</v>
      </c>
      <c r="R348" s="4">
        <v>7</v>
      </c>
      <c r="S348" s="4">
        <v>1</v>
      </c>
      <c r="T348" s="6">
        <f t="shared" si="77"/>
        <v>0.46128120855676641</v>
      </c>
      <c r="U348" s="4">
        <v>7448.9</v>
      </c>
      <c r="V348" s="7">
        <f t="shared" si="78"/>
        <v>3.0007198150650303</v>
      </c>
      <c r="W348" s="7">
        <f t="shared" si="79"/>
        <v>4.5031374604229395</v>
      </c>
      <c r="X348" s="7">
        <f t="shared" si="80"/>
        <v>1.3168967570367087</v>
      </c>
      <c r="Y348" s="7">
        <f t="shared" si="81"/>
        <v>8.9159558884647261</v>
      </c>
      <c r="Z348" s="7">
        <f t="shared" si="67"/>
        <v>4.3807758527722287</v>
      </c>
      <c r="AA348" s="7">
        <f t="shared" si="68"/>
        <v>6.4249999999999998</v>
      </c>
      <c r="AB348" s="7">
        <f t="shared" si="69"/>
        <v>18.34</v>
      </c>
      <c r="AC348" s="7">
        <f t="shared" si="70"/>
        <v>15.1</v>
      </c>
      <c r="AD348" s="7">
        <f t="shared" si="71"/>
        <v>21.6</v>
      </c>
      <c r="AE348" s="7">
        <f t="shared" si="72"/>
        <v>1.2550945693432973</v>
      </c>
      <c r="AF348" s="7">
        <f t="shared" si="73"/>
        <v>0.46355313477807392</v>
      </c>
      <c r="AG348" s="7">
        <f t="shared" si="74"/>
        <v>8.8694262849274654</v>
      </c>
    </row>
    <row r="349" spans="1:33" x14ac:dyDescent="0.25">
      <c r="A349" s="4" t="s">
        <v>120</v>
      </c>
      <c r="B349" s="4">
        <v>2022</v>
      </c>
      <c r="C349" s="4" t="s">
        <v>96</v>
      </c>
      <c r="D349" s="5">
        <f t="shared" si="75"/>
        <v>0</v>
      </c>
      <c r="E349" s="4">
        <v>13</v>
      </c>
      <c r="F349" s="4">
        <v>12.6</v>
      </c>
      <c r="G349" s="4">
        <v>14.7</v>
      </c>
      <c r="H349" s="4">
        <v>11.7</v>
      </c>
      <c r="I349" s="4"/>
      <c r="J349" s="4">
        <v>770.6</v>
      </c>
      <c r="K349" s="4">
        <v>83.4</v>
      </c>
      <c r="L349" s="4">
        <v>4.1920000000000002</v>
      </c>
      <c r="M349" s="4">
        <v>26.8</v>
      </c>
      <c r="N349" s="4">
        <v>22.7</v>
      </c>
      <c r="O349" s="4">
        <v>17.899999999999999</v>
      </c>
      <c r="P349" s="4">
        <v>7115</v>
      </c>
      <c r="Q349" s="6">
        <f t="shared" si="76"/>
        <v>9.2330651440436018</v>
      </c>
      <c r="R349" s="4">
        <v>10</v>
      </c>
      <c r="S349" s="4">
        <v>2</v>
      </c>
      <c r="T349" s="6">
        <f t="shared" si="77"/>
        <v>1.5572281339216196</v>
      </c>
      <c r="U349" s="4">
        <v>756</v>
      </c>
      <c r="V349" s="7">
        <f t="shared" si="78"/>
        <v>2.5649493574615367</v>
      </c>
      <c r="W349" s="7">
        <f t="shared" si="79"/>
        <v>4.423648309364701</v>
      </c>
      <c r="X349" s="7">
        <f t="shared" si="80"/>
        <v>2.2227910783318956</v>
      </c>
      <c r="Y349" s="7">
        <f t="shared" si="81"/>
        <v>6.6293632534374485</v>
      </c>
      <c r="Z349" s="7">
        <f t="shared" si="67"/>
        <v>4.3094559418390466</v>
      </c>
      <c r="AA349" s="7">
        <f t="shared" si="68"/>
        <v>4.0060000000000002</v>
      </c>
      <c r="AB349" s="7">
        <f t="shared" si="69"/>
        <v>26.5</v>
      </c>
      <c r="AC349" s="7">
        <f t="shared" si="70"/>
        <v>24.6</v>
      </c>
      <c r="AD349" s="7">
        <f t="shared" si="71"/>
        <v>16</v>
      </c>
      <c r="AE349" s="7">
        <f t="shared" si="72"/>
        <v>2.0605277435655931</v>
      </c>
      <c r="AF349" s="7">
        <f t="shared" si="73"/>
        <v>1.3125082031762698</v>
      </c>
      <c r="AG349" s="7">
        <f t="shared" si="74"/>
        <v>6.6407904481190778</v>
      </c>
    </row>
    <row r="350" spans="1:33" x14ac:dyDescent="0.25">
      <c r="A350" s="4" t="s">
        <v>121</v>
      </c>
      <c r="B350" s="4">
        <v>2022</v>
      </c>
      <c r="C350" s="4" t="s">
        <v>105</v>
      </c>
      <c r="D350" s="5">
        <f t="shared" si="75"/>
        <v>0</v>
      </c>
      <c r="E350" s="4">
        <v>19.600000000000001</v>
      </c>
      <c r="F350" s="4">
        <v>22.4</v>
      </c>
      <c r="G350" s="4">
        <v>22.2</v>
      </c>
      <c r="H350" s="4">
        <v>15.7</v>
      </c>
      <c r="I350" s="4"/>
      <c r="J350" s="4">
        <v>1332.5</v>
      </c>
      <c r="K350" s="4">
        <v>77.5</v>
      </c>
      <c r="L350" s="4">
        <v>5.7679999999999998</v>
      </c>
      <c r="M350" s="4">
        <v>39.29</v>
      </c>
      <c r="N350" s="4">
        <v>21.8</v>
      </c>
      <c r="O350" s="4">
        <v>35.4</v>
      </c>
      <c r="P350" s="4">
        <v>23639.1</v>
      </c>
      <c r="Q350" s="6">
        <f t="shared" si="76"/>
        <v>17.740412757973733</v>
      </c>
      <c r="R350" s="4">
        <v>5</v>
      </c>
      <c r="S350" s="4">
        <v>3</v>
      </c>
      <c r="T350" s="6">
        <f t="shared" si="77"/>
        <v>0.60037523452157604</v>
      </c>
      <c r="U350" s="4">
        <v>386</v>
      </c>
      <c r="V350" s="7">
        <f t="shared" si="78"/>
        <v>2.9755295662364718</v>
      </c>
      <c r="W350" s="7">
        <f t="shared" si="79"/>
        <v>4.3502779363593014</v>
      </c>
      <c r="X350" s="7">
        <f t="shared" si="80"/>
        <v>2.8758452436893234</v>
      </c>
      <c r="Y350" s="7">
        <f t="shared" si="81"/>
        <v>5.9584246930297819</v>
      </c>
      <c r="Z350" s="7">
        <f t="shared" si="67"/>
        <v>4.2046926193909657</v>
      </c>
      <c r="AA350" s="7">
        <f t="shared" si="68"/>
        <v>5.5830000000000002</v>
      </c>
      <c r="AB350" s="7">
        <f t="shared" si="69"/>
        <v>39.270000000000003</v>
      </c>
      <c r="AC350" s="7">
        <f t="shared" si="70"/>
        <v>20.5</v>
      </c>
      <c r="AD350" s="7">
        <f t="shared" si="71"/>
        <v>29.8</v>
      </c>
      <c r="AE350" s="7">
        <f t="shared" si="72"/>
        <v>2.5688521867361809</v>
      </c>
      <c r="AF350" s="7">
        <f t="shared" si="73"/>
        <v>0.45389212497163173</v>
      </c>
      <c r="AG350" s="7">
        <f t="shared" si="74"/>
        <v>5.9967008139032281</v>
      </c>
    </row>
    <row r="351" spans="1:33" x14ac:dyDescent="0.25">
      <c r="A351" s="4" t="s">
        <v>122</v>
      </c>
      <c r="B351" s="4">
        <v>2022</v>
      </c>
      <c r="C351" s="4" t="s">
        <v>96</v>
      </c>
      <c r="D351" s="5">
        <f t="shared" si="75"/>
        <v>0</v>
      </c>
      <c r="E351" s="4">
        <v>11.5</v>
      </c>
      <c r="F351" s="4">
        <v>10.8</v>
      </c>
      <c r="G351" s="4">
        <v>13.9</v>
      </c>
      <c r="H351" s="4">
        <v>9.4</v>
      </c>
      <c r="I351" s="4"/>
      <c r="J351" s="4">
        <v>802.1</v>
      </c>
      <c r="K351" s="4">
        <v>51</v>
      </c>
      <c r="L351" s="4">
        <v>2.9260000000000002</v>
      </c>
      <c r="M351" s="4">
        <v>23.18</v>
      </c>
      <c r="N351" s="4">
        <v>28.5</v>
      </c>
      <c r="O351" s="4">
        <v>12.6</v>
      </c>
      <c r="P351" s="4">
        <v>6109.9</v>
      </c>
      <c r="Q351" s="6">
        <f t="shared" si="76"/>
        <v>7.6173793791297832</v>
      </c>
      <c r="R351" s="4">
        <v>5</v>
      </c>
      <c r="S351" s="4">
        <v>3</v>
      </c>
      <c r="T351" s="6">
        <f t="shared" si="77"/>
        <v>0.99738187258446576</v>
      </c>
      <c r="U351" s="4">
        <v>299.7</v>
      </c>
      <c r="V351" s="7">
        <f t="shared" si="78"/>
        <v>2.4423470353692043</v>
      </c>
      <c r="W351" s="7">
        <f t="shared" si="79"/>
        <v>3.9318256327243257</v>
      </c>
      <c r="X351" s="7">
        <f t="shared" si="80"/>
        <v>2.0304323970467162</v>
      </c>
      <c r="Y351" s="7">
        <f t="shared" si="81"/>
        <v>5.7061130899944832</v>
      </c>
      <c r="Z351" s="7">
        <f t="shared" si="67"/>
        <v>3.8543938925915096</v>
      </c>
      <c r="AA351" s="7">
        <f t="shared" si="68"/>
        <v>2.786</v>
      </c>
      <c r="AB351" s="7">
        <f t="shared" si="69"/>
        <v>23.08</v>
      </c>
      <c r="AC351" s="7">
        <f t="shared" si="70"/>
        <v>27.8</v>
      </c>
      <c r="AD351" s="7">
        <f t="shared" si="71"/>
        <v>16.899999999999999</v>
      </c>
      <c r="AE351" s="7">
        <f t="shared" si="72"/>
        <v>1.8667991908086079</v>
      </c>
      <c r="AF351" s="7">
        <f t="shared" si="73"/>
        <v>0.62743129627305805</v>
      </c>
      <c r="AG351" s="7">
        <f t="shared" si="74"/>
        <v>5.7127422160276726</v>
      </c>
    </row>
    <row r="352" spans="1:33" x14ac:dyDescent="0.25">
      <c r="A352" s="4" t="s">
        <v>123</v>
      </c>
      <c r="B352" s="4">
        <v>2022</v>
      </c>
      <c r="C352" s="4" t="s">
        <v>99</v>
      </c>
      <c r="D352" s="5">
        <f t="shared" si="75"/>
        <v>1</v>
      </c>
      <c r="E352" s="4">
        <v>24.3</v>
      </c>
      <c r="F352" s="4">
        <v>26</v>
      </c>
      <c r="G352" s="4">
        <v>29.6</v>
      </c>
      <c r="H352" s="4">
        <v>18.100000000000001</v>
      </c>
      <c r="I352" s="4"/>
      <c r="J352" s="4">
        <v>1876.9</v>
      </c>
      <c r="K352" s="4">
        <v>47.3</v>
      </c>
      <c r="L352" s="4">
        <v>3.649</v>
      </c>
      <c r="M352" s="4">
        <v>20.27</v>
      </c>
      <c r="N352" s="4">
        <v>21.5</v>
      </c>
      <c r="O352" s="4">
        <v>17.3</v>
      </c>
      <c r="P352" s="4">
        <v>15783.7</v>
      </c>
      <c r="Q352" s="6">
        <f t="shared" si="76"/>
        <v>8.4094517555543717</v>
      </c>
      <c r="R352" s="4">
        <v>24</v>
      </c>
      <c r="S352" s="4">
        <v>0</v>
      </c>
      <c r="T352" s="6">
        <f t="shared" si="77"/>
        <v>1.2787042463636848</v>
      </c>
      <c r="U352" s="4">
        <v>1981.9</v>
      </c>
      <c r="V352" s="7">
        <f t="shared" si="78"/>
        <v>3.1904763503465028</v>
      </c>
      <c r="W352" s="7">
        <f t="shared" si="79"/>
        <v>3.8565102954978872</v>
      </c>
      <c r="X352" s="7">
        <f t="shared" si="80"/>
        <v>2.1293562822706686</v>
      </c>
      <c r="Y352" s="7">
        <f t="shared" si="81"/>
        <v>7.59231569860476</v>
      </c>
      <c r="Z352" s="7">
        <f t="shared" si="67"/>
        <v>3.7954891891721947</v>
      </c>
      <c r="AA352" s="7">
        <f t="shared" si="68"/>
        <v>3.5150000000000001</v>
      </c>
      <c r="AB352" s="7">
        <f t="shared" si="69"/>
        <v>20.239999999999998</v>
      </c>
      <c r="AC352" s="7">
        <f t="shared" si="70"/>
        <v>22</v>
      </c>
      <c r="AD352" s="7">
        <f t="shared" si="71"/>
        <v>17.2</v>
      </c>
      <c r="AE352" s="7">
        <f t="shared" si="72"/>
        <v>1.9256821973494891</v>
      </c>
      <c r="AF352" s="7">
        <f t="shared" si="73"/>
        <v>0.98023198823721613</v>
      </c>
      <c r="AG352" s="7">
        <f t="shared" si="74"/>
        <v>7.5979480997156461</v>
      </c>
    </row>
    <row r="353" spans="1:33" x14ac:dyDescent="0.25">
      <c r="A353" s="4" t="s">
        <v>124</v>
      </c>
      <c r="B353" s="4">
        <v>2022</v>
      </c>
      <c r="C353" s="4" t="s">
        <v>92</v>
      </c>
      <c r="D353" s="5">
        <f t="shared" si="75"/>
        <v>0</v>
      </c>
      <c r="E353" s="4">
        <v>21.3</v>
      </c>
      <c r="F353" s="4">
        <v>17.3</v>
      </c>
      <c r="G353" s="4">
        <v>24.7</v>
      </c>
      <c r="H353" s="4">
        <v>20</v>
      </c>
      <c r="I353" s="4"/>
      <c r="J353" s="4">
        <v>3420</v>
      </c>
      <c r="K353" s="4">
        <v>51.2</v>
      </c>
      <c r="L353" s="4">
        <v>3.8460000000000001</v>
      </c>
      <c r="M353" s="4">
        <v>15.51</v>
      </c>
      <c r="N353" s="4">
        <v>25.3</v>
      </c>
      <c r="O353" s="4">
        <v>16.899999999999999</v>
      </c>
      <c r="P353" s="4">
        <v>149426.29999999999</v>
      </c>
      <c r="Q353" s="6">
        <f t="shared" si="76"/>
        <v>43.69190058479532</v>
      </c>
      <c r="R353" s="4">
        <v>81</v>
      </c>
      <c r="S353" s="4">
        <v>27</v>
      </c>
      <c r="T353" s="6">
        <f t="shared" si="77"/>
        <v>3.1578947368421053</v>
      </c>
      <c r="U353" s="4">
        <v>752.2</v>
      </c>
      <c r="V353" s="7">
        <f t="shared" si="78"/>
        <v>3.0587070727153796</v>
      </c>
      <c r="W353" s="7">
        <f t="shared" si="79"/>
        <v>3.9357395320454622</v>
      </c>
      <c r="X353" s="7">
        <f t="shared" si="80"/>
        <v>3.77716274361469</v>
      </c>
      <c r="Y353" s="7">
        <f t="shared" si="81"/>
        <v>6.6243307967829974</v>
      </c>
      <c r="Z353" s="7">
        <f t="shared" si="67"/>
        <v>3.8329797980876932</v>
      </c>
      <c r="AA353" s="7">
        <f t="shared" si="68"/>
        <v>3.641</v>
      </c>
      <c r="AB353" s="7">
        <f t="shared" si="69"/>
        <v>15.53</v>
      </c>
      <c r="AC353" s="7">
        <f t="shared" si="70"/>
        <v>23.4</v>
      </c>
      <c r="AD353" s="7">
        <f t="shared" si="71"/>
        <v>18.2</v>
      </c>
      <c r="AE353" s="7">
        <f t="shared" si="72"/>
        <v>3.5961360693583755</v>
      </c>
      <c r="AF353" s="7">
        <f t="shared" si="73"/>
        <v>3.0500322599565957</v>
      </c>
      <c r="AG353" s="7">
        <f t="shared" si="74"/>
        <v>6.3645786249984866</v>
      </c>
    </row>
    <row r="354" spans="1:33" x14ac:dyDescent="0.25">
      <c r="A354" s="4" t="s">
        <v>125</v>
      </c>
      <c r="B354" s="4">
        <v>2022</v>
      </c>
      <c r="C354" s="4" t="s">
        <v>99</v>
      </c>
      <c r="D354" s="5">
        <f t="shared" si="75"/>
        <v>1</v>
      </c>
      <c r="E354" s="4">
        <v>17.899999999999999</v>
      </c>
      <c r="F354" s="4">
        <v>19</v>
      </c>
      <c r="G354" s="4">
        <v>17.8</v>
      </c>
      <c r="H354" s="4">
        <v>17.399999999999999</v>
      </c>
      <c r="I354" s="4"/>
      <c r="J354" s="4">
        <v>1010.8</v>
      </c>
      <c r="K354" s="4">
        <v>79.8</v>
      </c>
      <c r="L354" s="4">
        <v>5.1070000000000002</v>
      </c>
      <c r="M354" s="4">
        <v>21.61</v>
      </c>
      <c r="N354" s="4">
        <v>31.8</v>
      </c>
      <c r="O354" s="4">
        <v>26.9</v>
      </c>
      <c r="P354" s="4">
        <v>38256.1</v>
      </c>
      <c r="Q354" s="6">
        <f t="shared" si="76"/>
        <v>37.847348634744755</v>
      </c>
      <c r="R354" s="4">
        <v>33</v>
      </c>
      <c r="S354" s="4">
        <v>2</v>
      </c>
      <c r="T354" s="6">
        <f t="shared" si="77"/>
        <v>3.4626038781163437</v>
      </c>
      <c r="U354" s="4">
        <v>1585.7</v>
      </c>
      <c r="V354" s="7">
        <f t="shared" si="78"/>
        <v>2.884800712846709</v>
      </c>
      <c r="W354" s="7">
        <f t="shared" si="79"/>
        <v>4.3795235044557632</v>
      </c>
      <c r="X354" s="7">
        <f t="shared" si="80"/>
        <v>3.6335609281497008</v>
      </c>
      <c r="Y354" s="7">
        <f t="shared" si="81"/>
        <v>7.369411666740044</v>
      </c>
      <c r="Z354" s="7">
        <f t="shared" si="67"/>
        <v>4.2584455729025272</v>
      </c>
      <c r="AA354" s="7">
        <f t="shared" si="68"/>
        <v>4.7089999999999996</v>
      </c>
      <c r="AB354" s="7">
        <f t="shared" si="69"/>
        <v>21.49</v>
      </c>
      <c r="AC354" s="7">
        <f t="shared" si="70"/>
        <v>31.7</v>
      </c>
      <c r="AD354" s="7">
        <f t="shared" si="71"/>
        <v>23.8</v>
      </c>
      <c r="AE354" s="7">
        <f t="shared" si="72"/>
        <v>3.2896017445069567</v>
      </c>
      <c r="AF354" s="7">
        <f t="shared" si="73"/>
        <v>4.1683207622072249</v>
      </c>
      <c r="AG354" s="7">
        <f t="shared" si="74"/>
        <v>7.3622010093119234</v>
      </c>
    </row>
    <row r="355" spans="1:33" x14ac:dyDescent="0.25">
      <c r="A355" s="4" t="s">
        <v>126</v>
      </c>
      <c r="B355" s="4">
        <v>2022</v>
      </c>
      <c r="C355" s="4" t="s">
        <v>92</v>
      </c>
      <c r="D355" s="5">
        <f t="shared" si="75"/>
        <v>0</v>
      </c>
      <c r="E355" s="4">
        <v>13.6</v>
      </c>
      <c r="F355" s="4">
        <v>20</v>
      </c>
      <c r="G355" s="4">
        <v>12.4</v>
      </c>
      <c r="H355" s="4">
        <v>11.5</v>
      </c>
      <c r="I355" s="4"/>
      <c r="J355" s="4">
        <v>598.70000000000005</v>
      </c>
      <c r="K355" s="4">
        <v>77.7</v>
      </c>
      <c r="L355" s="4">
        <v>4.9790000000000001</v>
      </c>
      <c r="M355" s="4">
        <v>35.46</v>
      </c>
      <c r="N355" s="4">
        <v>17.7</v>
      </c>
      <c r="O355" s="4">
        <v>21.3</v>
      </c>
      <c r="P355" s="4">
        <v>6763.8</v>
      </c>
      <c r="Q355" s="6">
        <f t="shared" si="76"/>
        <v>11.29747786871555</v>
      </c>
      <c r="R355" s="4">
        <v>5</v>
      </c>
      <c r="S355" s="4">
        <v>1</v>
      </c>
      <c r="T355" s="6">
        <f t="shared" si="77"/>
        <v>1.0021713713044931</v>
      </c>
      <c r="U355" s="4">
        <v>2898.1</v>
      </c>
      <c r="V355" s="7">
        <f t="shared" si="78"/>
        <v>2.6100697927420065</v>
      </c>
      <c r="W355" s="7">
        <f t="shared" si="79"/>
        <v>4.3528552573736015</v>
      </c>
      <c r="X355" s="7">
        <f t="shared" si="80"/>
        <v>2.4245795033472342</v>
      </c>
      <c r="Y355" s="7">
        <f t="shared" si="81"/>
        <v>7.9721556229800576</v>
      </c>
      <c r="Z355" s="7">
        <f t="shared" si="67"/>
        <v>4.2442003177664782</v>
      </c>
      <c r="AA355" s="7">
        <f t="shared" si="68"/>
        <v>4.72</v>
      </c>
      <c r="AB355" s="7">
        <f t="shared" si="69"/>
        <v>35.4</v>
      </c>
      <c r="AC355" s="7">
        <f t="shared" si="70"/>
        <v>18.8</v>
      </c>
      <c r="AD355" s="7">
        <f t="shared" si="71"/>
        <v>18.899999999999999</v>
      </c>
      <c r="AE355" s="7">
        <f t="shared" si="72"/>
        <v>2.1183153309552241</v>
      </c>
      <c r="AF355" s="7">
        <f t="shared" si="73"/>
        <v>1.3422818791946309</v>
      </c>
      <c r="AG355" s="7">
        <f t="shared" si="74"/>
        <v>7.9727418400005865</v>
      </c>
    </row>
    <row r="356" spans="1:33" x14ac:dyDescent="0.25">
      <c r="A356" s="4" t="s">
        <v>127</v>
      </c>
      <c r="B356" s="4">
        <v>2022</v>
      </c>
      <c r="C356" s="4" t="s">
        <v>96</v>
      </c>
      <c r="D356" s="5">
        <f t="shared" si="75"/>
        <v>0</v>
      </c>
      <c r="E356" s="4">
        <v>14.1</v>
      </c>
      <c r="F356" s="4">
        <v>17.2</v>
      </c>
      <c r="G356" s="4">
        <v>13</v>
      </c>
      <c r="H356" s="4">
        <v>13.7</v>
      </c>
      <c r="I356" s="4"/>
      <c r="J356" s="4">
        <v>1516.9</v>
      </c>
      <c r="K356" s="4">
        <v>59.6</v>
      </c>
      <c r="L356" s="4">
        <v>4.0229999999999997</v>
      </c>
      <c r="M356" s="4">
        <v>19.350000000000001</v>
      </c>
      <c r="N356" s="4">
        <v>33.200000000000003</v>
      </c>
      <c r="O356" s="4">
        <v>23.8</v>
      </c>
      <c r="P356" s="4">
        <v>31216</v>
      </c>
      <c r="Q356" s="6">
        <f t="shared" si="76"/>
        <v>20.578812050893269</v>
      </c>
      <c r="R356" s="4">
        <v>16</v>
      </c>
      <c r="S356" s="4">
        <v>4</v>
      </c>
      <c r="T356" s="6">
        <f t="shared" si="77"/>
        <v>1.3184784758388819</v>
      </c>
      <c r="U356" s="4">
        <v>2065.9</v>
      </c>
      <c r="V356" s="7">
        <f t="shared" si="78"/>
        <v>2.6461747973841225</v>
      </c>
      <c r="W356" s="7">
        <f t="shared" si="79"/>
        <v>4.0876555740713041</v>
      </c>
      <c r="X356" s="7">
        <f t="shared" si="80"/>
        <v>3.0242620052652658</v>
      </c>
      <c r="Y356" s="7">
        <f t="shared" si="81"/>
        <v>7.6338051792177906</v>
      </c>
      <c r="Z356" s="7">
        <f t="shared" si="67"/>
        <v>3.9889840465642745</v>
      </c>
      <c r="AA356" s="7">
        <f t="shared" si="68"/>
        <v>3.706</v>
      </c>
      <c r="AB356" s="7">
        <f t="shared" si="69"/>
        <v>19.100000000000001</v>
      </c>
      <c r="AC356" s="7">
        <f t="shared" si="70"/>
        <v>34.6</v>
      </c>
      <c r="AD356" s="7">
        <f t="shared" si="71"/>
        <v>26</v>
      </c>
      <c r="AE356" s="7">
        <f t="shared" si="72"/>
        <v>2.9197104926673556</v>
      </c>
      <c r="AF356" s="7">
        <f t="shared" si="73"/>
        <v>1.2603648424543947</v>
      </c>
      <c r="AG356" s="7">
        <f t="shared" si="74"/>
        <v>7.4587050538322819</v>
      </c>
    </row>
    <row r="357" spans="1:33" x14ac:dyDescent="0.25">
      <c r="A357" s="4" t="s">
        <v>128</v>
      </c>
      <c r="B357" s="4">
        <v>2022</v>
      </c>
      <c r="C357" s="4" t="s">
        <v>92</v>
      </c>
      <c r="D357" s="5">
        <f t="shared" si="75"/>
        <v>0</v>
      </c>
      <c r="E357" s="4">
        <v>14</v>
      </c>
      <c r="F357" s="4">
        <v>14.6</v>
      </c>
      <c r="G357" s="4">
        <v>14</v>
      </c>
      <c r="H357" s="4">
        <v>13.8</v>
      </c>
      <c r="I357" s="4"/>
      <c r="J357" s="4">
        <v>876.6</v>
      </c>
      <c r="K357" s="4">
        <v>57.4</v>
      </c>
      <c r="L357" s="4">
        <v>3.7690000000000001</v>
      </c>
      <c r="M357" s="4">
        <v>32.71</v>
      </c>
      <c r="N357" s="4">
        <v>21.7</v>
      </c>
      <c r="O357" s="4">
        <v>20.7</v>
      </c>
      <c r="P357" s="4">
        <v>10777.1</v>
      </c>
      <c r="Q357" s="6">
        <f t="shared" si="76"/>
        <v>12.294204882500571</v>
      </c>
      <c r="R357" s="4">
        <v>3</v>
      </c>
      <c r="S357" s="4">
        <v>1</v>
      </c>
      <c r="T357" s="6">
        <f t="shared" si="77"/>
        <v>0.45630846452201684</v>
      </c>
      <c r="U357" s="4">
        <v>2321.1999999999998</v>
      </c>
      <c r="V357" s="7">
        <f t="shared" si="78"/>
        <v>2.6390573296152584</v>
      </c>
      <c r="W357" s="7">
        <f t="shared" si="79"/>
        <v>4.0500443033255209</v>
      </c>
      <c r="X357" s="7">
        <f t="shared" si="80"/>
        <v>2.5091280035892085</v>
      </c>
      <c r="Y357" s="7">
        <f t="shared" si="81"/>
        <v>7.7502702911929058</v>
      </c>
      <c r="Z357" s="7">
        <f t="shared" si="67"/>
        <v>3.9415818076696905</v>
      </c>
      <c r="AA357" s="7">
        <f t="shared" si="68"/>
        <v>3.5270000000000001</v>
      </c>
      <c r="AB357" s="7">
        <f t="shared" si="69"/>
        <v>32.700000000000003</v>
      </c>
      <c r="AC357" s="7">
        <f t="shared" si="70"/>
        <v>21.6</v>
      </c>
      <c r="AD357" s="7">
        <f t="shared" si="71"/>
        <v>23.4</v>
      </c>
      <c r="AE357" s="7">
        <f t="shared" si="72"/>
        <v>2.4054776886278812</v>
      </c>
      <c r="AF357" s="7">
        <f t="shared" si="73"/>
        <v>0.45688178183894917</v>
      </c>
      <c r="AG357" s="7">
        <f t="shared" si="74"/>
        <v>7.7521202712847028</v>
      </c>
    </row>
    <row r="358" spans="1:33" x14ac:dyDescent="0.25">
      <c r="A358" s="4" t="s">
        <v>129</v>
      </c>
      <c r="B358" s="4">
        <v>2022</v>
      </c>
      <c r="C358" s="4" t="s">
        <v>92</v>
      </c>
      <c r="D358" s="5">
        <f t="shared" si="75"/>
        <v>0</v>
      </c>
      <c r="E358" s="4">
        <v>14.2</v>
      </c>
      <c r="F358" s="4">
        <v>16</v>
      </c>
      <c r="G358" s="4">
        <v>14</v>
      </c>
      <c r="H358" s="4">
        <v>13.5</v>
      </c>
      <c r="I358" s="4"/>
      <c r="J358" s="4">
        <v>913.9</v>
      </c>
      <c r="K358" s="4">
        <v>54.3</v>
      </c>
      <c r="L358" s="4">
        <v>5.5030000000000001</v>
      </c>
      <c r="M358" s="4">
        <v>23.16</v>
      </c>
      <c r="N358" s="4">
        <v>27</v>
      </c>
      <c r="O358" s="4">
        <v>14.7</v>
      </c>
      <c r="P358" s="4">
        <v>26993.9</v>
      </c>
      <c r="Q358" s="6">
        <f t="shared" si="76"/>
        <v>29.537039063354854</v>
      </c>
      <c r="R358" s="4">
        <v>7</v>
      </c>
      <c r="S358" s="4">
        <v>1</v>
      </c>
      <c r="T358" s="6">
        <f t="shared" si="77"/>
        <v>0.87536929642192796</v>
      </c>
      <c r="U358" s="4">
        <v>1221.5</v>
      </c>
      <c r="V358" s="7">
        <f t="shared" si="78"/>
        <v>2.653241964607215</v>
      </c>
      <c r="W358" s="7">
        <f t="shared" si="79"/>
        <v>3.9945242269398897</v>
      </c>
      <c r="X358" s="7">
        <f t="shared" si="80"/>
        <v>3.3856450372572775</v>
      </c>
      <c r="Y358" s="7">
        <f t="shared" si="81"/>
        <v>7.1086532213490274</v>
      </c>
      <c r="Z358" s="7">
        <f t="shared" si="67"/>
        <v>3.8979240810486444</v>
      </c>
      <c r="AA358" s="7">
        <f t="shared" si="68"/>
        <v>5.1980000000000004</v>
      </c>
      <c r="AB358" s="7">
        <f t="shared" si="69"/>
        <v>23.07</v>
      </c>
      <c r="AC358" s="7">
        <f t="shared" si="70"/>
        <v>26.5</v>
      </c>
      <c r="AD358" s="7">
        <f t="shared" si="71"/>
        <v>17.100000000000001</v>
      </c>
      <c r="AE358" s="7">
        <f t="shared" si="72"/>
        <v>3.2920270892288088</v>
      </c>
      <c r="AF358" s="7">
        <f t="shared" si="73"/>
        <v>0.87844515208081697</v>
      </c>
      <c r="AG358" s="7">
        <f t="shared" si="74"/>
        <v>7.1121644322400961</v>
      </c>
    </row>
    <row r="359" spans="1:33" x14ac:dyDescent="0.25">
      <c r="A359" s="4" t="s">
        <v>130</v>
      </c>
      <c r="B359" s="4">
        <v>2022</v>
      </c>
      <c r="C359" s="4" t="s">
        <v>92</v>
      </c>
      <c r="D359" s="5">
        <f t="shared" si="75"/>
        <v>0</v>
      </c>
      <c r="E359" s="4">
        <v>16</v>
      </c>
      <c r="F359" s="4">
        <v>20.6</v>
      </c>
      <c r="G359" s="4">
        <v>15.6</v>
      </c>
      <c r="H359" s="4">
        <v>14.1</v>
      </c>
      <c r="I359" s="4"/>
      <c r="J359" s="4">
        <v>1519.4</v>
      </c>
      <c r="K359" s="4">
        <v>78.7</v>
      </c>
      <c r="L359" s="4">
        <v>5.4340000000000002</v>
      </c>
      <c r="M359" s="4">
        <v>26.81</v>
      </c>
      <c r="N359" s="4">
        <v>26.7</v>
      </c>
      <c r="O359" s="4">
        <v>20.9</v>
      </c>
      <c r="P359" s="4">
        <v>16358</v>
      </c>
      <c r="Q359" s="6">
        <f t="shared" si="76"/>
        <v>10.766091878373041</v>
      </c>
      <c r="R359" s="4">
        <v>2</v>
      </c>
      <c r="S359" s="4">
        <v>0</v>
      </c>
      <c r="T359" s="6">
        <f t="shared" si="77"/>
        <v>0.13163090693694879</v>
      </c>
      <c r="U359" s="4">
        <v>4173.1000000000004</v>
      </c>
      <c r="V359" s="7">
        <f t="shared" si="78"/>
        <v>2.7725887222397811</v>
      </c>
      <c r="W359" s="7">
        <f t="shared" si="79"/>
        <v>4.3656431554233572</v>
      </c>
      <c r="X359" s="7">
        <f t="shared" si="80"/>
        <v>2.3764015542257981</v>
      </c>
      <c r="Y359" s="7">
        <f t="shared" si="81"/>
        <v>8.3366540451843729</v>
      </c>
      <c r="Z359" s="7">
        <f t="shared" si="67"/>
        <v>4.2456340097683265</v>
      </c>
      <c r="AA359" s="7">
        <f t="shared" si="68"/>
        <v>5.2060000000000004</v>
      </c>
      <c r="AB359" s="7">
        <f t="shared" si="69"/>
        <v>26.43</v>
      </c>
      <c r="AC359" s="7">
        <f t="shared" si="70"/>
        <v>26.6</v>
      </c>
      <c r="AD359" s="7">
        <f t="shared" si="71"/>
        <v>23.3</v>
      </c>
      <c r="AE359" s="7">
        <f t="shared" si="72"/>
        <v>2.2978653786368319</v>
      </c>
      <c r="AF359" s="7">
        <f t="shared" si="73"/>
        <v>0.26341784655910438</v>
      </c>
      <c r="AG359" s="7">
        <f t="shared" si="74"/>
        <v>8.29172193309285</v>
      </c>
    </row>
    <row r="360" spans="1:33" x14ac:dyDescent="0.25">
      <c r="A360" s="4" t="s">
        <v>131</v>
      </c>
      <c r="B360" s="4">
        <v>2022</v>
      </c>
      <c r="C360" s="4" t="s">
        <v>92</v>
      </c>
      <c r="D360" s="5">
        <f t="shared" si="75"/>
        <v>0</v>
      </c>
      <c r="E360" s="4">
        <v>14.1</v>
      </c>
      <c r="F360" s="4">
        <v>16.600000000000001</v>
      </c>
      <c r="G360" s="4">
        <v>14.6</v>
      </c>
      <c r="H360" s="4">
        <v>12.2</v>
      </c>
      <c r="I360" s="4"/>
      <c r="J360" s="4">
        <v>1245.5999999999999</v>
      </c>
      <c r="K360" s="4">
        <v>99.9</v>
      </c>
      <c r="L360" s="4">
        <v>4.45</v>
      </c>
      <c r="M360" s="4">
        <v>21.85</v>
      </c>
      <c r="N360" s="4">
        <v>25.2</v>
      </c>
      <c r="O360" s="4">
        <v>21.8</v>
      </c>
      <c r="P360" s="4">
        <v>13468.4</v>
      </c>
      <c r="Q360" s="6">
        <f t="shared" si="76"/>
        <v>10.812780989081567</v>
      </c>
      <c r="R360" s="4">
        <v>8</v>
      </c>
      <c r="S360" s="4">
        <v>2</v>
      </c>
      <c r="T360" s="6">
        <f t="shared" si="77"/>
        <v>0.80282594733461798</v>
      </c>
      <c r="U360" s="4">
        <v>1713.9</v>
      </c>
      <c r="V360" s="7">
        <f t="shared" si="78"/>
        <v>2.6461747973841225</v>
      </c>
      <c r="W360" s="7">
        <f t="shared" si="79"/>
        <v>4.604169685654508</v>
      </c>
      <c r="X360" s="7">
        <f t="shared" si="80"/>
        <v>2.3807288593498392</v>
      </c>
      <c r="Y360" s="7">
        <f t="shared" si="81"/>
        <v>7.4471100488621014</v>
      </c>
      <c r="Z360" s="7">
        <f t="shared" si="67"/>
        <v>4.4006030202468169</v>
      </c>
      <c r="AA360" s="7">
        <f t="shared" si="68"/>
        <v>4.3529999999999998</v>
      </c>
      <c r="AB360" s="7">
        <f t="shared" si="69"/>
        <v>21.12</v>
      </c>
      <c r="AC360" s="7">
        <f t="shared" si="70"/>
        <v>26.1</v>
      </c>
      <c r="AD360" s="7">
        <f t="shared" si="71"/>
        <v>22.2</v>
      </c>
      <c r="AE360" s="7">
        <f t="shared" si="72"/>
        <v>2.0659680114008911</v>
      </c>
      <c r="AF360" s="7">
        <f t="shared" si="73"/>
        <v>0.80379390724218314</v>
      </c>
      <c r="AG360" s="7">
        <f t="shared" si="74"/>
        <v>7.3976840770351426</v>
      </c>
    </row>
    <row r="361" spans="1:33" x14ac:dyDescent="0.25">
      <c r="A361" s="4" t="s">
        <v>132</v>
      </c>
      <c r="B361" s="4">
        <v>2022</v>
      </c>
      <c r="C361" s="4" t="s">
        <v>99</v>
      </c>
      <c r="D361" s="5">
        <f t="shared" si="75"/>
        <v>1</v>
      </c>
      <c r="E361" s="4">
        <v>21.3</v>
      </c>
      <c r="F361" s="4">
        <v>22.7</v>
      </c>
      <c r="G361" s="4">
        <v>22.2</v>
      </c>
      <c r="H361" s="4">
        <v>19.600000000000001</v>
      </c>
      <c r="I361" s="4"/>
      <c r="J361" s="4">
        <v>1362.9</v>
      </c>
      <c r="K361" s="4">
        <v>195.3</v>
      </c>
      <c r="L361" s="4">
        <v>7.27</v>
      </c>
      <c r="M361" s="4">
        <v>67.36</v>
      </c>
      <c r="N361" s="4">
        <v>41.8</v>
      </c>
      <c r="O361" s="4">
        <v>21.6</v>
      </c>
      <c r="P361" s="4">
        <v>60472.7</v>
      </c>
      <c r="Q361" s="6">
        <f t="shared" si="76"/>
        <v>44.3706067943356</v>
      </c>
      <c r="R361" s="4">
        <v>26</v>
      </c>
      <c r="S361" s="4">
        <v>7</v>
      </c>
      <c r="T361" s="6">
        <f t="shared" si="77"/>
        <v>2.4213075060532687</v>
      </c>
      <c r="U361" s="4">
        <v>7464</v>
      </c>
      <c r="V361" s="7">
        <f t="shared" si="78"/>
        <v>3.0587070727153796</v>
      </c>
      <c r="W361" s="7">
        <f t="shared" si="79"/>
        <v>5.2745368378826329</v>
      </c>
      <c r="X361" s="7">
        <f t="shared" si="80"/>
        <v>3.7925772410767871</v>
      </c>
      <c r="Y361" s="7">
        <f t="shared" si="81"/>
        <v>8.9179807099732908</v>
      </c>
      <c r="Z361" s="7">
        <f t="shared" si="67"/>
        <v>5.136974216139274</v>
      </c>
      <c r="AA361" s="7">
        <f t="shared" si="68"/>
        <v>7.0090000000000003</v>
      </c>
      <c r="AB361" s="7">
        <f t="shared" si="69"/>
        <v>67.36</v>
      </c>
      <c r="AC361" s="7">
        <f t="shared" si="70"/>
        <v>41.4</v>
      </c>
      <c r="AD361" s="7">
        <f t="shared" si="71"/>
        <v>25.3</v>
      </c>
      <c r="AE361" s="7">
        <f t="shared" si="72"/>
        <v>3.5549651462729521</v>
      </c>
      <c r="AF361" s="7">
        <f t="shared" si="73"/>
        <v>2.517026946994374</v>
      </c>
      <c r="AG361" s="7">
        <f t="shared" si="74"/>
        <v>8.6803998843505106</v>
      </c>
    </row>
    <row r="362" spans="1:33" x14ac:dyDescent="0.25">
      <c r="A362" s="4" t="s">
        <v>133</v>
      </c>
      <c r="B362" s="4">
        <v>2022</v>
      </c>
      <c r="C362" s="4" t="s">
        <v>92</v>
      </c>
      <c r="D362" s="5">
        <f t="shared" si="75"/>
        <v>0</v>
      </c>
      <c r="E362" s="4">
        <v>13.9</v>
      </c>
      <c r="F362" s="4">
        <v>14.9</v>
      </c>
      <c r="G362" s="4">
        <v>14</v>
      </c>
      <c r="H362" s="4">
        <v>13.3</v>
      </c>
      <c r="I362" s="4"/>
      <c r="J362" s="4">
        <v>650.9</v>
      </c>
      <c r="K362" s="4">
        <v>67.2</v>
      </c>
      <c r="L362" s="4">
        <v>5.0279999999999996</v>
      </c>
      <c r="M362" s="4">
        <v>32.659999999999997</v>
      </c>
      <c r="N362" s="4">
        <v>27.1</v>
      </c>
      <c r="O362" s="4">
        <v>28.4</v>
      </c>
      <c r="P362" s="4">
        <v>12105.4</v>
      </c>
      <c r="Q362" s="6">
        <f t="shared" si="76"/>
        <v>18.597941312029498</v>
      </c>
      <c r="R362" s="4">
        <v>39</v>
      </c>
      <c r="S362" s="4">
        <v>1</v>
      </c>
      <c r="T362" s="6">
        <f t="shared" si="77"/>
        <v>6.145337225380243</v>
      </c>
      <c r="U362" s="4">
        <v>3878</v>
      </c>
      <c r="V362" s="7">
        <f t="shared" si="78"/>
        <v>2.631888840136646</v>
      </c>
      <c r="W362" s="7">
        <f t="shared" si="79"/>
        <v>4.2076732475291037</v>
      </c>
      <c r="X362" s="7">
        <f t="shared" si="80"/>
        <v>2.9230508924444827</v>
      </c>
      <c r="Y362" s="7">
        <f t="shared" si="81"/>
        <v>8.2633326674399665</v>
      </c>
      <c r="Z362" s="7">
        <f t="shared" si="67"/>
        <v>4.0587173845789497</v>
      </c>
      <c r="AA362" s="7">
        <f t="shared" si="68"/>
        <v>4.7220000000000004</v>
      </c>
      <c r="AB362" s="7">
        <f t="shared" si="69"/>
        <v>32.57</v>
      </c>
      <c r="AC362" s="7">
        <f t="shared" si="70"/>
        <v>27.7</v>
      </c>
      <c r="AD362" s="7">
        <f t="shared" si="71"/>
        <v>26.3</v>
      </c>
      <c r="AE362" s="7">
        <f t="shared" si="72"/>
        <v>2.8465361105571962</v>
      </c>
      <c r="AF362" s="7">
        <f t="shared" si="73"/>
        <v>3.3961099104661931</v>
      </c>
      <c r="AG362" s="7">
        <f t="shared" si="74"/>
        <v>8.2691420043958423</v>
      </c>
    </row>
    <row r="363" spans="1:33" x14ac:dyDescent="0.25">
      <c r="A363" s="4" t="s">
        <v>134</v>
      </c>
      <c r="B363" s="4">
        <v>2022</v>
      </c>
      <c r="C363" s="4" t="s">
        <v>86</v>
      </c>
      <c r="D363" s="5">
        <f t="shared" si="75"/>
        <v>0</v>
      </c>
      <c r="E363" s="4"/>
      <c r="F363" s="4"/>
      <c r="G363" s="4"/>
      <c r="H363" s="4"/>
      <c r="I363" s="4"/>
      <c r="J363" s="4">
        <v>1197.8</v>
      </c>
      <c r="K363" s="4">
        <v>55.3</v>
      </c>
      <c r="L363" s="4">
        <v>2.4169999999999998</v>
      </c>
      <c r="M363" s="4">
        <v>33.869999999999997</v>
      </c>
      <c r="N363" s="4">
        <v>12</v>
      </c>
      <c r="O363" s="4">
        <v>15.8</v>
      </c>
      <c r="P363" s="4">
        <v>6195.9</v>
      </c>
      <c r="Q363" s="6">
        <f t="shared" si="76"/>
        <v>5.1727333444648522</v>
      </c>
      <c r="R363" s="4">
        <v>42</v>
      </c>
      <c r="S363" s="4">
        <v>2</v>
      </c>
      <c r="T363" s="6">
        <f t="shared" si="77"/>
        <v>3.6734012355985972</v>
      </c>
      <c r="U363" s="4">
        <v>284.39999999999998</v>
      </c>
      <c r="V363" s="7" t="str">
        <f t="shared" si="78"/>
        <v/>
      </c>
      <c r="W363" s="7">
        <f t="shared" si="79"/>
        <v>4.0127729085282891</v>
      </c>
      <c r="X363" s="7">
        <f t="shared" si="80"/>
        <v>1.643401242131352</v>
      </c>
      <c r="Y363" s="7">
        <f t="shared" si="81"/>
        <v>5.653891705042736</v>
      </c>
      <c r="Z363" s="7">
        <f t="shared" si="67"/>
        <v>3.8732821771117156</v>
      </c>
      <c r="AA363" s="7">
        <f t="shared" si="68"/>
        <v>2.331</v>
      </c>
      <c r="AB363" s="7">
        <f t="shared" si="69"/>
        <v>32.43</v>
      </c>
      <c r="AC363" s="7">
        <f t="shared" si="70"/>
        <v>11.9</v>
      </c>
      <c r="AD363" s="7">
        <f t="shared" si="71"/>
        <v>15.3</v>
      </c>
      <c r="AE363" s="7">
        <f t="shared" si="72"/>
        <v>1.4168751637969541</v>
      </c>
      <c r="AF363" s="7">
        <f t="shared" si="73"/>
        <v>1.8230029830957906</v>
      </c>
      <c r="AG363" s="7">
        <f t="shared" si="74"/>
        <v>5.2501769912201013</v>
      </c>
    </row>
    <row r="364" spans="1:33" x14ac:dyDescent="0.25">
      <c r="A364" s="4" t="s">
        <v>135</v>
      </c>
      <c r="B364" s="4">
        <v>2022</v>
      </c>
      <c r="C364" s="4" t="s">
        <v>96</v>
      </c>
      <c r="D364" s="5">
        <f t="shared" si="75"/>
        <v>0</v>
      </c>
      <c r="E364" s="4"/>
      <c r="F364" s="4"/>
      <c r="G364" s="4"/>
      <c r="H364" s="4"/>
      <c r="I364" s="4"/>
      <c r="J364" s="4">
        <v>1300.0999999999999</v>
      </c>
      <c r="K364" s="4">
        <v>48.8</v>
      </c>
      <c r="L364" s="4">
        <v>1.64</v>
      </c>
      <c r="M364" s="4">
        <v>13.98</v>
      </c>
      <c r="N364" s="4">
        <v>18.5</v>
      </c>
      <c r="O364" s="4">
        <v>16.2</v>
      </c>
      <c r="P364" s="4">
        <v>5887.4</v>
      </c>
      <c r="Q364" s="6">
        <f t="shared" si="76"/>
        <v>4.5284208907007155</v>
      </c>
      <c r="R364" s="4">
        <v>4</v>
      </c>
      <c r="S364" s="4">
        <v>1</v>
      </c>
      <c r="T364" s="6">
        <f t="shared" si="77"/>
        <v>0.38458580109222368</v>
      </c>
      <c r="U364" s="4">
        <v>104.4</v>
      </c>
      <c r="V364" s="7" t="str">
        <f t="shared" si="78"/>
        <v/>
      </c>
      <c r="W364" s="7">
        <f t="shared" si="79"/>
        <v>3.8877303128591016</v>
      </c>
      <c r="X364" s="7">
        <f t="shared" si="80"/>
        <v>1.5103732894742969</v>
      </c>
      <c r="Y364" s="7">
        <f t="shared" si="81"/>
        <v>4.6577626361072619</v>
      </c>
      <c r="Z364" s="7">
        <f t="shared" si="67"/>
        <v>3.7909846770510898</v>
      </c>
      <c r="AA364" s="7">
        <f t="shared" si="68"/>
        <v>1.6180000000000001</v>
      </c>
      <c r="AB364" s="7">
        <f t="shared" si="69"/>
        <v>13.99</v>
      </c>
      <c r="AC364" s="7">
        <f t="shared" si="70"/>
        <v>16.8</v>
      </c>
      <c r="AD364" s="7">
        <f t="shared" si="71"/>
        <v>13.7</v>
      </c>
      <c r="AE364" s="7">
        <f t="shared" si="72"/>
        <v>1.4010563412370165</v>
      </c>
      <c r="AF364" s="7">
        <f t="shared" si="73"/>
        <v>0.46594703735342086</v>
      </c>
      <c r="AG364" s="7">
        <f t="shared" si="74"/>
        <v>4.667205576907544</v>
      </c>
    </row>
    <row r="365" spans="1:33" x14ac:dyDescent="0.25">
      <c r="A365" s="4" t="s">
        <v>136</v>
      </c>
      <c r="B365" s="4">
        <v>2022</v>
      </c>
      <c r="C365" s="4" t="s">
        <v>88</v>
      </c>
      <c r="D365" s="5">
        <f t="shared" si="75"/>
        <v>1</v>
      </c>
      <c r="E365" s="4">
        <v>90.6</v>
      </c>
      <c r="F365" s="4">
        <v>97.1</v>
      </c>
      <c r="G365" s="4">
        <v>83.3</v>
      </c>
      <c r="H365" s="4">
        <v>94.7</v>
      </c>
      <c r="I365" s="4"/>
      <c r="J365" s="4">
        <v>9389.7000000000007</v>
      </c>
      <c r="K365" s="4">
        <v>159.5</v>
      </c>
      <c r="L365" s="4">
        <v>29.187999999999999</v>
      </c>
      <c r="M365" s="4">
        <v>77.72</v>
      </c>
      <c r="N365" s="4">
        <v>35.6</v>
      </c>
      <c r="O365" s="4">
        <v>54.4</v>
      </c>
      <c r="P365" s="4">
        <v>135829.4</v>
      </c>
      <c r="Q365" s="6">
        <f t="shared" si="76"/>
        <v>14.465786979349712</v>
      </c>
      <c r="R365" s="4">
        <v>240</v>
      </c>
      <c r="S365" s="4">
        <v>47</v>
      </c>
      <c r="T365" s="6">
        <f t="shared" si="77"/>
        <v>3.0565406775509332</v>
      </c>
      <c r="U365" s="4">
        <v>5990.4</v>
      </c>
      <c r="V365" s="7">
        <f t="shared" si="78"/>
        <v>4.5064542130489338</v>
      </c>
      <c r="W365" s="7">
        <f t="shared" si="79"/>
        <v>5.072043922224899</v>
      </c>
      <c r="X365" s="7">
        <f t="shared" si="80"/>
        <v>2.6717863427103232</v>
      </c>
      <c r="Y365" s="7">
        <f t="shared" si="81"/>
        <v>8.6980803866720127</v>
      </c>
      <c r="Z365" s="7">
        <f t="shared" si="67"/>
        <v>4.9836066217083363</v>
      </c>
      <c r="AA365" s="7">
        <f t="shared" si="68"/>
        <v>29.286999999999999</v>
      </c>
      <c r="AB365" s="7">
        <f t="shared" si="69"/>
        <v>78.98</v>
      </c>
      <c r="AC365" s="7">
        <f t="shared" si="70"/>
        <v>35.6</v>
      </c>
      <c r="AD365" s="7">
        <f t="shared" si="71"/>
        <v>48</v>
      </c>
      <c r="AE365" s="7">
        <f t="shared" si="72"/>
        <v>2.4792900787168963</v>
      </c>
      <c r="AF365" s="7">
        <f t="shared" si="73"/>
        <v>3.0872278221407692</v>
      </c>
      <c r="AG365" s="7">
        <f t="shared" si="74"/>
        <v>8.661154997655558</v>
      </c>
    </row>
    <row r="366" spans="1:33" x14ac:dyDescent="0.25">
      <c r="A366" s="4" t="s">
        <v>137</v>
      </c>
      <c r="B366" s="4">
        <v>2022</v>
      </c>
      <c r="C366" s="4" t="s">
        <v>92</v>
      </c>
      <c r="D366" s="5">
        <f t="shared" si="75"/>
        <v>0</v>
      </c>
      <c r="E366" s="4">
        <v>21.3</v>
      </c>
      <c r="F366" s="4">
        <v>16.899999999999999</v>
      </c>
      <c r="G366" s="4">
        <v>26.7</v>
      </c>
      <c r="H366" s="4">
        <v>18</v>
      </c>
      <c r="I366" s="4"/>
      <c r="J366" s="4">
        <v>3722.1</v>
      </c>
      <c r="K366" s="4">
        <v>69.099999999999994</v>
      </c>
      <c r="L366" s="4">
        <v>4.1630000000000003</v>
      </c>
      <c r="M366" s="4">
        <v>27.67</v>
      </c>
      <c r="N366" s="4">
        <v>26.4</v>
      </c>
      <c r="O366" s="4">
        <v>18</v>
      </c>
      <c r="P366" s="4">
        <v>57499.3</v>
      </c>
      <c r="Q366" s="6">
        <f t="shared" si="76"/>
        <v>15.448080384729051</v>
      </c>
      <c r="R366" s="4">
        <v>27</v>
      </c>
      <c r="S366" s="4">
        <v>2</v>
      </c>
      <c r="T366" s="6">
        <f t="shared" si="77"/>
        <v>0.77913006098707716</v>
      </c>
      <c r="U366" s="4">
        <v>3990.1</v>
      </c>
      <c r="V366" s="7">
        <f t="shared" si="78"/>
        <v>3.0587070727153796</v>
      </c>
      <c r="W366" s="7">
        <f t="shared" si="79"/>
        <v>4.2355547307736243</v>
      </c>
      <c r="X366" s="7">
        <f t="shared" si="80"/>
        <v>2.7374847486813603</v>
      </c>
      <c r="Y366" s="7">
        <f t="shared" si="81"/>
        <v>8.2918221611116767</v>
      </c>
      <c r="Z366" s="7">
        <f t="shared" si="67"/>
        <v>4.0535225677018456</v>
      </c>
      <c r="AA366" s="7">
        <f t="shared" si="68"/>
        <v>3.7909999999999999</v>
      </c>
      <c r="AB366" s="7">
        <f t="shared" si="69"/>
        <v>26.73</v>
      </c>
      <c r="AC366" s="7">
        <f t="shared" si="70"/>
        <v>25.1</v>
      </c>
      <c r="AD366" s="7">
        <f t="shared" si="71"/>
        <v>15.7</v>
      </c>
      <c r="AE366" s="7">
        <f t="shared" si="72"/>
        <v>2.6355589746238302</v>
      </c>
      <c r="AF366" s="7">
        <f t="shared" si="73"/>
        <v>0.80723280594123348</v>
      </c>
      <c r="AG366" s="7">
        <f t="shared" si="74"/>
        <v>8.2841508079227797</v>
      </c>
    </row>
    <row r="367" spans="1:33" x14ac:dyDescent="0.25">
      <c r="A367" s="4" t="s">
        <v>138</v>
      </c>
      <c r="B367" s="4">
        <v>2022</v>
      </c>
      <c r="C367" s="4" t="s">
        <v>99</v>
      </c>
      <c r="D367" s="5">
        <f t="shared" si="75"/>
        <v>1</v>
      </c>
      <c r="E367" s="4">
        <v>16.600000000000001</v>
      </c>
      <c r="F367" s="4">
        <v>18.7</v>
      </c>
      <c r="G367" s="4">
        <v>18</v>
      </c>
      <c r="H367" s="4">
        <v>14.3</v>
      </c>
      <c r="I367" s="4"/>
      <c r="J367" s="4">
        <v>1878.5</v>
      </c>
      <c r="K367" s="4">
        <v>57.7</v>
      </c>
      <c r="L367" s="4">
        <v>3.1579999999999999</v>
      </c>
      <c r="M367" s="4">
        <v>11.76</v>
      </c>
      <c r="N367" s="4">
        <v>19.600000000000001</v>
      </c>
      <c r="O367" s="4">
        <v>14.8</v>
      </c>
      <c r="P367" s="4">
        <v>10991.8</v>
      </c>
      <c r="Q367" s="6">
        <f t="shared" si="76"/>
        <v>5.851370774554165</v>
      </c>
      <c r="R367" s="4">
        <v>15</v>
      </c>
      <c r="S367" s="4">
        <v>2</v>
      </c>
      <c r="T367" s="6">
        <f t="shared" si="77"/>
        <v>0.90497737556561098</v>
      </c>
      <c r="U367" s="4">
        <v>1049.5999999999999</v>
      </c>
      <c r="V367" s="7">
        <f t="shared" si="78"/>
        <v>2.8094026953624978</v>
      </c>
      <c r="W367" s="7">
        <f t="shared" si="79"/>
        <v>4.0552571735140539</v>
      </c>
      <c r="X367" s="7">
        <f t="shared" si="80"/>
        <v>1.7666759542316288</v>
      </c>
      <c r="Y367" s="7">
        <f t="shared" si="81"/>
        <v>6.9571167085198606</v>
      </c>
      <c r="Z367" s="7">
        <f t="shared" si="67"/>
        <v>3.9435216724875173</v>
      </c>
      <c r="AA367" s="7">
        <f t="shared" si="68"/>
        <v>2.9249999999999998</v>
      </c>
      <c r="AB367" s="7">
        <f t="shared" si="69"/>
        <v>11.75</v>
      </c>
      <c r="AC367" s="7">
        <f t="shared" si="70"/>
        <v>19.3</v>
      </c>
      <c r="AD367" s="7">
        <f t="shared" si="71"/>
        <v>12.5</v>
      </c>
      <c r="AE367" s="7">
        <f t="shared" si="72"/>
        <v>1.5029204939427558</v>
      </c>
      <c r="AF367" s="7">
        <f t="shared" si="73"/>
        <v>0.85383424942633013</v>
      </c>
      <c r="AG367" s="7">
        <f t="shared" si="74"/>
        <v>6.616868075581408</v>
      </c>
    </row>
    <row r="368" spans="1:33" x14ac:dyDescent="0.25">
      <c r="A368" s="4" t="s">
        <v>139</v>
      </c>
      <c r="B368" s="4">
        <v>2022</v>
      </c>
      <c r="C368" s="4" t="s">
        <v>96</v>
      </c>
      <c r="D368" s="5">
        <f t="shared" si="75"/>
        <v>0</v>
      </c>
      <c r="E368" s="4">
        <v>20.399999999999999</v>
      </c>
      <c r="F368" s="4">
        <v>18.2</v>
      </c>
      <c r="G368" s="4">
        <v>25.1</v>
      </c>
      <c r="H368" s="4">
        <v>16.899999999999999</v>
      </c>
      <c r="I368" s="4"/>
      <c r="J368" s="4">
        <v>1336</v>
      </c>
      <c r="K368" s="4">
        <v>108.1</v>
      </c>
      <c r="L368" s="4">
        <v>4.07</v>
      </c>
      <c r="M368" s="4">
        <v>39.340000000000003</v>
      </c>
      <c r="N368" s="4">
        <v>35.9</v>
      </c>
      <c r="O368" s="4">
        <v>27.6</v>
      </c>
      <c r="P368" s="4">
        <v>49529</v>
      </c>
      <c r="Q368" s="6">
        <f t="shared" si="76"/>
        <v>37.072604790419163</v>
      </c>
      <c r="R368" s="4">
        <v>19</v>
      </c>
      <c r="S368" s="4">
        <v>4</v>
      </c>
      <c r="T368" s="6">
        <f t="shared" si="77"/>
        <v>1.721556886227545</v>
      </c>
      <c r="U368" s="4">
        <v>7847.2</v>
      </c>
      <c r="V368" s="7">
        <f t="shared" si="78"/>
        <v>3.0155349008501706</v>
      </c>
      <c r="W368" s="7">
        <f t="shared" si="79"/>
        <v>4.6830567246451622</v>
      </c>
      <c r="X368" s="7">
        <f t="shared" si="80"/>
        <v>3.6128782814979066</v>
      </c>
      <c r="Y368" s="7">
        <f t="shared" si="81"/>
        <v>8.9680394851202792</v>
      </c>
      <c r="Z368" s="7">
        <f t="shared" si="67"/>
        <v>4.6051701859880918</v>
      </c>
      <c r="AA368" s="7">
        <f t="shared" si="68"/>
        <v>3.9049999999999998</v>
      </c>
      <c r="AB368" s="7">
        <f t="shared" si="69"/>
        <v>32.14</v>
      </c>
      <c r="AC368" s="7">
        <f t="shared" si="70"/>
        <v>35.4</v>
      </c>
      <c r="AD368" s="7">
        <f t="shared" si="71"/>
        <v>25</v>
      </c>
      <c r="AE368" s="7">
        <f t="shared" si="72"/>
        <v>3.5295695036265586</v>
      </c>
      <c r="AF368" s="7">
        <f t="shared" si="73"/>
        <v>1.7382103990326481</v>
      </c>
      <c r="AG368" s="7">
        <f t="shared" si="74"/>
        <v>8.9143976070946085</v>
      </c>
    </row>
    <row r="369" spans="1:33" x14ac:dyDescent="0.25">
      <c r="A369" s="4" t="s">
        <v>140</v>
      </c>
      <c r="B369" s="4">
        <v>2022</v>
      </c>
      <c r="C369" s="4" t="s">
        <v>92</v>
      </c>
      <c r="D369" s="5">
        <f t="shared" si="75"/>
        <v>0</v>
      </c>
      <c r="E369" s="4">
        <v>14.1</v>
      </c>
      <c r="F369" s="4">
        <v>16.600000000000001</v>
      </c>
      <c r="G369" s="4">
        <v>14</v>
      </c>
      <c r="H369" s="4">
        <v>13</v>
      </c>
      <c r="I369" s="4"/>
      <c r="J369" s="4">
        <v>1160.2</v>
      </c>
      <c r="K369" s="4">
        <v>56.8</v>
      </c>
      <c r="L369" s="4">
        <v>4.4269999999999996</v>
      </c>
      <c r="M369" s="4">
        <v>52.82</v>
      </c>
      <c r="N369" s="4">
        <v>29.8</v>
      </c>
      <c r="O369" s="4">
        <v>31.5</v>
      </c>
      <c r="P369" s="4"/>
      <c r="Q369" s="6" t="str">
        <f t="shared" si="76"/>
        <v/>
      </c>
      <c r="R369" s="4">
        <v>0</v>
      </c>
      <c r="S369" s="4">
        <v>0</v>
      </c>
      <c r="T369" s="6">
        <f t="shared" si="77"/>
        <v>0</v>
      </c>
      <c r="U369" s="4">
        <v>3653.8</v>
      </c>
      <c r="V369" s="7">
        <f t="shared" si="78"/>
        <v>2.6461747973841225</v>
      </c>
      <c r="W369" s="7">
        <f t="shared" si="79"/>
        <v>4.0395363257271057</v>
      </c>
      <c r="X369" s="7" t="str">
        <f t="shared" si="80"/>
        <v/>
      </c>
      <c r="Y369" s="7">
        <f t="shared" si="81"/>
        <v>8.2037966511244651</v>
      </c>
      <c r="Z369" s="7">
        <f t="shared" si="67"/>
        <v>3.9278963545844361</v>
      </c>
      <c r="AA369" s="7">
        <f t="shared" si="68"/>
        <v>4.1280000000000001</v>
      </c>
      <c r="AB369" s="7">
        <f t="shared" si="69"/>
        <v>52.82</v>
      </c>
      <c r="AC369" s="7">
        <f t="shared" si="70"/>
        <v>28.7</v>
      </c>
      <c r="AD369" s="7">
        <f t="shared" si="71"/>
        <v>30.7</v>
      </c>
      <c r="AE369" s="7" t="str">
        <f t="shared" si="72"/>
        <v/>
      </c>
      <c r="AF369" s="7">
        <f t="shared" si="73"/>
        <v>0</v>
      </c>
      <c r="AG369" s="7">
        <f t="shared" si="74"/>
        <v>8.1616319128362562</v>
      </c>
    </row>
    <row r="370" spans="1:33" x14ac:dyDescent="0.25">
      <c r="A370" s="4" t="s">
        <v>141</v>
      </c>
      <c r="B370" s="4">
        <v>2022</v>
      </c>
      <c r="C370" s="4" t="s">
        <v>86</v>
      </c>
      <c r="D370" s="5">
        <f t="shared" si="75"/>
        <v>0</v>
      </c>
      <c r="E370" s="4">
        <v>13.7</v>
      </c>
      <c r="F370" s="4">
        <v>12.9</v>
      </c>
      <c r="G370" s="4">
        <v>17.5</v>
      </c>
      <c r="H370" s="4">
        <v>10.3</v>
      </c>
      <c r="I370" s="4"/>
      <c r="J370" s="4">
        <v>1785.2</v>
      </c>
      <c r="K370" s="4">
        <v>62.9</v>
      </c>
      <c r="L370" s="4">
        <v>3.0979999999999999</v>
      </c>
      <c r="M370" s="4">
        <v>15.23</v>
      </c>
      <c r="N370" s="4">
        <v>13.3</v>
      </c>
      <c r="O370" s="4">
        <v>18.100000000000001</v>
      </c>
      <c r="P370" s="4">
        <v>2790</v>
      </c>
      <c r="Q370" s="6">
        <f t="shared" si="76"/>
        <v>1.5628501008290387</v>
      </c>
      <c r="R370" s="4">
        <v>13</v>
      </c>
      <c r="S370" s="4">
        <v>2</v>
      </c>
      <c r="T370" s="6">
        <f t="shared" si="77"/>
        <v>0.84024198969303154</v>
      </c>
      <c r="U370" s="4">
        <v>1568.3</v>
      </c>
      <c r="V370" s="7">
        <f t="shared" si="78"/>
        <v>2.6173958328340792</v>
      </c>
      <c r="W370" s="7">
        <f t="shared" si="79"/>
        <v>4.1415461637063951</v>
      </c>
      <c r="X370" s="7">
        <f t="shared" si="80"/>
        <v>0.44651114206029646</v>
      </c>
      <c r="Y370" s="7">
        <f t="shared" si="81"/>
        <v>7.3583849390446749</v>
      </c>
      <c r="Z370" s="7">
        <f t="shared" si="67"/>
        <v>4.0217738693872649</v>
      </c>
      <c r="AA370" s="7">
        <f t="shared" si="68"/>
        <v>2.8439999999999999</v>
      </c>
      <c r="AB370" s="7">
        <f t="shared" si="69"/>
        <v>14.25</v>
      </c>
      <c r="AC370" s="7">
        <f t="shared" si="70"/>
        <v>13.8</v>
      </c>
      <c r="AD370" s="7">
        <f t="shared" si="71"/>
        <v>17.600000000000001</v>
      </c>
      <c r="AE370" s="7">
        <f t="shared" si="72"/>
        <v>0.31813692452630776</v>
      </c>
      <c r="AF370" s="7">
        <f t="shared" si="73"/>
        <v>0.73058334269978642</v>
      </c>
      <c r="AG370" s="7">
        <f t="shared" si="74"/>
        <v>7.3916001744163529</v>
      </c>
    </row>
    <row r="371" spans="1:33" x14ac:dyDescent="0.25">
      <c r="A371" s="4" t="s">
        <v>142</v>
      </c>
      <c r="B371" s="4">
        <v>2022</v>
      </c>
      <c r="C371" s="4" t="s">
        <v>86</v>
      </c>
      <c r="D371" s="5">
        <f t="shared" si="75"/>
        <v>0</v>
      </c>
      <c r="E371" s="4">
        <v>10.7</v>
      </c>
      <c r="F371" s="4">
        <v>9</v>
      </c>
      <c r="G371" s="4">
        <v>13.4</v>
      </c>
      <c r="H371" s="4">
        <v>9</v>
      </c>
      <c r="I371" s="4"/>
      <c r="J371" s="4">
        <v>1019.3</v>
      </c>
      <c r="K371" s="4">
        <v>72.5</v>
      </c>
      <c r="L371" s="4">
        <v>2.577</v>
      </c>
      <c r="M371" s="4">
        <v>18.14</v>
      </c>
      <c r="N371" s="4">
        <v>12.1</v>
      </c>
      <c r="O371" s="4">
        <v>14.4</v>
      </c>
      <c r="P371" s="4">
        <v>4890.1000000000004</v>
      </c>
      <c r="Q371" s="6">
        <f t="shared" si="76"/>
        <v>4.7975080937898564</v>
      </c>
      <c r="R371" s="4">
        <v>7</v>
      </c>
      <c r="S371" s="4">
        <v>2</v>
      </c>
      <c r="T371" s="6">
        <f t="shared" si="77"/>
        <v>0.88295889335818711</v>
      </c>
      <c r="U371" s="4">
        <v>3127.6</v>
      </c>
      <c r="V371" s="7">
        <f t="shared" si="78"/>
        <v>2.3702437414678603</v>
      </c>
      <c r="W371" s="7">
        <f t="shared" si="79"/>
        <v>4.2835865618606288</v>
      </c>
      <c r="X371" s="7">
        <f t="shared" si="80"/>
        <v>1.5680966359832049</v>
      </c>
      <c r="Y371" s="7">
        <f t="shared" si="81"/>
        <v>8.0483408991276697</v>
      </c>
      <c r="Z371" s="7">
        <f t="shared" si="67"/>
        <v>4.1447207695471677</v>
      </c>
      <c r="AA371" s="7">
        <f t="shared" si="68"/>
        <v>2.3919999999999999</v>
      </c>
      <c r="AB371" s="7">
        <f t="shared" si="69"/>
        <v>17.510000000000002</v>
      </c>
      <c r="AC371" s="7">
        <f t="shared" si="70"/>
        <v>10.8</v>
      </c>
      <c r="AD371" s="7">
        <f t="shared" si="71"/>
        <v>11.5</v>
      </c>
      <c r="AE371" s="7">
        <f t="shared" si="72"/>
        <v>1.0020414153154515</v>
      </c>
      <c r="AF371" s="7">
        <f t="shared" si="73"/>
        <v>0.8835656783820931</v>
      </c>
      <c r="AG371" s="7">
        <f t="shared" si="74"/>
        <v>8.0968783700577376</v>
      </c>
    </row>
    <row r="372" spans="1:33" x14ac:dyDescent="0.25">
      <c r="A372" s="4" t="s">
        <v>143</v>
      </c>
      <c r="B372" s="4">
        <v>2022</v>
      </c>
      <c r="C372" s="4" t="s">
        <v>96</v>
      </c>
      <c r="D372" s="5">
        <f t="shared" si="75"/>
        <v>0</v>
      </c>
      <c r="E372" s="4">
        <v>9.3000000000000007</v>
      </c>
      <c r="F372" s="4">
        <v>11.1</v>
      </c>
      <c r="G372" s="4">
        <v>10.6</v>
      </c>
      <c r="H372" s="4">
        <v>7</v>
      </c>
      <c r="I372" s="4"/>
      <c r="J372" s="4">
        <v>805.8</v>
      </c>
      <c r="K372" s="4">
        <v>50.3</v>
      </c>
      <c r="L372" s="4">
        <v>2.1779999999999999</v>
      </c>
      <c r="M372" s="4">
        <v>14.95</v>
      </c>
      <c r="N372" s="4">
        <v>21.6</v>
      </c>
      <c r="O372" s="4">
        <v>11.2</v>
      </c>
      <c r="P372" s="4">
        <v>15512.4</v>
      </c>
      <c r="Q372" s="6">
        <f t="shared" si="76"/>
        <v>19.250930752047655</v>
      </c>
      <c r="R372" s="4">
        <v>5</v>
      </c>
      <c r="S372" s="4">
        <v>1</v>
      </c>
      <c r="T372" s="6">
        <f t="shared" si="77"/>
        <v>0.74460163812360391</v>
      </c>
      <c r="U372" s="4">
        <v>259.10000000000002</v>
      </c>
      <c r="V372" s="7">
        <f t="shared" si="78"/>
        <v>2.2300144001592104</v>
      </c>
      <c r="W372" s="7">
        <f t="shared" si="79"/>
        <v>3.9180050771056933</v>
      </c>
      <c r="X372" s="7">
        <f t="shared" si="80"/>
        <v>2.9575594103206555</v>
      </c>
      <c r="Y372" s="7">
        <f t="shared" si="81"/>
        <v>5.5610661724546055</v>
      </c>
      <c r="Z372" s="7">
        <f t="shared" si="67"/>
        <v>3.8110970868381857</v>
      </c>
      <c r="AA372" s="7">
        <f t="shared" si="68"/>
        <v>1.9830000000000001</v>
      </c>
      <c r="AB372" s="7">
        <f t="shared" si="69"/>
        <v>13.88</v>
      </c>
      <c r="AC372" s="7">
        <f t="shared" si="70"/>
        <v>23.1</v>
      </c>
      <c r="AD372" s="7">
        <f t="shared" si="71"/>
        <v>13.8</v>
      </c>
      <c r="AE372" s="7">
        <f t="shared" si="72"/>
        <v>2.9114432130738548</v>
      </c>
      <c r="AF372" s="7">
        <f t="shared" si="73"/>
        <v>0.74840962953723333</v>
      </c>
      <c r="AG372" s="7">
        <f t="shared" si="74"/>
        <v>5.5660518011901212</v>
      </c>
    </row>
    <row r="373" spans="1:33" x14ac:dyDescent="0.25">
      <c r="A373" s="4" t="s">
        <v>144</v>
      </c>
      <c r="B373" s="4">
        <v>2022</v>
      </c>
      <c r="C373" s="4" t="s">
        <v>88</v>
      </c>
      <c r="D373" s="5">
        <f t="shared" si="75"/>
        <v>1</v>
      </c>
      <c r="E373" s="4">
        <v>14.6</v>
      </c>
      <c r="F373" s="4">
        <v>13.4</v>
      </c>
      <c r="G373" s="4">
        <v>17.5</v>
      </c>
      <c r="H373" s="4">
        <v>12.4</v>
      </c>
      <c r="I373" s="4"/>
      <c r="J373" s="4">
        <v>1188.8</v>
      </c>
      <c r="K373" s="4">
        <v>86.8</v>
      </c>
      <c r="L373" s="4">
        <v>4.1470000000000002</v>
      </c>
      <c r="M373" s="4">
        <v>32.53</v>
      </c>
      <c r="N373" s="4">
        <v>17.8</v>
      </c>
      <c r="O373" s="4">
        <v>20.399999999999999</v>
      </c>
      <c r="P373" s="4">
        <v>16565.599999999999</v>
      </c>
      <c r="Q373" s="6">
        <f t="shared" si="76"/>
        <v>13.934724091520861</v>
      </c>
      <c r="R373" s="4">
        <v>12</v>
      </c>
      <c r="S373" s="4">
        <v>2</v>
      </c>
      <c r="T373" s="6">
        <f t="shared" si="77"/>
        <v>1.177658142664872</v>
      </c>
      <c r="U373" s="4">
        <v>7716.7</v>
      </c>
      <c r="V373" s="7">
        <f t="shared" si="78"/>
        <v>2.6810215287142909</v>
      </c>
      <c r="W373" s="7">
        <f t="shared" si="79"/>
        <v>4.4636066216663046</v>
      </c>
      <c r="X373" s="7">
        <f t="shared" si="80"/>
        <v>2.6343838610623203</v>
      </c>
      <c r="Y373" s="7">
        <f t="shared" si="81"/>
        <v>8.9512716711684792</v>
      </c>
      <c r="Z373" s="7">
        <f t="shared" si="67"/>
        <v>4.3385970767465452</v>
      </c>
      <c r="AA373" s="7">
        <f t="shared" si="68"/>
        <v>3.8580000000000001</v>
      </c>
      <c r="AB373" s="7">
        <f t="shared" si="69"/>
        <v>32.380000000000003</v>
      </c>
      <c r="AC373" s="7">
        <f t="shared" si="70"/>
        <v>16</v>
      </c>
      <c r="AD373" s="7">
        <f t="shared" si="71"/>
        <v>16</v>
      </c>
      <c r="AE373" s="7">
        <f t="shared" si="72"/>
        <v>2.5114225510080193</v>
      </c>
      <c r="AF373" s="7">
        <f t="shared" si="73"/>
        <v>1.0999238514256704</v>
      </c>
      <c r="AG373" s="7">
        <f t="shared" si="74"/>
        <v>8.8812666983646373</v>
      </c>
    </row>
    <row r="374" spans="1:33" x14ac:dyDescent="0.25">
      <c r="A374" s="4" t="s">
        <v>145</v>
      </c>
      <c r="B374" s="4">
        <v>2022</v>
      </c>
      <c r="C374" s="4" t="s">
        <v>86</v>
      </c>
      <c r="D374" s="5">
        <f t="shared" si="75"/>
        <v>0</v>
      </c>
      <c r="E374" s="4">
        <v>11.8</v>
      </c>
      <c r="F374" s="4">
        <v>12</v>
      </c>
      <c r="G374" s="4">
        <v>14.4</v>
      </c>
      <c r="H374" s="4">
        <v>9</v>
      </c>
      <c r="I374" s="4"/>
      <c r="J374" s="4">
        <v>1028.8</v>
      </c>
      <c r="K374" s="4">
        <v>68.599999999999994</v>
      </c>
      <c r="L374" s="4">
        <v>2.7959999999999998</v>
      </c>
      <c r="M374" s="4">
        <v>22.74</v>
      </c>
      <c r="N374" s="4">
        <v>14.5</v>
      </c>
      <c r="O374" s="4">
        <v>22.2</v>
      </c>
      <c r="P374" s="4">
        <v>2080</v>
      </c>
      <c r="Q374" s="6">
        <f t="shared" si="76"/>
        <v>2.0217729393468118</v>
      </c>
      <c r="R374" s="4">
        <v>5</v>
      </c>
      <c r="S374" s="4">
        <v>1</v>
      </c>
      <c r="T374" s="6">
        <f t="shared" si="77"/>
        <v>0.58320373250388802</v>
      </c>
      <c r="U374" s="4">
        <v>981.9</v>
      </c>
      <c r="V374" s="7">
        <f t="shared" si="78"/>
        <v>2.4680995314716192</v>
      </c>
      <c r="W374" s="7">
        <f t="shared" si="79"/>
        <v>4.2282925347318399</v>
      </c>
      <c r="X374" s="7">
        <f t="shared" si="80"/>
        <v>0.70397481921200866</v>
      </c>
      <c r="Y374" s="7">
        <f t="shared" si="81"/>
        <v>6.890507385572584</v>
      </c>
      <c r="Z374" s="7">
        <f t="shared" si="67"/>
        <v>4.0517849478033048</v>
      </c>
      <c r="AA374" s="7">
        <f t="shared" si="68"/>
        <v>2.7130000000000001</v>
      </c>
      <c r="AB374" s="7">
        <f t="shared" si="69"/>
        <v>22.71</v>
      </c>
      <c r="AC374" s="7">
        <f t="shared" si="70"/>
        <v>15.6</v>
      </c>
      <c r="AD374" s="7">
        <f t="shared" si="71"/>
        <v>18</v>
      </c>
      <c r="AE374" s="7">
        <f t="shared" si="72"/>
        <v>0.67698224370658988</v>
      </c>
      <c r="AF374" s="7">
        <f t="shared" si="73"/>
        <v>0.58309037900874638</v>
      </c>
      <c r="AG374" s="7">
        <f t="shared" si="74"/>
        <v>6.7464121285733745</v>
      </c>
    </row>
    <row r="375" spans="1:33" x14ac:dyDescent="0.25">
      <c r="A375" s="4" t="s">
        <v>146</v>
      </c>
      <c r="B375" s="4">
        <v>2022</v>
      </c>
      <c r="C375" s="4" t="s">
        <v>99</v>
      </c>
      <c r="D375" s="5">
        <f t="shared" si="75"/>
        <v>1</v>
      </c>
      <c r="E375" s="4">
        <v>23.9</v>
      </c>
      <c r="F375" s="4">
        <v>21.8</v>
      </c>
      <c r="G375" s="4">
        <v>25.7</v>
      </c>
      <c r="H375" s="4">
        <v>23.2</v>
      </c>
      <c r="I375" s="4"/>
      <c r="J375" s="4">
        <v>1197.5999999999999</v>
      </c>
      <c r="K375" s="4">
        <v>128.1</v>
      </c>
      <c r="L375" s="4">
        <v>7.5990000000000002</v>
      </c>
      <c r="M375" s="4">
        <v>30.58</v>
      </c>
      <c r="N375" s="4">
        <v>34.9</v>
      </c>
      <c r="O375" s="4">
        <v>34.9</v>
      </c>
      <c r="P375" s="4">
        <v>20740.099999999999</v>
      </c>
      <c r="Q375" s="6">
        <f t="shared" si="76"/>
        <v>17.31805277221109</v>
      </c>
      <c r="R375" s="4">
        <v>7</v>
      </c>
      <c r="S375" s="4">
        <v>2</v>
      </c>
      <c r="T375" s="6">
        <f t="shared" si="77"/>
        <v>0.75150300601202413</v>
      </c>
      <c r="U375" s="4">
        <v>5629.8</v>
      </c>
      <c r="V375" s="7">
        <f t="shared" si="78"/>
        <v>3.1738784589374651</v>
      </c>
      <c r="W375" s="7">
        <f t="shared" si="79"/>
        <v>4.8528112089026889</v>
      </c>
      <c r="X375" s="7">
        <f t="shared" si="80"/>
        <v>2.8517494702672472</v>
      </c>
      <c r="Y375" s="7">
        <f t="shared" si="81"/>
        <v>8.6360068069538105</v>
      </c>
      <c r="Z375" s="7">
        <f t="shared" si="67"/>
        <v>4.7397010789456973</v>
      </c>
      <c r="AA375" s="7">
        <f t="shared" si="68"/>
        <v>6.9829999999999997</v>
      </c>
      <c r="AB375" s="7">
        <f t="shared" si="69"/>
        <v>30.06</v>
      </c>
      <c r="AC375" s="7">
        <f t="shared" si="70"/>
        <v>34.700000000000003</v>
      </c>
      <c r="AD375" s="7">
        <f t="shared" si="71"/>
        <v>35.1</v>
      </c>
      <c r="AE375" s="7">
        <f t="shared" si="72"/>
        <v>2.5479862283474914</v>
      </c>
      <c r="AF375" s="7">
        <f t="shared" si="73"/>
        <v>0.75516026178889073</v>
      </c>
      <c r="AG375" s="7">
        <f t="shared" si="74"/>
        <v>8.6070704578189119</v>
      </c>
    </row>
    <row r="376" spans="1:33" x14ac:dyDescent="0.25">
      <c r="A376" s="4" t="s">
        <v>147</v>
      </c>
      <c r="B376" s="4">
        <v>2022</v>
      </c>
      <c r="C376" s="4" t="s">
        <v>96</v>
      </c>
      <c r="D376" s="5">
        <f t="shared" si="75"/>
        <v>0</v>
      </c>
      <c r="E376" s="4">
        <v>13.8</v>
      </c>
      <c r="F376" s="4">
        <v>12.7</v>
      </c>
      <c r="G376" s="4">
        <v>15.2</v>
      </c>
      <c r="H376" s="4">
        <v>13</v>
      </c>
      <c r="I376" s="4"/>
      <c r="J376" s="4">
        <v>847.2</v>
      </c>
      <c r="K376" s="4">
        <v>47.5</v>
      </c>
      <c r="L376" s="4">
        <v>2.3839999999999999</v>
      </c>
      <c r="M376" s="4">
        <v>20.85</v>
      </c>
      <c r="N376" s="4">
        <v>22.9</v>
      </c>
      <c r="O376" s="4">
        <v>14.2</v>
      </c>
      <c r="P376" s="4">
        <v>10266.799999999999</v>
      </c>
      <c r="Q376" s="6">
        <f t="shared" si="76"/>
        <v>12.118508026440036</v>
      </c>
      <c r="R376" s="4">
        <v>2</v>
      </c>
      <c r="S376" s="4">
        <v>1</v>
      </c>
      <c r="T376" s="6">
        <f t="shared" si="77"/>
        <v>0.35410764872521244</v>
      </c>
      <c r="U376" s="4">
        <v>539.29999999999995</v>
      </c>
      <c r="V376" s="7">
        <f t="shared" si="78"/>
        <v>2.6246685921631592</v>
      </c>
      <c r="W376" s="7">
        <f t="shared" si="79"/>
        <v>3.8607297110405954</v>
      </c>
      <c r="X376" s="7">
        <f t="shared" si="80"/>
        <v>2.4947338729350159</v>
      </c>
      <c r="Y376" s="7">
        <f t="shared" si="81"/>
        <v>6.2921245408500202</v>
      </c>
      <c r="Z376" s="7">
        <f t="shared" si="67"/>
        <v>3.751854253275325</v>
      </c>
      <c r="AA376" s="7">
        <f t="shared" si="68"/>
        <v>2.2389999999999999</v>
      </c>
      <c r="AB376" s="7">
        <f t="shared" si="69"/>
        <v>20.73</v>
      </c>
      <c r="AC376" s="7">
        <f t="shared" si="70"/>
        <v>22.2</v>
      </c>
      <c r="AD376" s="7">
        <f t="shared" si="71"/>
        <v>13.6</v>
      </c>
      <c r="AE376" s="7">
        <f t="shared" si="72"/>
        <v>2.2363854484825239</v>
      </c>
      <c r="AF376" s="7">
        <f t="shared" si="73"/>
        <v>0.35599857600569595</v>
      </c>
      <c r="AG376" s="7">
        <f t="shared" si="74"/>
        <v>6.2790841176065566</v>
      </c>
    </row>
    <row r="377" spans="1:33" x14ac:dyDescent="0.25">
      <c r="A377" s="4" t="s">
        <v>148</v>
      </c>
      <c r="B377" s="4">
        <v>2022</v>
      </c>
      <c r="C377" s="4" t="s">
        <v>96</v>
      </c>
      <c r="D377" s="5">
        <f t="shared" si="75"/>
        <v>0</v>
      </c>
      <c r="E377" s="4"/>
      <c r="F377" s="4"/>
      <c r="G377" s="4"/>
      <c r="H377" s="4"/>
      <c r="I377" s="4"/>
      <c r="J377" s="4">
        <v>635.9</v>
      </c>
      <c r="K377" s="4">
        <v>39.5</v>
      </c>
      <c r="L377" s="4">
        <v>1.744</v>
      </c>
      <c r="M377" s="4">
        <v>15.21</v>
      </c>
      <c r="N377" s="4">
        <v>18.100000000000001</v>
      </c>
      <c r="O377" s="4">
        <v>16.899999999999999</v>
      </c>
      <c r="P377" s="4">
        <v>3399.8</v>
      </c>
      <c r="Q377" s="6">
        <f t="shared" si="76"/>
        <v>5.3464381192011325</v>
      </c>
      <c r="R377" s="4">
        <v>3</v>
      </c>
      <c r="S377" s="4">
        <v>2</v>
      </c>
      <c r="T377" s="6">
        <f t="shared" si="77"/>
        <v>0.7862871520679352</v>
      </c>
      <c r="U377" s="4">
        <v>4.7</v>
      </c>
      <c r="V377" s="7" t="str">
        <f t="shared" si="78"/>
        <v/>
      </c>
      <c r="W377" s="7">
        <f t="shared" si="79"/>
        <v>3.6763006719070761</v>
      </c>
      <c r="X377" s="7">
        <f t="shared" si="80"/>
        <v>1.6764305670713073</v>
      </c>
      <c r="Y377" s="7">
        <f t="shared" si="81"/>
        <v>1.7404661748405046</v>
      </c>
      <c r="Z377" s="7">
        <f t="shared" si="67"/>
        <v>3.5638829639392511</v>
      </c>
      <c r="AA377" s="7">
        <f t="shared" si="68"/>
        <v>1.7210000000000001</v>
      </c>
      <c r="AB377" s="7">
        <f t="shared" si="69"/>
        <v>15.2</v>
      </c>
      <c r="AC377" s="7">
        <f t="shared" si="70"/>
        <v>18.8</v>
      </c>
      <c r="AD377" s="7">
        <f t="shared" si="71"/>
        <v>13.8</v>
      </c>
      <c r="AE377" s="7">
        <f t="shared" si="72"/>
        <v>1.3241313024767927</v>
      </c>
      <c r="AF377" s="7">
        <f t="shared" si="73"/>
        <v>0.79987202047672368</v>
      </c>
      <c r="AG377" s="7">
        <f t="shared" si="74"/>
        <v>1.7578579175523736</v>
      </c>
    </row>
    <row r="378" spans="1:33" x14ac:dyDescent="0.25">
      <c r="A378" s="4" t="s">
        <v>149</v>
      </c>
      <c r="B378" s="4">
        <v>2022</v>
      </c>
      <c r="C378" s="4" t="s">
        <v>92</v>
      </c>
      <c r="D378" s="5">
        <f t="shared" si="75"/>
        <v>0</v>
      </c>
      <c r="E378" s="4">
        <v>36.6</v>
      </c>
      <c r="F378" s="4">
        <v>40</v>
      </c>
      <c r="G378" s="4">
        <v>36.4</v>
      </c>
      <c r="H378" s="4">
        <v>35</v>
      </c>
      <c r="I378" s="4"/>
      <c r="J378" s="4">
        <v>1220.2</v>
      </c>
      <c r="K378" s="4">
        <v>102.9</v>
      </c>
      <c r="L378" s="4">
        <v>20.832000000000001</v>
      </c>
      <c r="M378" s="4">
        <v>87.45</v>
      </c>
      <c r="N378" s="4">
        <v>48.5</v>
      </c>
      <c r="O378" s="4">
        <v>53.1</v>
      </c>
      <c r="P378" s="4">
        <v>31905.3</v>
      </c>
      <c r="Q378" s="6">
        <f t="shared" si="76"/>
        <v>26.147598754302571</v>
      </c>
      <c r="R378" s="4">
        <v>73</v>
      </c>
      <c r="S378" s="4">
        <v>8</v>
      </c>
      <c r="T378" s="6">
        <f t="shared" si="77"/>
        <v>6.6382560236026871</v>
      </c>
      <c r="U378" s="4">
        <v>5037.1000000000004</v>
      </c>
      <c r="V378" s="7">
        <f t="shared" si="78"/>
        <v>3.6000482404073204</v>
      </c>
      <c r="W378" s="7">
        <f t="shared" si="79"/>
        <v>4.6337576428400036</v>
      </c>
      <c r="X378" s="7">
        <f t="shared" si="80"/>
        <v>3.2637573604553918</v>
      </c>
      <c r="Y378" s="7">
        <f t="shared" si="81"/>
        <v>8.5247843058620507</v>
      </c>
      <c r="Z378" s="7">
        <f t="shared" si="67"/>
        <v>4.5042442673981311</v>
      </c>
      <c r="AA378" s="7">
        <f t="shared" si="68"/>
        <v>20.663</v>
      </c>
      <c r="AB378" s="7">
        <f t="shared" si="69"/>
        <v>87.35</v>
      </c>
      <c r="AC378" s="7">
        <f t="shared" si="70"/>
        <v>48.1</v>
      </c>
      <c r="AD378" s="7">
        <f t="shared" si="71"/>
        <v>58.1</v>
      </c>
      <c r="AE378" s="7">
        <f t="shared" si="72"/>
        <v>3.2363286568748997</v>
      </c>
      <c r="AF378" s="7">
        <f t="shared" si="73"/>
        <v>6.6081137599330821</v>
      </c>
      <c r="AG378" s="7">
        <f t="shared" si="74"/>
        <v>8.5098261210706703</v>
      </c>
    </row>
    <row r="379" spans="1:33" x14ac:dyDescent="0.25">
      <c r="A379" s="4" t="s">
        <v>150</v>
      </c>
      <c r="B379" s="4">
        <v>2022</v>
      </c>
      <c r="C379" s="4" t="s">
        <v>105</v>
      </c>
      <c r="D379" s="5">
        <f t="shared" si="75"/>
        <v>0</v>
      </c>
      <c r="E379" s="4">
        <v>18.100000000000001</v>
      </c>
      <c r="F379" s="4">
        <v>18</v>
      </c>
      <c r="G379" s="4">
        <v>22.1</v>
      </c>
      <c r="H379" s="4">
        <v>14.2</v>
      </c>
      <c r="I379" s="4"/>
      <c r="J379" s="4">
        <v>1918.4</v>
      </c>
      <c r="K379" s="4">
        <v>56.7</v>
      </c>
      <c r="L379" s="4">
        <v>3.843</v>
      </c>
      <c r="M379" s="4">
        <v>24.93</v>
      </c>
      <c r="N379" s="4">
        <v>18</v>
      </c>
      <c r="O379" s="4">
        <v>30.1</v>
      </c>
      <c r="P379" s="4">
        <v>24436.400000000001</v>
      </c>
      <c r="Q379" s="6">
        <f t="shared" si="76"/>
        <v>12.737906588824019</v>
      </c>
      <c r="R379" s="4">
        <v>8</v>
      </c>
      <c r="S379" s="4">
        <v>3</v>
      </c>
      <c r="T379" s="6">
        <f t="shared" si="77"/>
        <v>0.57339449541284393</v>
      </c>
      <c r="U379" s="4">
        <v>337.6</v>
      </c>
      <c r="V379" s="7">
        <f t="shared" si="78"/>
        <v>2.8959119382717802</v>
      </c>
      <c r="W379" s="7">
        <f t="shared" si="79"/>
        <v>4.0377742107337067</v>
      </c>
      <c r="X379" s="7">
        <f t="shared" si="80"/>
        <v>2.5445823186536418</v>
      </c>
      <c r="Y379" s="7">
        <f t="shared" si="81"/>
        <v>5.824819469699035</v>
      </c>
      <c r="Z379" s="7">
        <f t="shared" si="67"/>
        <v>3.9318256327243257</v>
      </c>
      <c r="AA379" s="7">
        <f t="shared" si="68"/>
        <v>3.7120000000000002</v>
      </c>
      <c r="AB379" s="7">
        <f t="shared" si="69"/>
        <v>24.82</v>
      </c>
      <c r="AC379" s="7">
        <f t="shared" si="70"/>
        <v>18.3</v>
      </c>
      <c r="AD379" s="7">
        <f t="shared" si="71"/>
        <v>23.1</v>
      </c>
      <c r="AE379" s="7">
        <f t="shared" si="72"/>
        <v>2.2871336977571044</v>
      </c>
      <c r="AF379" s="7">
        <f t="shared" si="73"/>
        <v>0.57621791513881615</v>
      </c>
      <c r="AG379" s="7">
        <f t="shared" si="74"/>
        <v>5.8114403493627105</v>
      </c>
    </row>
    <row r="380" spans="1:33" x14ac:dyDescent="0.25">
      <c r="A380" s="4" t="s">
        <v>151</v>
      </c>
      <c r="B380" s="4">
        <v>2022</v>
      </c>
      <c r="C380" s="4" t="s">
        <v>105</v>
      </c>
      <c r="D380" s="5">
        <f t="shared" si="75"/>
        <v>0</v>
      </c>
      <c r="E380" s="4">
        <v>11.8</v>
      </c>
      <c r="F380" s="4">
        <v>11.3</v>
      </c>
      <c r="G380" s="4">
        <v>13.1</v>
      </c>
      <c r="H380" s="4">
        <v>10.8</v>
      </c>
      <c r="I380" s="4"/>
      <c r="J380" s="4">
        <v>670.6</v>
      </c>
      <c r="K380" s="4">
        <v>60.3</v>
      </c>
      <c r="L380" s="4">
        <v>3.8260000000000001</v>
      </c>
      <c r="M380" s="4">
        <v>16.760000000000002</v>
      </c>
      <c r="N380" s="4">
        <v>14.7</v>
      </c>
      <c r="O380" s="4">
        <v>21.2</v>
      </c>
      <c r="P380" s="4">
        <v>1955.5</v>
      </c>
      <c r="Q380" s="6">
        <f t="shared" si="76"/>
        <v>2.9160453325380256</v>
      </c>
      <c r="R380" s="4">
        <v>2</v>
      </c>
      <c r="S380" s="4">
        <v>1</v>
      </c>
      <c r="T380" s="6">
        <f t="shared" si="77"/>
        <v>0.44736057262153295</v>
      </c>
      <c r="U380" s="4">
        <v>465.1</v>
      </c>
      <c r="V380" s="7">
        <f t="shared" si="78"/>
        <v>2.4680995314716192</v>
      </c>
      <c r="W380" s="7">
        <f t="shared" si="79"/>
        <v>4.0993321037331398</v>
      </c>
      <c r="X380" s="7">
        <f t="shared" si="80"/>
        <v>1.0702283601634406</v>
      </c>
      <c r="Y380" s="7">
        <f t="shared" si="81"/>
        <v>6.1444002033786953</v>
      </c>
      <c r="Z380" s="7">
        <f t="shared" si="67"/>
        <v>3.9740583963475986</v>
      </c>
      <c r="AA380" s="7">
        <f t="shared" si="68"/>
        <v>3.5539999999999998</v>
      </c>
      <c r="AB380" s="7">
        <f t="shared" si="69"/>
        <v>16.260000000000002</v>
      </c>
      <c r="AC380" s="7">
        <f t="shared" si="70"/>
        <v>15.4</v>
      </c>
      <c r="AD380" s="7">
        <f t="shared" si="71"/>
        <v>23.2</v>
      </c>
      <c r="AE380" s="7">
        <f t="shared" si="72"/>
        <v>0.78181281764560162</v>
      </c>
      <c r="AF380" s="7">
        <f t="shared" si="73"/>
        <v>0.45153521974714034</v>
      </c>
      <c r="AG380" s="7">
        <f t="shared" si="74"/>
        <v>6.1520941930329496</v>
      </c>
    </row>
    <row r="381" spans="1:33" x14ac:dyDescent="0.25">
      <c r="A381" s="4" t="s">
        <v>152</v>
      </c>
      <c r="B381" s="4">
        <v>2022</v>
      </c>
      <c r="C381" s="4" t="s">
        <v>88</v>
      </c>
      <c r="D381" s="5">
        <f t="shared" si="75"/>
        <v>1</v>
      </c>
      <c r="E381" s="4">
        <v>33</v>
      </c>
      <c r="F381" s="4">
        <v>24.2</v>
      </c>
      <c r="G381" s="4">
        <v>36.6</v>
      </c>
      <c r="H381" s="4">
        <v>33.9</v>
      </c>
      <c r="I381" s="4"/>
      <c r="J381" s="4">
        <v>3255.8</v>
      </c>
      <c r="K381" s="4">
        <v>129.19999999999999</v>
      </c>
      <c r="L381" s="4">
        <v>7.9390000000000001</v>
      </c>
      <c r="M381" s="4">
        <v>45.16</v>
      </c>
      <c r="N381" s="4">
        <v>22.3</v>
      </c>
      <c r="O381" s="4">
        <v>26.5</v>
      </c>
      <c r="P381" s="4">
        <v>50942.7</v>
      </c>
      <c r="Q381" s="6">
        <f t="shared" si="76"/>
        <v>15.646753486086368</v>
      </c>
      <c r="R381" s="4">
        <v>12</v>
      </c>
      <c r="S381" s="4">
        <v>6</v>
      </c>
      <c r="T381" s="6">
        <f t="shared" si="77"/>
        <v>0.55285951225505248</v>
      </c>
      <c r="U381" s="4">
        <v>10874.9</v>
      </c>
      <c r="V381" s="7">
        <f t="shared" si="78"/>
        <v>3.4965075614664802</v>
      </c>
      <c r="W381" s="7">
        <f t="shared" si="79"/>
        <v>4.8613615913485013</v>
      </c>
      <c r="X381" s="7">
        <f t="shared" si="80"/>
        <v>2.7502634504879695</v>
      </c>
      <c r="Y381" s="7">
        <f t="shared" si="81"/>
        <v>9.2943046111532688</v>
      </c>
      <c r="Z381" s="7">
        <f t="shared" si="67"/>
        <v>4.779963476361254</v>
      </c>
      <c r="AA381" s="7">
        <f t="shared" si="68"/>
        <v>7.9059999999999997</v>
      </c>
      <c r="AB381" s="7">
        <f t="shared" si="69"/>
        <v>44.76</v>
      </c>
      <c r="AC381" s="7">
        <f t="shared" si="70"/>
        <v>21.9</v>
      </c>
      <c r="AD381" s="7">
        <f t="shared" si="71"/>
        <v>27.7</v>
      </c>
      <c r="AE381" s="7">
        <f t="shared" si="72"/>
        <v>2.5423329505205192</v>
      </c>
      <c r="AF381" s="7">
        <f t="shared" si="73"/>
        <v>0.56798460130636463</v>
      </c>
      <c r="AG381" s="7">
        <f t="shared" si="74"/>
        <v>9.2807429160743222</v>
      </c>
    </row>
    <row r="382" spans="1:33" x14ac:dyDescent="0.25">
      <c r="A382" s="4" t="s">
        <v>153</v>
      </c>
      <c r="B382" s="4">
        <v>2022</v>
      </c>
      <c r="C382" s="4" t="s">
        <v>86</v>
      </c>
      <c r="D382" s="5">
        <f t="shared" si="75"/>
        <v>0</v>
      </c>
      <c r="E382" s="4">
        <v>14.7</v>
      </c>
      <c r="F382" s="4">
        <v>10.5</v>
      </c>
      <c r="G382" s="4">
        <v>20.6</v>
      </c>
      <c r="H382" s="4">
        <v>11</v>
      </c>
      <c r="I382" s="4"/>
      <c r="J382" s="4">
        <v>1600.2</v>
      </c>
      <c r="K382" s="4">
        <v>62.2</v>
      </c>
      <c r="L382" s="4">
        <v>2.4900000000000002</v>
      </c>
      <c r="M382" s="4">
        <v>20.239999999999998</v>
      </c>
      <c r="N382" s="4">
        <v>14.4</v>
      </c>
      <c r="O382" s="4">
        <v>14.7</v>
      </c>
      <c r="P382" s="4">
        <v>3252.5</v>
      </c>
      <c r="Q382" s="6">
        <f t="shared" si="76"/>
        <v>2.0325584301962256</v>
      </c>
      <c r="R382" s="4">
        <v>9</v>
      </c>
      <c r="S382" s="4">
        <v>1</v>
      </c>
      <c r="T382" s="6">
        <f t="shared" si="77"/>
        <v>0.62492188476440447</v>
      </c>
      <c r="U382" s="4">
        <v>144.69999999999999</v>
      </c>
      <c r="V382" s="7">
        <f t="shared" si="78"/>
        <v>2.6878474937846906</v>
      </c>
      <c r="W382" s="7">
        <f t="shared" si="79"/>
        <v>4.1303549997451334</v>
      </c>
      <c r="X382" s="7">
        <f t="shared" si="80"/>
        <v>0.70929530997063683</v>
      </c>
      <c r="Y382" s="7">
        <f t="shared" si="81"/>
        <v>4.9815497132011588</v>
      </c>
      <c r="Z382" s="7">
        <f t="shared" si="67"/>
        <v>3.9963641538618968</v>
      </c>
      <c r="AA382" s="7">
        <f t="shared" si="68"/>
        <v>2.3210000000000002</v>
      </c>
      <c r="AB382" s="7">
        <f t="shared" si="69"/>
        <v>20.18</v>
      </c>
      <c r="AC382" s="7">
        <f t="shared" si="70"/>
        <v>14.3</v>
      </c>
      <c r="AD382" s="7">
        <f t="shared" si="71"/>
        <v>16.3</v>
      </c>
      <c r="AE382" s="7">
        <f t="shared" si="72"/>
        <v>0.56485668954794155</v>
      </c>
      <c r="AF382" s="7">
        <f t="shared" si="73"/>
        <v>0.62449259976269278</v>
      </c>
      <c r="AG382" s="7">
        <f t="shared" si="74"/>
        <v>4.9863426015272116</v>
      </c>
    </row>
    <row r="383" spans="1:33" x14ac:dyDescent="0.25">
      <c r="A383" s="4" t="s">
        <v>85</v>
      </c>
      <c r="B383" s="4">
        <v>2023</v>
      </c>
      <c r="C383" s="4" t="s">
        <v>86</v>
      </c>
      <c r="D383" s="5">
        <f t="shared" si="75"/>
        <v>0</v>
      </c>
      <c r="E383" s="4">
        <v>14</v>
      </c>
      <c r="F383" s="4">
        <v>16.2</v>
      </c>
      <c r="G383" s="4">
        <v>13</v>
      </c>
      <c r="H383" s="4">
        <v>14</v>
      </c>
      <c r="I383" s="4"/>
      <c r="J383" s="4">
        <v>1906.3</v>
      </c>
      <c r="K383" s="4">
        <v>58.7</v>
      </c>
      <c r="L383" s="4">
        <v>2.7010000000000001</v>
      </c>
      <c r="M383" s="4">
        <v>37</v>
      </c>
      <c r="N383" s="4">
        <v>15.5</v>
      </c>
      <c r="O383" s="4">
        <v>18</v>
      </c>
      <c r="P383" s="4">
        <v>11866.6</v>
      </c>
      <c r="Q383" s="6">
        <f t="shared" si="76"/>
        <v>6.2249383622724652</v>
      </c>
      <c r="R383" s="4">
        <v>8</v>
      </c>
      <c r="S383" s="4">
        <v>2</v>
      </c>
      <c r="T383" s="6">
        <f t="shared" si="77"/>
        <v>0.52457640455332322</v>
      </c>
      <c r="U383" s="4">
        <v>141.19999999999999</v>
      </c>
      <c r="V383" s="7">
        <f t="shared" si="78"/>
        <v>2.6390573296152584</v>
      </c>
      <c r="W383" s="7">
        <f t="shared" si="79"/>
        <v>4.0724397268340509</v>
      </c>
      <c r="X383" s="7">
        <f t="shared" si="80"/>
        <v>1.8285635406587724</v>
      </c>
      <c r="Y383" s="7">
        <f t="shared" si="81"/>
        <v>4.9572345173691401</v>
      </c>
      <c r="Z383" s="7">
        <f t="shared" si="67"/>
        <v>3.9646154555473165</v>
      </c>
      <c r="AA383" s="7">
        <f t="shared" si="68"/>
        <v>2.6539999999999999</v>
      </c>
      <c r="AB383" s="7">
        <f t="shared" si="69"/>
        <v>33.840000000000003</v>
      </c>
      <c r="AC383" s="7">
        <f t="shared" si="70"/>
        <v>14.5</v>
      </c>
      <c r="AD383" s="7">
        <f t="shared" si="71"/>
        <v>19.3</v>
      </c>
      <c r="AE383" s="7">
        <f t="shared" si="72"/>
        <v>1.6657790589637886</v>
      </c>
      <c r="AF383" s="7">
        <f t="shared" si="73"/>
        <v>0.47231697717134608</v>
      </c>
      <c r="AG383" s="7">
        <f t="shared" si="74"/>
        <v>5.1209833512651208</v>
      </c>
    </row>
    <row r="384" spans="1:33" x14ac:dyDescent="0.25">
      <c r="A384" s="4" t="s">
        <v>87</v>
      </c>
      <c r="B384" s="4">
        <v>2023</v>
      </c>
      <c r="C384" s="4" t="s">
        <v>88</v>
      </c>
      <c r="D384" s="5">
        <f t="shared" si="75"/>
        <v>1</v>
      </c>
      <c r="E384" s="4">
        <v>23.6</v>
      </c>
      <c r="F384" s="4">
        <v>37.4</v>
      </c>
      <c r="G384" s="4">
        <v>12.6</v>
      </c>
      <c r="H384" s="4">
        <v>27.7</v>
      </c>
      <c r="I384" s="4"/>
      <c r="J384" s="4">
        <v>1187.5</v>
      </c>
      <c r="K384" s="4">
        <v>339</v>
      </c>
      <c r="L384" s="4">
        <v>10.393000000000001</v>
      </c>
      <c r="M384" s="4">
        <v>60.92</v>
      </c>
      <c r="N384" s="4">
        <v>28.8</v>
      </c>
      <c r="O384" s="4">
        <v>29.2</v>
      </c>
      <c r="P384" s="4">
        <v>9951.7000000000007</v>
      </c>
      <c r="Q384" s="6">
        <f t="shared" si="76"/>
        <v>8.3803789473684223</v>
      </c>
      <c r="R384" s="4">
        <v>14</v>
      </c>
      <c r="S384" s="4">
        <v>5</v>
      </c>
      <c r="T384" s="6">
        <f t="shared" si="77"/>
        <v>1.6</v>
      </c>
      <c r="U384" s="4">
        <v>29319.7</v>
      </c>
      <c r="V384" s="7">
        <f t="shared" si="78"/>
        <v>3.1612467120315646</v>
      </c>
      <c r="W384" s="7">
        <f t="shared" si="79"/>
        <v>5.8260001073804499</v>
      </c>
      <c r="X384" s="7">
        <f t="shared" si="80"/>
        <v>2.1258931339212706</v>
      </c>
      <c r="Y384" s="7">
        <f t="shared" si="81"/>
        <v>10.286049030204001</v>
      </c>
      <c r="Z384" s="7">
        <f t="shared" ref="Z384:Z447" si="82">IF(B384=2017,"",W321)</f>
        <v>5.9191626353525768</v>
      </c>
      <c r="AA384" s="7">
        <f t="shared" ref="AA384:AA447" si="83">IF(B384=2017,"",L321)</f>
        <v>10.125</v>
      </c>
      <c r="AB384" s="7">
        <f t="shared" ref="AB384:AB447" si="84">IF(B384=2017,"",M321)</f>
        <v>60.4</v>
      </c>
      <c r="AC384" s="7">
        <f t="shared" ref="AC384:AC447" si="85">IF(B384=2017,"",N321)</f>
        <v>28</v>
      </c>
      <c r="AD384" s="7">
        <f t="shared" ref="AD384:AD447" si="86">IF(B384=2017,"",O321)</f>
        <v>29.1</v>
      </c>
      <c r="AE384" s="7">
        <f t="shared" ref="AE384:AE447" si="87">IF(B384=2017,"",X321)</f>
        <v>2.1022970435051618</v>
      </c>
      <c r="AF384" s="7">
        <f t="shared" ref="AF384:AF447" si="88">IF(B384=2017,"",T321)</f>
        <v>1.5271061338763043</v>
      </c>
      <c r="AG384" s="7">
        <f t="shared" ref="AG384:AG447" si="89">IF(B384=2017,"",Y321)</f>
        <v>10.249057564326076</v>
      </c>
    </row>
    <row r="385" spans="1:33" x14ac:dyDescent="0.25">
      <c r="A385" s="4" t="s">
        <v>89</v>
      </c>
      <c r="B385" s="4">
        <v>2023</v>
      </c>
      <c r="C385" s="4" t="s">
        <v>88</v>
      </c>
      <c r="D385" s="5">
        <f t="shared" si="75"/>
        <v>1</v>
      </c>
      <c r="E385" s="4">
        <v>35.700000000000003</v>
      </c>
      <c r="F385" s="4">
        <v>35.700000000000003</v>
      </c>
      <c r="G385" s="4">
        <v>21.6</v>
      </c>
      <c r="H385" s="4">
        <v>49.9</v>
      </c>
      <c r="I385" s="4"/>
      <c r="J385" s="4">
        <v>2823.4</v>
      </c>
      <c r="K385" s="4">
        <v>166.4</v>
      </c>
      <c r="L385" s="4">
        <v>15.327</v>
      </c>
      <c r="M385" s="4">
        <v>84.22</v>
      </c>
      <c r="N385" s="4">
        <v>23.3</v>
      </c>
      <c r="O385" s="4">
        <v>25.5</v>
      </c>
      <c r="P385" s="4">
        <v>77673</v>
      </c>
      <c r="Q385" s="6">
        <f t="shared" si="76"/>
        <v>27.51044839555146</v>
      </c>
      <c r="R385" s="4">
        <v>16</v>
      </c>
      <c r="S385" s="4">
        <v>6</v>
      </c>
      <c r="T385" s="6">
        <f t="shared" si="77"/>
        <v>0.77920238010908838</v>
      </c>
      <c r="U385" s="4">
        <v>14314.2</v>
      </c>
      <c r="V385" s="7">
        <f t="shared" si="78"/>
        <v>3.5751506887855933</v>
      </c>
      <c r="W385" s="7">
        <f t="shared" si="79"/>
        <v>5.1143945283871082</v>
      </c>
      <c r="X385" s="7">
        <f t="shared" si="80"/>
        <v>3.3145658741693884</v>
      </c>
      <c r="Y385" s="7">
        <f t="shared" si="81"/>
        <v>9.5690771887933312</v>
      </c>
      <c r="Z385" s="7">
        <f t="shared" si="82"/>
        <v>5.0968129903373081</v>
      </c>
      <c r="AA385" s="7">
        <f t="shared" si="83"/>
        <v>14.743</v>
      </c>
      <c r="AB385" s="7">
        <f t="shared" si="84"/>
        <v>84.23</v>
      </c>
      <c r="AC385" s="7">
        <f t="shared" si="85"/>
        <v>21.1</v>
      </c>
      <c r="AD385" s="7">
        <f t="shared" si="86"/>
        <v>22</v>
      </c>
      <c r="AE385" s="7">
        <f t="shared" si="87"/>
        <v>3.242947697575</v>
      </c>
      <c r="AF385" s="7">
        <f t="shared" si="88"/>
        <v>0.61525098621113972</v>
      </c>
      <c r="AG385" s="7">
        <f t="shared" si="89"/>
        <v>9.5710521568971654</v>
      </c>
    </row>
    <row r="386" spans="1:33" x14ac:dyDescent="0.25">
      <c r="A386" s="4" t="s">
        <v>90</v>
      </c>
      <c r="B386" s="4">
        <v>2023</v>
      </c>
      <c r="C386" s="4" t="s">
        <v>88</v>
      </c>
      <c r="D386" s="5">
        <f t="shared" si="75"/>
        <v>1</v>
      </c>
      <c r="E386" s="4">
        <v>12.9</v>
      </c>
      <c r="F386" s="4">
        <v>17.899999999999999</v>
      </c>
      <c r="G386" s="4">
        <v>11.3</v>
      </c>
      <c r="H386" s="4">
        <v>12</v>
      </c>
      <c r="I386" s="4"/>
      <c r="J386" s="4">
        <v>1045.5</v>
      </c>
      <c r="K386" s="4">
        <v>94.6</v>
      </c>
      <c r="L386" s="4">
        <v>6.6909999999999998</v>
      </c>
      <c r="M386" s="4">
        <v>29.4</v>
      </c>
      <c r="N386" s="4">
        <v>20</v>
      </c>
      <c r="O386" s="4">
        <v>22.6</v>
      </c>
      <c r="P386" s="4">
        <v>3593.5</v>
      </c>
      <c r="Q386" s="6">
        <f t="shared" si="76"/>
        <v>3.4371114299378287</v>
      </c>
      <c r="R386" s="4">
        <v>6</v>
      </c>
      <c r="S386" s="4">
        <v>4</v>
      </c>
      <c r="T386" s="6">
        <f t="shared" si="77"/>
        <v>0.95648015303682454</v>
      </c>
      <c r="U386" s="4">
        <v>4478.8999999999996</v>
      </c>
      <c r="V386" s="7">
        <f t="shared" si="78"/>
        <v>2.5572273113676265</v>
      </c>
      <c r="W386" s="7">
        <f t="shared" si="79"/>
        <v>4.5496574760578321</v>
      </c>
      <c r="X386" s="7">
        <f t="shared" si="80"/>
        <v>1.234631418039809</v>
      </c>
      <c r="Y386" s="7">
        <f t="shared" si="81"/>
        <v>8.4073560037313317</v>
      </c>
      <c r="Z386" s="7">
        <f t="shared" si="82"/>
        <v>4.4704952826614894</v>
      </c>
      <c r="AA386" s="7">
        <f t="shared" si="83"/>
        <v>6.3929999999999998</v>
      </c>
      <c r="AB386" s="7">
        <f t="shared" si="84"/>
        <v>29.38</v>
      </c>
      <c r="AC386" s="7">
        <f t="shared" si="85"/>
        <v>20.100000000000001</v>
      </c>
      <c r="AD386" s="7">
        <f t="shared" si="86"/>
        <v>25.7</v>
      </c>
      <c r="AE386" s="7">
        <f t="shared" si="87"/>
        <v>0.96674091458842459</v>
      </c>
      <c r="AF386" s="7">
        <f t="shared" si="88"/>
        <v>0.8698173383589447</v>
      </c>
      <c r="AG386" s="7">
        <f t="shared" si="89"/>
        <v>8.2579560324537891</v>
      </c>
    </row>
    <row r="387" spans="1:33" x14ac:dyDescent="0.25">
      <c r="A387" s="4" t="s">
        <v>91</v>
      </c>
      <c r="B387" s="4">
        <v>2023</v>
      </c>
      <c r="C387" s="4" t="s">
        <v>92</v>
      </c>
      <c r="D387" s="5">
        <f t="shared" si="75"/>
        <v>0</v>
      </c>
      <c r="E387" s="4">
        <v>15.2</v>
      </c>
      <c r="F387" s="4">
        <v>17.2</v>
      </c>
      <c r="G387" s="4">
        <v>12</v>
      </c>
      <c r="H387" s="4">
        <v>17.3</v>
      </c>
      <c r="I387" s="4"/>
      <c r="J387" s="4">
        <v>1258.8</v>
      </c>
      <c r="K387" s="4">
        <v>82.2</v>
      </c>
      <c r="L387" s="4">
        <v>4.7080000000000002</v>
      </c>
      <c r="M387" s="4">
        <v>38.6</v>
      </c>
      <c r="N387" s="4">
        <v>19.5</v>
      </c>
      <c r="O387" s="4">
        <v>19.899999999999999</v>
      </c>
      <c r="P387" s="4">
        <v>6708.7</v>
      </c>
      <c r="Q387" s="6">
        <f t="shared" si="76"/>
        <v>5.3294407372100414</v>
      </c>
      <c r="R387" s="4">
        <v>3</v>
      </c>
      <c r="S387" s="4">
        <v>2</v>
      </c>
      <c r="T387" s="6">
        <f t="shared" si="77"/>
        <v>0.39720368605020656</v>
      </c>
      <c r="U387" s="4">
        <v>3059</v>
      </c>
      <c r="V387" s="7">
        <f t="shared" si="78"/>
        <v>2.7212954278522306</v>
      </c>
      <c r="W387" s="7">
        <f t="shared" si="79"/>
        <v>4.4091553020621346</v>
      </c>
      <c r="X387" s="7">
        <f t="shared" si="80"/>
        <v>1.6732463053197808</v>
      </c>
      <c r="Y387" s="7">
        <f t="shared" si="81"/>
        <v>8.0261701949464257</v>
      </c>
      <c r="Z387" s="7">
        <f t="shared" si="82"/>
        <v>4.3944491546724391</v>
      </c>
      <c r="AA387" s="7">
        <f t="shared" si="83"/>
        <v>4.6399999999999997</v>
      </c>
      <c r="AB387" s="7">
        <f t="shared" si="84"/>
        <v>38.6</v>
      </c>
      <c r="AC387" s="7">
        <f t="shared" si="85"/>
        <v>18.5</v>
      </c>
      <c r="AD387" s="7">
        <f t="shared" si="86"/>
        <v>17.7</v>
      </c>
      <c r="AE387" s="7">
        <f t="shared" si="87"/>
        <v>1.4568620109471089</v>
      </c>
      <c r="AF387" s="7">
        <f t="shared" si="88"/>
        <v>0.31946330165322262</v>
      </c>
      <c r="AG387" s="7">
        <f t="shared" si="89"/>
        <v>8.0284225584310782</v>
      </c>
    </row>
    <row r="388" spans="1:33" x14ac:dyDescent="0.25">
      <c r="A388" s="4" t="s">
        <v>93</v>
      </c>
      <c r="B388" s="4">
        <v>2023</v>
      </c>
      <c r="C388" s="4" t="s">
        <v>92</v>
      </c>
      <c r="D388" s="5">
        <f t="shared" si="75"/>
        <v>0</v>
      </c>
      <c r="E388" s="4">
        <v>16.600000000000001</v>
      </c>
      <c r="F388" s="4">
        <v>23.3</v>
      </c>
      <c r="G388" s="4">
        <v>11.6</v>
      </c>
      <c r="H388" s="4">
        <v>18.2</v>
      </c>
      <c r="I388" s="4"/>
      <c r="J388" s="4">
        <v>1506.3</v>
      </c>
      <c r="K388" s="4">
        <v>78.099999999999994</v>
      </c>
      <c r="L388" s="4">
        <v>5.3680000000000003</v>
      </c>
      <c r="M388" s="4">
        <v>41.22</v>
      </c>
      <c r="N388" s="4">
        <v>25.6</v>
      </c>
      <c r="O388" s="4">
        <v>20.7</v>
      </c>
      <c r="P388" s="4">
        <v>32567.3</v>
      </c>
      <c r="Q388" s="6">
        <f t="shared" si="76"/>
        <v>21.620726282944965</v>
      </c>
      <c r="R388" s="4">
        <v>8</v>
      </c>
      <c r="S388" s="4">
        <v>4</v>
      </c>
      <c r="T388" s="6">
        <f t="shared" si="77"/>
        <v>0.79665405297749459</v>
      </c>
      <c r="U388" s="4">
        <v>835.3</v>
      </c>
      <c r="V388" s="7">
        <f t="shared" si="78"/>
        <v>2.8094026953624978</v>
      </c>
      <c r="W388" s="7">
        <f t="shared" si="79"/>
        <v>4.3579900568456402</v>
      </c>
      <c r="X388" s="7">
        <f t="shared" si="80"/>
        <v>3.0736524047525142</v>
      </c>
      <c r="Y388" s="7">
        <f t="shared" si="81"/>
        <v>6.7289874003874797</v>
      </c>
      <c r="Z388" s="7">
        <f t="shared" si="82"/>
        <v>4.2724907476055751</v>
      </c>
      <c r="AA388" s="7">
        <f t="shared" si="83"/>
        <v>5.149</v>
      </c>
      <c r="AB388" s="7">
        <f t="shared" si="84"/>
        <v>41.19</v>
      </c>
      <c r="AC388" s="7">
        <f t="shared" si="85"/>
        <v>25</v>
      </c>
      <c r="AD388" s="7">
        <f t="shared" si="86"/>
        <v>22.8</v>
      </c>
      <c r="AE388" s="7">
        <f t="shared" si="87"/>
        <v>3.0194499686958518</v>
      </c>
      <c r="AF388" s="7">
        <f t="shared" si="88"/>
        <v>0.79771322209665629</v>
      </c>
      <c r="AG388" s="7">
        <f t="shared" si="89"/>
        <v>6.6876072366477262</v>
      </c>
    </row>
    <row r="389" spans="1:33" x14ac:dyDescent="0.25">
      <c r="A389" s="4" t="s">
        <v>94</v>
      </c>
      <c r="B389" s="4">
        <v>2023</v>
      </c>
      <c r="C389" s="4" t="s">
        <v>86</v>
      </c>
      <c r="D389" s="5">
        <f t="shared" ref="D389:D452" si="90">IF(OR(C389="ĐNB",C389="ĐBSH"),1,0)</f>
        <v>0</v>
      </c>
      <c r="E389" s="4">
        <v>10.7</v>
      </c>
      <c r="F389" s="4">
        <v>11.6</v>
      </c>
      <c r="G389" s="4">
        <v>10.5</v>
      </c>
      <c r="H389" s="4">
        <v>15.6</v>
      </c>
      <c r="I389" s="4"/>
      <c r="J389" s="4">
        <v>925.2</v>
      </c>
      <c r="K389" s="4">
        <v>64.5</v>
      </c>
      <c r="L389" s="4">
        <v>2.5099999999999998</v>
      </c>
      <c r="M389" s="4">
        <v>27.76</v>
      </c>
      <c r="N389" s="4">
        <v>13.1</v>
      </c>
      <c r="O389" s="4">
        <v>14.1</v>
      </c>
      <c r="P389" s="4">
        <v>3582.8</v>
      </c>
      <c r="Q389" s="6">
        <f t="shared" ref="Q389:Q452" si="91">IF(P389="","",P389/J389)</f>
        <v>3.8724600086467791</v>
      </c>
      <c r="R389" s="4">
        <v>7</v>
      </c>
      <c r="S389" s="4">
        <v>6</v>
      </c>
      <c r="T389" s="6">
        <f t="shared" ref="T389:T452" si="92">(R389+S389)/J389*100</f>
        <v>1.4051015996541287</v>
      </c>
      <c r="U389" s="4">
        <v>5054.7</v>
      </c>
      <c r="V389" s="7">
        <f t="shared" ref="V389:V452" si="93">IF(E389="","",LN(E389))</f>
        <v>2.3702437414678603</v>
      </c>
      <c r="W389" s="7">
        <f t="shared" ref="W389:W452" si="94">IF(K389="","",LN(K389))</f>
        <v>4.1666652238017265</v>
      </c>
      <c r="X389" s="7">
        <f t="shared" ref="X389:X452" si="95">IF(Q389="","",LN(Q389))</f>
        <v>1.3538899662437562</v>
      </c>
      <c r="Y389" s="7">
        <f t="shared" ref="Y389:Y452" si="96">LN(1+U389)</f>
        <v>8.5282715986232382</v>
      </c>
      <c r="Z389" s="7">
        <f t="shared" si="82"/>
        <v>4.0826093060036799</v>
      </c>
      <c r="AA389" s="7">
        <f t="shared" si="83"/>
        <v>2.367</v>
      </c>
      <c r="AB389" s="7">
        <f t="shared" si="84"/>
        <v>27.76</v>
      </c>
      <c r="AC389" s="7">
        <f t="shared" si="85"/>
        <v>12.2</v>
      </c>
      <c r="AD389" s="7">
        <f t="shared" si="86"/>
        <v>12.6</v>
      </c>
      <c r="AE389" s="7">
        <f t="shared" si="87"/>
        <v>1.2025506609925971</v>
      </c>
      <c r="AF389" s="7">
        <f t="shared" si="88"/>
        <v>1.3018008244738555</v>
      </c>
      <c r="AG389" s="7">
        <f t="shared" si="89"/>
        <v>8.4925725762339894</v>
      </c>
    </row>
    <row r="390" spans="1:33" x14ac:dyDescent="0.25">
      <c r="A390" s="4" t="s">
        <v>95</v>
      </c>
      <c r="B390" s="4">
        <v>2023</v>
      </c>
      <c r="C390" s="4" t="s">
        <v>96</v>
      </c>
      <c r="D390" s="5">
        <f t="shared" si="90"/>
        <v>0</v>
      </c>
      <c r="E390" s="4">
        <v>19</v>
      </c>
      <c r="F390" s="4">
        <v>20.5</v>
      </c>
      <c r="G390" s="4">
        <v>13.1</v>
      </c>
      <c r="H390" s="4">
        <v>24.2</v>
      </c>
      <c r="I390" s="4"/>
      <c r="J390" s="4">
        <v>1922.7</v>
      </c>
      <c r="K390" s="4">
        <v>96.2</v>
      </c>
      <c r="L390" s="4">
        <v>4.53</v>
      </c>
      <c r="M390" s="4">
        <v>19.73</v>
      </c>
      <c r="N390" s="4">
        <v>32.6</v>
      </c>
      <c r="O390" s="4">
        <v>23.5</v>
      </c>
      <c r="P390" s="4">
        <v>36825.599999999999</v>
      </c>
      <c r="Q390" s="6">
        <f t="shared" si="91"/>
        <v>19.153066000936182</v>
      </c>
      <c r="R390" s="4">
        <v>5</v>
      </c>
      <c r="S390" s="4">
        <v>5</v>
      </c>
      <c r="T390" s="6">
        <f t="shared" si="92"/>
        <v>0.52010193998023613</v>
      </c>
      <c r="U390" s="4">
        <v>6465.5</v>
      </c>
      <c r="V390" s="7">
        <f t="shared" si="93"/>
        <v>2.9444389791664403</v>
      </c>
      <c r="W390" s="7">
        <f t="shared" si="94"/>
        <v>4.5664293576716606</v>
      </c>
      <c r="X390" s="7">
        <f t="shared" si="95"/>
        <v>2.9524628072988284</v>
      </c>
      <c r="Y390" s="7">
        <f t="shared" si="96"/>
        <v>8.7743902828552987</v>
      </c>
      <c r="Z390" s="7">
        <f t="shared" si="82"/>
        <v>4.4343818650078095</v>
      </c>
      <c r="AA390" s="7">
        <f t="shared" si="83"/>
        <v>4.1779999999999999</v>
      </c>
      <c r="AB390" s="7">
        <f t="shared" si="84"/>
        <v>19.579999999999998</v>
      </c>
      <c r="AC390" s="7">
        <f t="shared" si="85"/>
        <v>32</v>
      </c>
      <c r="AD390" s="7">
        <f t="shared" si="86"/>
        <v>19.8</v>
      </c>
      <c r="AE390" s="7">
        <f t="shared" si="87"/>
        <v>2.8277262890959798</v>
      </c>
      <c r="AF390" s="7">
        <f t="shared" si="88"/>
        <v>0.47596382674916704</v>
      </c>
      <c r="AG390" s="7">
        <f t="shared" si="89"/>
        <v>8.5124620170403364</v>
      </c>
    </row>
    <row r="391" spans="1:33" x14ac:dyDescent="0.25">
      <c r="A391" s="4" t="s">
        <v>97</v>
      </c>
      <c r="B391" s="4">
        <v>2023</v>
      </c>
      <c r="C391" s="4" t="s">
        <v>96</v>
      </c>
      <c r="D391" s="5">
        <f t="shared" si="90"/>
        <v>0</v>
      </c>
      <c r="E391" s="4">
        <v>10.8</v>
      </c>
      <c r="F391" s="4">
        <v>11.1</v>
      </c>
      <c r="G391" s="4">
        <v>8.8000000000000007</v>
      </c>
      <c r="H391" s="4">
        <v>14.6</v>
      </c>
      <c r="I391" s="4"/>
      <c r="J391" s="4">
        <v>326.5</v>
      </c>
      <c r="K391" s="4">
        <v>51.9</v>
      </c>
      <c r="L391" s="4">
        <v>2.282</v>
      </c>
      <c r="M391" s="4">
        <v>24.07</v>
      </c>
      <c r="N391" s="4">
        <v>28</v>
      </c>
      <c r="O391" s="4">
        <v>16.8</v>
      </c>
      <c r="P391" s="4">
        <v>4852</v>
      </c>
      <c r="Q391" s="6">
        <f t="shared" si="91"/>
        <v>14.860643185298622</v>
      </c>
      <c r="R391" s="4">
        <v>2</v>
      </c>
      <c r="S391" s="4">
        <v>1</v>
      </c>
      <c r="T391" s="6">
        <f t="shared" si="92"/>
        <v>0.91883614088820831</v>
      </c>
      <c r="U391" s="4">
        <v>102.9</v>
      </c>
      <c r="V391" s="7">
        <f t="shared" si="93"/>
        <v>2.379546134130174</v>
      </c>
      <c r="W391" s="7">
        <f t="shared" si="94"/>
        <v>3.949318790171843</v>
      </c>
      <c r="X391" s="7">
        <f t="shared" si="95"/>
        <v>2.698716321347455</v>
      </c>
      <c r="Y391" s="7">
        <f t="shared" si="96"/>
        <v>4.6434288981051814</v>
      </c>
      <c r="Z391" s="7">
        <f t="shared" si="82"/>
        <v>3.8501476017100584</v>
      </c>
      <c r="AA391" s="7">
        <f t="shared" si="83"/>
        <v>2.1819999999999999</v>
      </c>
      <c r="AB391" s="7">
        <f t="shared" si="84"/>
        <v>22.69</v>
      </c>
      <c r="AC391" s="7">
        <f t="shared" si="85"/>
        <v>27.6</v>
      </c>
      <c r="AD391" s="7">
        <f t="shared" si="86"/>
        <v>17.100000000000001</v>
      </c>
      <c r="AE391" s="7">
        <f t="shared" si="87"/>
        <v>1.8907805744012527</v>
      </c>
      <c r="AF391" s="7">
        <f t="shared" si="88"/>
        <v>0.92478421701602964</v>
      </c>
      <c r="AG391" s="7">
        <f t="shared" si="89"/>
        <v>3.2347491740244907</v>
      </c>
    </row>
    <row r="392" spans="1:33" x14ac:dyDescent="0.25">
      <c r="A392" s="4" t="s">
        <v>98</v>
      </c>
      <c r="B392" s="4">
        <v>2023</v>
      </c>
      <c r="C392" s="4" t="s">
        <v>99</v>
      </c>
      <c r="D392" s="5">
        <f t="shared" si="90"/>
        <v>1</v>
      </c>
      <c r="E392" s="4">
        <v>21.5</v>
      </c>
      <c r="F392" s="4">
        <v>24.9</v>
      </c>
      <c r="G392" s="4">
        <v>14</v>
      </c>
      <c r="H392" s="4">
        <v>27.3</v>
      </c>
      <c r="I392" s="4"/>
      <c r="J392" s="4">
        <v>1517.4</v>
      </c>
      <c r="K392" s="4">
        <v>156.69999999999999</v>
      </c>
      <c r="L392" s="4">
        <v>10.885999999999999</v>
      </c>
      <c r="M392" s="4">
        <v>50.79</v>
      </c>
      <c r="N392" s="4">
        <v>34.4</v>
      </c>
      <c r="O392" s="4">
        <v>31.3</v>
      </c>
      <c r="P392" s="4">
        <v>26642.400000000001</v>
      </c>
      <c r="Q392" s="6">
        <f t="shared" si="91"/>
        <v>17.557928034796362</v>
      </c>
      <c r="R392" s="4">
        <v>25</v>
      </c>
      <c r="S392" s="4">
        <v>3</v>
      </c>
      <c r="T392" s="6">
        <f t="shared" si="92"/>
        <v>1.8452616317384998</v>
      </c>
      <c r="U392" s="4">
        <v>16364.1</v>
      </c>
      <c r="V392" s="7">
        <f t="shared" si="93"/>
        <v>3.068052935133617</v>
      </c>
      <c r="W392" s="7">
        <f t="shared" si="94"/>
        <v>5.054333149361975</v>
      </c>
      <c r="X392" s="7">
        <f t="shared" si="95"/>
        <v>2.8655055877825726</v>
      </c>
      <c r="Y392" s="7">
        <f t="shared" si="96"/>
        <v>9.7029062975185063</v>
      </c>
      <c r="Z392" s="7">
        <f t="shared" si="82"/>
        <v>5.1161957897567483</v>
      </c>
      <c r="AA392" s="7">
        <f t="shared" si="83"/>
        <v>10.007</v>
      </c>
      <c r="AB392" s="7">
        <f t="shared" si="84"/>
        <v>37.26</v>
      </c>
      <c r="AC392" s="7">
        <f t="shared" si="85"/>
        <v>34.4</v>
      </c>
      <c r="AD392" s="7">
        <f t="shared" si="86"/>
        <v>30.8</v>
      </c>
      <c r="AE392" s="7">
        <f t="shared" si="87"/>
        <v>2.7160096608008284</v>
      </c>
      <c r="AF392" s="7">
        <f t="shared" si="88"/>
        <v>1.8813411274608616</v>
      </c>
      <c r="AG392" s="7">
        <f t="shared" si="89"/>
        <v>9.6593820772008918</v>
      </c>
    </row>
    <row r="393" spans="1:33" x14ac:dyDescent="0.25">
      <c r="A393" s="4" t="s">
        <v>100</v>
      </c>
      <c r="B393" s="4">
        <v>2023</v>
      </c>
      <c r="C393" s="4" t="s">
        <v>86</v>
      </c>
      <c r="D393" s="5">
        <f t="shared" si="90"/>
        <v>0</v>
      </c>
      <c r="E393" s="4">
        <v>14.5</v>
      </c>
      <c r="F393" s="4">
        <v>20.100000000000001</v>
      </c>
      <c r="G393" s="4">
        <v>14</v>
      </c>
      <c r="H393" s="4">
        <v>12.2</v>
      </c>
      <c r="I393" s="4"/>
      <c r="J393" s="4">
        <v>1299.3</v>
      </c>
      <c r="K393" s="4">
        <v>51.8</v>
      </c>
      <c r="L393" s="4">
        <v>2.9569999999999999</v>
      </c>
      <c r="M393" s="4">
        <v>13.11</v>
      </c>
      <c r="N393" s="4">
        <v>12.7</v>
      </c>
      <c r="O393" s="4">
        <v>13.9</v>
      </c>
      <c r="P393" s="4">
        <v>5213.3999999999996</v>
      </c>
      <c r="Q393" s="6">
        <f t="shared" si="91"/>
        <v>4.0124682521357649</v>
      </c>
      <c r="R393" s="4">
        <v>4</v>
      </c>
      <c r="S393" s="4">
        <v>2</v>
      </c>
      <c r="T393" s="6">
        <f t="shared" si="92"/>
        <v>0.46178711613945972</v>
      </c>
      <c r="U393" s="4">
        <v>1231</v>
      </c>
      <c r="V393" s="7">
        <f t="shared" si="93"/>
        <v>2.6741486494265287</v>
      </c>
      <c r="W393" s="7">
        <f t="shared" si="94"/>
        <v>3.9473901492654373</v>
      </c>
      <c r="X393" s="7">
        <f t="shared" si="95"/>
        <v>1.3894065761845245</v>
      </c>
      <c r="Y393" s="7">
        <f t="shared" si="96"/>
        <v>7.1163941440934648</v>
      </c>
      <c r="Z393" s="7">
        <f t="shared" si="82"/>
        <v>3.8794998137225858</v>
      </c>
      <c r="AA393" s="7">
        <f t="shared" si="83"/>
        <v>2.7519999999999998</v>
      </c>
      <c r="AB393" s="7">
        <f t="shared" si="84"/>
        <v>10.25</v>
      </c>
      <c r="AC393" s="7">
        <f t="shared" si="85"/>
        <v>11.9</v>
      </c>
      <c r="AD393" s="7">
        <f t="shared" si="86"/>
        <v>16.399999999999999</v>
      </c>
      <c r="AE393" s="7">
        <f t="shared" si="87"/>
        <v>1.262205371411063</v>
      </c>
      <c r="AF393" s="7">
        <f t="shared" si="88"/>
        <v>0.46224961479198773</v>
      </c>
      <c r="AG393" s="7">
        <f t="shared" si="89"/>
        <v>7.1083259694439551</v>
      </c>
    </row>
    <row r="394" spans="1:33" x14ac:dyDescent="0.25">
      <c r="A394" s="4" t="s">
        <v>101</v>
      </c>
      <c r="B394" s="4">
        <v>2023</v>
      </c>
      <c r="C394" s="4" t="s">
        <v>96</v>
      </c>
      <c r="D394" s="5">
        <f t="shared" si="90"/>
        <v>0</v>
      </c>
      <c r="E394" s="4"/>
      <c r="F394" s="4"/>
      <c r="G394" s="4"/>
      <c r="H394" s="4"/>
      <c r="I394" s="4"/>
      <c r="J394" s="4">
        <v>547.9</v>
      </c>
      <c r="K394" s="4">
        <v>41</v>
      </c>
      <c r="L394" s="4">
        <v>2.254</v>
      </c>
      <c r="M394" s="4">
        <v>25.46</v>
      </c>
      <c r="N394" s="4">
        <v>25.9</v>
      </c>
      <c r="O394" s="4">
        <v>14.7</v>
      </c>
      <c r="P394" s="4">
        <v>3547.6</v>
      </c>
      <c r="Q394" s="6">
        <f t="shared" si="91"/>
        <v>6.4749041795948168</v>
      </c>
      <c r="R394" s="4">
        <v>5</v>
      </c>
      <c r="S394" s="4">
        <v>0</v>
      </c>
      <c r="T394" s="6">
        <f t="shared" si="92"/>
        <v>0.91257528746121563</v>
      </c>
      <c r="U394" s="4">
        <v>37.799999999999997</v>
      </c>
      <c r="V394" s="7" t="str">
        <f t="shared" si="93"/>
        <v/>
      </c>
      <c r="W394" s="7">
        <f t="shared" si="94"/>
        <v>3.713572066704308</v>
      </c>
      <c r="X394" s="7">
        <f t="shared" si="95"/>
        <v>1.8679338089579274</v>
      </c>
      <c r="Y394" s="7">
        <f t="shared" si="96"/>
        <v>3.6584202466292277</v>
      </c>
      <c r="Z394" s="7">
        <f t="shared" si="82"/>
        <v>3.655839600035736</v>
      </c>
      <c r="AA394" s="7">
        <f t="shared" si="83"/>
        <v>2.25</v>
      </c>
      <c r="AB394" s="7">
        <f t="shared" si="84"/>
        <v>25.5</v>
      </c>
      <c r="AC394" s="7">
        <f t="shared" si="85"/>
        <v>25.6</v>
      </c>
      <c r="AD394" s="7">
        <f t="shared" si="86"/>
        <v>16.8</v>
      </c>
      <c r="AE394" s="7">
        <f t="shared" si="87"/>
        <v>1.2402963882895168</v>
      </c>
      <c r="AF394" s="7">
        <f t="shared" si="88"/>
        <v>0.73651261277849378</v>
      </c>
      <c r="AG394" s="7">
        <f t="shared" si="89"/>
        <v>3.708682081410116</v>
      </c>
    </row>
    <row r="395" spans="1:33" x14ac:dyDescent="0.25">
      <c r="A395" s="4" t="s">
        <v>102</v>
      </c>
      <c r="B395" s="4">
        <v>2023</v>
      </c>
      <c r="C395" s="4" t="s">
        <v>86</v>
      </c>
      <c r="D395" s="5">
        <f t="shared" si="90"/>
        <v>0</v>
      </c>
      <c r="E395" s="4">
        <v>13.4</v>
      </c>
      <c r="F395" s="4">
        <v>11.6</v>
      </c>
      <c r="G395" s="4">
        <v>12</v>
      </c>
      <c r="H395" s="4">
        <v>15.7</v>
      </c>
      <c r="I395" s="4"/>
      <c r="J395" s="4">
        <v>1207.4000000000001</v>
      </c>
      <c r="K395" s="4">
        <v>64.400000000000006</v>
      </c>
      <c r="L395" s="4">
        <v>3.2210000000000001</v>
      </c>
      <c r="M395" s="4">
        <v>23.06</v>
      </c>
      <c r="N395" s="4">
        <v>15.1</v>
      </c>
      <c r="O395" s="4">
        <v>16.3</v>
      </c>
      <c r="P395" s="4">
        <v>1257.7</v>
      </c>
      <c r="Q395" s="6">
        <f t="shared" si="91"/>
        <v>1.041659764783833</v>
      </c>
      <c r="R395" s="4">
        <v>5</v>
      </c>
      <c r="S395" s="4">
        <v>2</v>
      </c>
      <c r="T395" s="6">
        <f t="shared" si="92"/>
        <v>0.57975815802550934</v>
      </c>
      <c r="U395" s="4">
        <v>128.1</v>
      </c>
      <c r="V395" s="7">
        <f t="shared" si="93"/>
        <v>2.5952547069568657</v>
      </c>
      <c r="W395" s="7">
        <f t="shared" si="94"/>
        <v>4.165113633110308</v>
      </c>
      <c r="X395" s="7">
        <f t="shared" si="95"/>
        <v>4.0815368690784087E-2</v>
      </c>
      <c r="Y395" s="7">
        <f t="shared" si="96"/>
        <v>4.8605872978525966</v>
      </c>
      <c r="Z395" s="7">
        <f t="shared" si="82"/>
        <v>4.0842942263685993</v>
      </c>
      <c r="AA395" s="7">
        <f t="shared" si="83"/>
        <v>3.1819999999999999</v>
      </c>
      <c r="AB395" s="7">
        <f t="shared" si="84"/>
        <v>22.84</v>
      </c>
      <c r="AC395" s="7">
        <f t="shared" si="85"/>
        <v>14.3</v>
      </c>
      <c r="AD395" s="7">
        <f t="shared" si="86"/>
        <v>16.5</v>
      </c>
      <c r="AE395" s="7">
        <f t="shared" si="87"/>
        <v>-0.41115366539591419</v>
      </c>
      <c r="AF395" s="7">
        <f t="shared" si="88"/>
        <v>0.57966213978138459</v>
      </c>
      <c r="AG395" s="7">
        <f t="shared" si="89"/>
        <v>4.8528112089026889</v>
      </c>
    </row>
    <row r="396" spans="1:33" x14ac:dyDescent="0.25">
      <c r="A396" s="4" t="s">
        <v>103</v>
      </c>
      <c r="B396" s="4">
        <v>2023</v>
      </c>
      <c r="C396" s="4" t="s">
        <v>86</v>
      </c>
      <c r="D396" s="5">
        <f t="shared" si="90"/>
        <v>0</v>
      </c>
      <c r="E396" s="4">
        <v>21.7</v>
      </c>
      <c r="F396" s="4">
        <v>27.7</v>
      </c>
      <c r="G396" s="4">
        <v>15.1</v>
      </c>
      <c r="H396" s="4">
        <v>25.4</v>
      </c>
      <c r="I396" s="4"/>
      <c r="J396" s="4">
        <v>1258.9000000000001</v>
      </c>
      <c r="K396" s="4">
        <v>94.3</v>
      </c>
      <c r="L396" s="4">
        <v>8.3379999999999992</v>
      </c>
      <c r="M396" s="4">
        <v>70.52</v>
      </c>
      <c r="N396" s="4">
        <v>23.3</v>
      </c>
      <c r="O396" s="4">
        <v>31</v>
      </c>
      <c r="P396" s="4">
        <v>3573.3</v>
      </c>
      <c r="Q396" s="6">
        <f t="shared" si="91"/>
        <v>2.838430375724839</v>
      </c>
      <c r="R396" s="4">
        <v>13</v>
      </c>
      <c r="S396" s="4">
        <v>5</v>
      </c>
      <c r="T396" s="6">
        <f t="shared" si="92"/>
        <v>1.4298196838509809</v>
      </c>
      <c r="U396" s="4">
        <v>1807.7</v>
      </c>
      <c r="V396" s="7">
        <f t="shared" si="93"/>
        <v>3.0773122605464138</v>
      </c>
      <c r="W396" s="7">
        <f t="shared" si="94"/>
        <v>4.5464811896394117</v>
      </c>
      <c r="X396" s="7">
        <f t="shared" si="95"/>
        <v>1.0432512147827513</v>
      </c>
      <c r="Y396" s="7">
        <f t="shared" si="96"/>
        <v>7.5003636341634694</v>
      </c>
      <c r="Z396" s="7">
        <f t="shared" si="82"/>
        <v>4.4624538837864964</v>
      </c>
      <c r="AA396" s="7">
        <f t="shared" si="83"/>
        <v>8.0329999999999995</v>
      </c>
      <c r="AB396" s="7">
        <f t="shared" si="84"/>
        <v>70.5</v>
      </c>
      <c r="AC396" s="7">
        <f t="shared" si="85"/>
        <v>22.9</v>
      </c>
      <c r="AD396" s="7">
        <f t="shared" si="86"/>
        <v>28.4</v>
      </c>
      <c r="AE396" s="7">
        <f t="shared" si="87"/>
        <v>0.87762244934979738</v>
      </c>
      <c r="AF396" s="7">
        <f t="shared" si="88"/>
        <v>1.3575021959594347</v>
      </c>
      <c r="AG396" s="7">
        <f t="shared" si="89"/>
        <v>7.501579238247297</v>
      </c>
    </row>
    <row r="397" spans="1:33" x14ac:dyDescent="0.25">
      <c r="A397" s="4" t="s">
        <v>104</v>
      </c>
      <c r="B397" s="4">
        <v>2023</v>
      </c>
      <c r="C397" s="4" t="s">
        <v>105</v>
      </c>
      <c r="D397" s="5">
        <f t="shared" si="90"/>
        <v>0</v>
      </c>
      <c r="E397" s="4">
        <v>13.6</v>
      </c>
      <c r="F397" s="4">
        <v>11.8</v>
      </c>
      <c r="G397" s="4">
        <v>11</v>
      </c>
      <c r="H397" s="4">
        <v>17</v>
      </c>
      <c r="I397" s="4"/>
      <c r="J397" s="4">
        <v>1613.9</v>
      </c>
      <c r="K397" s="4">
        <v>57.8</v>
      </c>
      <c r="L397" s="4">
        <v>3.3820000000000001</v>
      </c>
      <c r="M397" s="4">
        <v>29.44</v>
      </c>
      <c r="N397" s="4">
        <v>15.3</v>
      </c>
      <c r="O397" s="4">
        <v>15.9</v>
      </c>
      <c r="P397" s="4">
        <v>18812.2</v>
      </c>
      <c r="Q397" s="6">
        <f t="shared" si="91"/>
        <v>11.656360369291777</v>
      </c>
      <c r="R397" s="4">
        <v>18</v>
      </c>
      <c r="S397" s="4">
        <v>1</v>
      </c>
      <c r="T397" s="6">
        <f t="shared" si="92"/>
        <v>1.1772724456286014</v>
      </c>
      <c r="U397" s="4">
        <v>57.6</v>
      </c>
      <c r="V397" s="7">
        <f t="shared" si="93"/>
        <v>2.6100697927420065</v>
      </c>
      <c r="W397" s="7">
        <f t="shared" si="94"/>
        <v>4.0569887756783318</v>
      </c>
      <c r="X397" s="7">
        <f t="shared" si="95"/>
        <v>2.4558519854784486</v>
      </c>
      <c r="Y397" s="7">
        <f t="shared" si="96"/>
        <v>4.0707346965829672</v>
      </c>
      <c r="Z397" s="7">
        <f t="shared" si="82"/>
        <v>3.9908341858524357</v>
      </c>
      <c r="AA397" s="7">
        <f t="shared" si="83"/>
        <v>3.2919999999999998</v>
      </c>
      <c r="AB397" s="7">
        <f t="shared" si="84"/>
        <v>29.33</v>
      </c>
      <c r="AC397" s="7">
        <f t="shared" si="85"/>
        <v>15.3</v>
      </c>
      <c r="AD397" s="7">
        <f t="shared" si="86"/>
        <v>17</v>
      </c>
      <c r="AE397" s="7">
        <f t="shared" si="87"/>
        <v>2.4487919397710241</v>
      </c>
      <c r="AF397" s="7">
        <f t="shared" si="88"/>
        <v>1.1942174732872406</v>
      </c>
      <c r="AG397" s="7">
        <f t="shared" si="89"/>
        <v>4.0758410906575406</v>
      </c>
    </row>
    <row r="398" spans="1:33" x14ac:dyDescent="0.25">
      <c r="A398" s="4" t="s">
        <v>106</v>
      </c>
      <c r="B398" s="4">
        <v>2023</v>
      </c>
      <c r="C398" s="4" t="s">
        <v>96</v>
      </c>
      <c r="D398" s="5">
        <f t="shared" si="90"/>
        <v>0</v>
      </c>
      <c r="E398" s="4"/>
      <c r="F398" s="4"/>
      <c r="G398" s="4"/>
      <c r="H398" s="4"/>
      <c r="I398" s="4"/>
      <c r="J398" s="4">
        <v>899.9</v>
      </c>
      <c r="K398" s="4">
        <v>34.700000000000003</v>
      </c>
      <c r="L398" s="4">
        <v>1.5649999999999999</v>
      </c>
      <c r="M398" s="4">
        <v>16.12</v>
      </c>
      <c r="N398" s="4">
        <v>21</v>
      </c>
      <c r="O398" s="4">
        <v>8.9</v>
      </c>
      <c r="P398" s="4">
        <v>3320.1</v>
      </c>
      <c r="Q398" s="6">
        <f t="shared" si="91"/>
        <v>3.6894099344371596</v>
      </c>
      <c r="R398" s="4">
        <v>0</v>
      </c>
      <c r="S398" s="4">
        <v>0</v>
      </c>
      <c r="T398" s="6">
        <f t="shared" si="92"/>
        <v>0</v>
      </c>
      <c r="U398" s="4">
        <v>4.5999999999999996</v>
      </c>
      <c r="V398" s="7" t="str">
        <f t="shared" si="93"/>
        <v/>
      </c>
      <c r="W398" s="7">
        <f t="shared" si="94"/>
        <v>3.5467396869528134</v>
      </c>
      <c r="X398" s="7">
        <f t="shared" si="95"/>
        <v>1.3054665358989463</v>
      </c>
      <c r="Y398" s="7">
        <f t="shared" si="96"/>
        <v>1.7227665977411035</v>
      </c>
      <c r="Z398" s="7">
        <f t="shared" si="82"/>
        <v>3.520460802488973</v>
      </c>
      <c r="AA398" s="7">
        <f t="shared" si="83"/>
        <v>1.4259999999999999</v>
      </c>
      <c r="AB398" s="7">
        <f t="shared" si="84"/>
        <v>15.94</v>
      </c>
      <c r="AC398" s="7">
        <f t="shared" si="85"/>
        <v>20.6</v>
      </c>
      <c r="AD398" s="7">
        <f t="shared" si="86"/>
        <v>11.1</v>
      </c>
      <c r="AE398" s="7">
        <f t="shared" si="87"/>
        <v>1.1624714595745225</v>
      </c>
      <c r="AF398" s="7">
        <f t="shared" si="88"/>
        <v>0</v>
      </c>
      <c r="AG398" s="7">
        <f t="shared" si="89"/>
        <v>1.7227665977411035</v>
      </c>
    </row>
    <row r="399" spans="1:33" x14ac:dyDescent="0.25">
      <c r="A399" s="4" t="s">
        <v>107</v>
      </c>
      <c r="B399" s="4">
        <v>2023</v>
      </c>
      <c r="C399" s="4" t="s">
        <v>99</v>
      </c>
      <c r="D399" s="5">
        <f t="shared" si="90"/>
        <v>1</v>
      </c>
      <c r="E399" s="4">
        <v>17.8</v>
      </c>
      <c r="F399" s="4">
        <v>28.2</v>
      </c>
      <c r="G399" s="4">
        <v>12.3</v>
      </c>
      <c r="H399" s="4">
        <v>18</v>
      </c>
      <c r="I399" s="4"/>
      <c r="J399" s="4">
        <v>885.9</v>
      </c>
      <c r="K399" s="4">
        <v>95.8</v>
      </c>
      <c r="L399" s="4">
        <v>6.1210000000000004</v>
      </c>
      <c r="M399" s="4">
        <v>28.2</v>
      </c>
      <c r="N399" s="4">
        <v>29.5</v>
      </c>
      <c r="O399" s="4">
        <v>18</v>
      </c>
      <c r="P399" s="4">
        <v>17437.900000000001</v>
      </c>
      <c r="Q399" s="6">
        <f t="shared" si="91"/>
        <v>19.683824359408515</v>
      </c>
      <c r="R399" s="4">
        <v>7</v>
      </c>
      <c r="S399" s="4">
        <v>4</v>
      </c>
      <c r="T399" s="6">
        <f t="shared" si="92"/>
        <v>1.2416751326334801</v>
      </c>
      <c r="U399" s="4">
        <v>6826.8</v>
      </c>
      <c r="V399" s="7">
        <f t="shared" si="93"/>
        <v>2.8791984572980396</v>
      </c>
      <c r="W399" s="7">
        <f t="shared" si="94"/>
        <v>4.5622626849768144</v>
      </c>
      <c r="X399" s="7">
        <f t="shared" si="95"/>
        <v>2.9797971999507391</v>
      </c>
      <c r="Y399" s="7">
        <f t="shared" si="96"/>
        <v>8.828757792331265</v>
      </c>
      <c r="Z399" s="7">
        <f t="shared" si="82"/>
        <v>4.467056883858457</v>
      </c>
      <c r="AA399" s="7">
        <f t="shared" si="83"/>
        <v>5.8630000000000004</v>
      </c>
      <c r="AB399" s="7">
        <f t="shared" si="84"/>
        <v>28.02</v>
      </c>
      <c r="AC399" s="7">
        <f t="shared" si="85"/>
        <v>27.6</v>
      </c>
      <c r="AD399" s="7">
        <f t="shared" si="86"/>
        <v>18.5</v>
      </c>
      <c r="AE399" s="7">
        <f t="shared" si="87"/>
        <v>2.8926909988317222</v>
      </c>
      <c r="AF399" s="7">
        <f t="shared" si="88"/>
        <v>1.2527047033367498</v>
      </c>
      <c r="AG399" s="7">
        <f t="shared" si="89"/>
        <v>8.7140913251622045</v>
      </c>
    </row>
    <row r="400" spans="1:33" x14ac:dyDescent="0.25">
      <c r="A400" s="4" t="s">
        <v>108</v>
      </c>
      <c r="B400" s="4">
        <v>2023</v>
      </c>
      <c r="C400" s="4" t="s">
        <v>99</v>
      </c>
      <c r="D400" s="5">
        <f t="shared" si="90"/>
        <v>1</v>
      </c>
      <c r="E400" s="4">
        <v>85.7</v>
      </c>
      <c r="F400" s="4">
        <v>97.2</v>
      </c>
      <c r="G400" s="4">
        <v>85.3</v>
      </c>
      <c r="H400" s="4">
        <v>80.400000000000006</v>
      </c>
      <c r="I400" s="4"/>
      <c r="J400" s="4">
        <v>8587.1</v>
      </c>
      <c r="K400" s="4">
        <v>149.69999999999999</v>
      </c>
      <c r="L400" s="4">
        <v>22.382000000000001</v>
      </c>
      <c r="M400" s="4">
        <v>49.06</v>
      </c>
      <c r="N400" s="4">
        <v>50.8</v>
      </c>
      <c r="O400" s="4">
        <v>52.2</v>
      </c>
      <c r="P400" s="4">
        <v>209318</v>
      </c>
      <c r="Q400" s="6">
        <f t="shared" si="91"/>
        <v>24.375866124768546</v>
      </c>
      <c r="R400" s="4">
        <v>130</v>
      </c>
      <c r="S400" s="4">
        <v>29</v>
      </c>
      <c r="T400" s="6">
        <f t="shared" si="92"/>
        <v>1.8516146312491992</v>
      </c>
      <c r="U400" s="4">
        <v>4800.2</v>
      </c>
      <c r="V400" s="7">
        <f t="shared" si="93"/>
        <v>4.4508528256037341</v>
      </c>
      <c r="W400" s="7">
        <f t="shared" si="94"/>
        <v>5.0086332914255829</v>
      </c>
      <c r="X400" s="7">
        <f t="shared" si="95"/>
        <v>3.1935935495764549</v>
      </c>
      <c r="Y400" s="7">
        <f t="shared" si="96"/>
        <v>8.4766211656511903</v>
      </c>
      <c r="Z400" s="7">
        <f t="shared" si="82"/>
        <v>4.9494688588587685</v>
      </c>
      <c r="AA400" s="7">
        <f t="shared" si="83"/>
        <v>22.169</v>
      </c>
      <c r="AB400" s="7">
        <f t="shared" si="84"/>
        <v>49.06</v>
      </c>
      <c r="AC400" s="7">
        <f t="shared" si="85"/>
        <v>50.3</v>
      </c>
      <c r="AD400" s="7">
        <f t="shared" si="86"/>
        <v>55</v>
      </c>
      <c r="AE400" s="7">
        <f t="shared" si="87"/>
        <v>3.0496484336472913</v>
      </c>
      <c r="AF400" s="7">
        <f t="shared" si="88"/>
        <v>1.9204096873999785</v>
      </c>
      <c r="AG400" s="7">
        <f t="shared" si="89"/>
        <v>8.4351802106955578</v>
      </c>
    </row>
    <row r="401" spans="1:33" x14ac:dyDescent="0.25">
      <c r="A401" s="4" t="s">
        <v>109</v>
      </c>
      <c r="B401" s="4">
        <v>2023</v>
      </c>
      <c r="C401" s="4" t="s">
        <v>92</v>
      </c>
      <c r="D401" s="5">
        <f t="shared" si="90"/>
        <v>0</v>
      </c>
      <c r="E401" s="4">
        <v>13.3</v>
      </c>
      <c r="F401" s="4">
        <v>16.600000000000001</v>
      </c>
      <c r="G401" s="4">
        <v>9.5</v>
      </c>
      <c r="H401" s="4">
        <v>15.3</v>
      </c>
      <c r="I401" s="4"/>
      <c r="J401" s="4">
        <v>1323.7</v>
      </c>
      <c r="K401" s="4">
        <v>76.5</v>
      </c>
      <c r="L401" s="4">
        <v>4.3719999999999999</v>
      </c>
      <c r="M401" s="4">
        <v>22.51</v>
      </c>
      <c r="N401" s="4">
        <v>31.6</v>
      </c>
      <c r="O401" s="4">
        <v>16.3</v>
      </c>
      <c r="P401" s="4">
        <v>45386.1</v>
      </c>
      <c r="Q401" s="6">
        <f t="shared" si="91"/>
        <v>34.2873007479036</v>
      </c>
      <c r="R401" s="4">
        <v>4</v>
      </c>
      <c r="S401" s="4">
        <v>1</v>
      </c>
      <c r="T401" s="6">
        <f t="shared" si="92"/>
        <v>0.37772909269471933</v>
      </c>
      <c r="U401" s="4">
        <v>9132</v>
      </c>
      <c r="V401" s="7">
        <f t="shared" si="93"/>
        <v>2.5877640352277083</v>
      </c>
      <c r="W401" s="7">
        <f t="shared" si="94"/>
        <v>4.3372907408324899</v>
      </c>
      <c r="X401" s="7">
        <f t="shared" si="95"/>
        <v>3.5347750450300257</v>
      </c>
      <c r="Y401" s="7">
        <f t="shared" si="96"/>
        <v>9.1196495066916796</v>
      </c>
      <c r="Z401" s="7">
        <f t="shared" si="82"/>
        <v>4.2752762647270011</v>
      </c>
      <c r="AA401" s="7">
        <f t="shared" si="83"/>
        <v>4.218</v>
      </c>
      <c r="AB401" s="7">
        <f t="shared" si="84"/>
        <v>22.3</v>
      </c>
      <c r="AC401" s="7">
        <f t="shared" si="85"/>
        <v>30.8</v>
      </c>
      <c r="AD401" s="7">
        <f t="shared" si="86"/>
        <v>19.8</v>
      </c>
      <c r="AE401" s="7">
        <f t="shared" si="87"/>
        <v>3.3859009454391313</v>
      </c>
      <c r="AF401" s="7">
        <f t="shared" si="88"/>
        <v>0.37956426022925682</v>
      </c>
      <c r="AG401" s="7">
        <f t="shared" si="89"/>
        <v>9.1183676167696159</v>
      </c>
    </row>
    <row r="402" spans="1:33" x14ac:dyDescent="0.25">
      <c r="A402" s="4" t="s">
        <v>110</v>
      </c>
      <c r="B402" s="4">
        <v>2023</v>
      </c>
      <c r="C402" s="4" t="s">
        <v>96</v>
      </c>
      <c r="D402" s="5">
        <f t="shared" si="90"/>
        <v>0</v>
      </c>
      <c r="E402" s="4">
        <v>12.2</v>
      </c>
      <c r="F402" s="4">
        <v>12.9</v>
      </c>
      <c r="G402" s="4">
        <v>9.6</v>
      </c>
      <c r="H402" s="4">
        <v>14.6</v>
      </c>
      <c r="I402" s="4"/>
      <c r="J402" s="4">
        <v>880.5</v>
      </c>
      <c r="K402" s="4">
        <v>69.8</v>
      </c>
      <c r="L402" s="4">
        <v>3.375</v>
      </c>
      <c r="M402" s="4">
        <v>25.68</v>
      </c>
      <c r="N402" s="4">
        <v>23.8</v>
      </c>
      <c r="O402" s="4">
        <v>18.399999999999999</v>
      </c>
      <c r="P402" s="4">
        <v>8627.6</v>
      </c>
      <c r="Q402" s="6">
        <f t="shared" si="91"/>
        <v>9.7985235661555929</v>
      </c>
      <c r="R402" s="4">
        <v>7</v>
      </c>
      <c r="S402" s="4">
        <v>2</v>
      </c>
      <c r="T402" s="6">
        <f t="shared" si="92"/>
        <v>1.0221465076660987</v>
      </c>
      <c r="U402" s="4">
        <v>886</v>
      </c>
      <c r="V402" s="7">
        <f t="shared" si="93"/>
        <v>2.5014359517392109</v>
      </c>
      <c r="W402" s="7">
        <f t="shared" si="94"/>
        <v>4.2456340097683265</v>
      </c>
      <c r="X402" s="7">
        <f t="shared" si="95"/>
        <v>2.2822317178119582</v>
      </c>
      <c r="Y402" s="7">
        <f t="shared" si="96"/>
        <v>6.7878449823095792</v>
      </c>
      <c r="Z402" s="7">
        <f t="shared" si="82"/>
        <v>4.2076732475291037</v>
      </c>
      <c r="AA402" s="7">
        <f t="shared" si="83"/>
        <v>3.3039999999999998</v>
      </c>
      <c r="AB402" s="7">
        <f t="shared" si="84"/>
        <v>25.43</v>
      </c>
      <c r="AC402" s="7">
        <f t="shared" si="85"/>
        <v>23.8</v>
      </c>
      <c r="AD402" s="7">
        <f t="shared" si="86"/>
        <v>24.7</v>
      </c>
      <c r="AE402" s="7">
        <f t="shared" si="87"/>
        <v>2.2653099386064244</v>
      </c>
      <c r="AF402" s="7">
        <f t="shared" si="88"/>
        <v>1.1423349326022392</v>
      </c>
      <c r="AG402" s="7">
        <f t="shared" si="89"/>
        <v>6.713684975153634</v>
      </c>
    </row>
    <row r="403" spans="1:33" x14ac:dyDescent="0.25">
      <c r="A403" s="4" t="s">
        <v>111</v>
      </c>
      <c r="B403" s="4">
        <v>2023</v>
      </c>
      <c r="C403" s="4" t="s">
        <v>99</v>
      </c>
      <c r="D403" s="5">
        <f t="shared" si="90"/>
        <v>1</v>
      </c>
      <c r="E403" s="4">
        <v>20.5</v>
      </c>
      <c r="F403" s="4">
        <v>26.9</v>
      </c>
      <c r="G403" s="4">
        <v>12.5</v>
      </c>
      <c r="H403" s="4">
        <v>25.2</v>
      </c>
      <c r="I403" s="4"/>
      <c r="J403" s="4">
        <v>1301</v>
      </c>
      <c r="K403" s="4">
        <v>109.9</v>
      </c>
      <c r="L403" s="4">
        <v>7.4969999999999999</v>
      </c>
      <c r="M403" s="4">
        <v>16.989999999999998</v>
      </c>
      <c r="N403" s="4">
        <v>28.2</v>
      </c>
      <c r="O403" s="4">
        <v>27.3</v>
      </c>
      <c r="P403" s="4">
        <v>35822</v>
      </c>
      <c r="Q403" s="6">
        <f t="shared" si="91"/>
        <v>27.534204458109148</v>
      </c>
      <c r="R403" s="4">
        <v>24</v>
      </c>
      <c r="S403" s="4">
        <v>0</v>
      </c>
      <c r="T403" s="6">
        <f t="shared" si="92"/>
        <v>1.8447348193697155</v>
      </c>
      <c r="U403" s="4">
        <v>5788.9</v>
      </c>
      <c r="V403" s="7">
        <f t="shared" si="93"/>
        <v>3.0204248861443626</v>
      </c>
      <c r="W403" s="7">
        <f t="shared" si="94"/>
        <v>4.6995708614095761</v>
      </c>
      <c r="X403" s="7">
        <f t="shared" si="95"/>
        <v>3.3154290302726985</v>
      </c>
      <c r="Y403" s="7">
        <f t="shared" si="96"/>
        <v>8.6638702992607257</v>
      </c>
      <c r="Z403" s="7">
        <f t="shared" si="82"/>
        <v>4.6298627985784631</v>
      </c>
      <c r="AA403" s="7">
        <f t="shared" si="83"/>
        <v>6.9470000000000001</v>
      </c>
      <c r="AB403" s="7">
        <f t="shared" si="84"/>
        <v>16.84</v>
      </c>
      <c r="AC403" s="7">
        <f t="shared" si="85"/>
        <v>28.1</v>
      </c>
      <c r="AD403" s="7">
        <f t="shared" si="86"/>
        <v>31.8</v>
      </c>
      <c r="AE403" s="7">
        <f t="shared" si="87"/>
        <v>3.282132441752116</v>
      </c>
      <c r="AF403" s="7">
        <f t="shared" si="88"/>
        <v>1.8591680223100162</v>
      </c>
      <c r="AG403" s="7">
        <f t="shared" si="89"/>
        <v>8.5471402677841901</v>
      </c>
    </row>
    <row r="404" spans="1:33" x14ac:dyDescent="0.25">
      <c r="A404" s="4" t="s">
        <v>112</v>
      </c>
      <c r="B404" s="4">
        <v>2023</v>
      </c>
      <c r="C404" s="4" t="s">
        <v>99</v>
      </c>
      <c r="D404" s="5">
        <f t="shared" si="90"/>
        <v>1</v>
      </c>
      <c r="E404" s="4">
        <v>18.7</v>
      </c>
      <c r="F404" s="4">
        <v>22.7</v>
      </c>
      <c r="G404" s="4">
        <v>12.1</v>
      </c>
      <c r="H404" s="4">
        <v>23.3</v>
      </c>
      <c r="I404" s="4"/>
      <c r="J404" s="4">
        <v>1956.9</v>
      </c>
      <c r="K404" s="4">
        <v>94.9</v>
      </c>
      <c r="L404" s="4">
        <v>5.7359999999999998</v>
      </c>
      <c r="M404" s="4">
        <v>31.68</v>
      </c>
      <c r="N404" s="4">
        <v>29.2</v>
      </c>
      <c r="O404" s="4">
        <v>27.2</v>
      </c>
      <c r="P404" s="4">
        <v>52774.1</v>
      </c>
      <c r="Q404" s="6">
        <f t="shared" si="91"/>
        <v>26.968215033982318</v>
      </c>
      <c r="R404" s="4">
        <v>8</v>
      </c>
      <c r="S404" s="4">
        <v>3</v>
      </c>
      <c r="T404" s="6">
        <f t="shared" si="92"/>
        <v>0.56211354693648108</v>
      </c>
      <c r="U404" s="4">
        <v>5319.4</v>
      </c>
      <c r="V404" s="7">
        <f t="shared" si="93"/>
        <v>2.9285235238605409</v>
      </c>
      <c r="W404" s="7">
        <f t="shared" si="94"/>
        <v>4.5528237056158822</v>
      </c>
      <c r="X404" s="7">
        <f t="shared" si="95"/>
        <v>3.2946589515718152</v>
      </c>
      <c r="Y404" s="7">
        <f t="shared" si="96"/>
        <v>8.579303767479141</v>
      </c>
      <c r="Z404" s="7">
        <f t="shared" si="82"/>
        <v>4.4739218993781371</v>
      </c>
      <c r="AA404" s="7">
        <f t="shared" si="83"/>
        <v>5.4470000000000001</v>
      </c>
      <c r="AB404" s="7">
        <f t="shared" si="84"/>
        <v>31.75</v>
      </c>
      <c r="AC404" s="7">
        <f t="shared" si="85"/>
        <v>29.7</v>
      </c>
      <c r="AD404" s="7">
        <f t="shared" si="86"/>
        <v>36.1</v>
      </c>
      <c r="AE404" s="7">
        <f t="shared" si="87"/>
        <v>3.1732481091670777</v>
      </c>
      <c r="AF404" s="7">
        <f t="shared" si="88"/>
        <v>0.5650297924799671</v>
      </c>
      <c r="AG404" s="7">
        <f t="shared" si="89"/>
        <v>8.4576554787000404</v>
      </c>
    </row>
    <row r="405" spans="1:33" x14ac:dyDescent="0.25">
      <c r="A405" s="4" t="s">
        <v>113</v>
      </c>
      <c r="B405" s="4">
        <v>2023</v>
      </c>
      <c r="C405" s="4" t="s">
        <v>99</v>
      </c>
      <c r="D405" s="5">
        <f t="shared" si="90"/>
        <v>1</v>
      </c>
      <c r="E405" s="4">
        <v>28.6</v>
      </c>
      <c r="F405" s="4">
        <v>36.799999999999997</v>
      </c>
      <c r="G405" s="4">
        <v>15.9</v>
      </c>
      <c r="H405" s="4">
        <v>37.299999999999997</v>
      </c>
      <c r="I405" s="4"/>
      <c r="J405" s="4">
        <v>2105</v>
      </c>
      <c r="K405" s="4">
        <v>185.1</v>
      </c>
      <c r="L405" s="4">
        <v>9.9939999999999998</v>
      </c>
      <c r="M405" s="4">
        <v>45.63</v>
      </c>
      <c r="N405" s="4">
        <v>36.5</v>
      </c>
      <c r="O405" s="4">
        <v>28.3</v>
      </c>
      <c r="P405" s="4">
        <v>130948.6</v>
      </c>
      <c r="Q405" s="6">
        <f t="shared" si="91"/>
        <v>62.208361045130644</v>
      </c>
      <c r="R405" s="4">
        <v>28</v>
      </c>
      <c r="S405" s="4">
        <v>11</v>
      </c>
      <c r="T405" s="6">
        <f t="shared" si="92"/>
        <v>1.8527315914489311</v>
      </c>
      <c r="U405" s="4">
        <v>13707.3</v>
      </c>
      <c r="V405" s="7">
        <f t="shared" si="93"/>
        <v>3.3534067178258069</v>
      </c>
      <c r="W405" s="7">
        <f t="shared" si="94"/>
        <v>5.2208962195794522</v>
      </c>
      <c r="X405" s="7">
        <f t="shared" si="95"/>
        <v>4.1304894126587515</v>
      </c>
      <c r="Y405" s="7">
        <f t="shared" si="96"/>
        <v>9.5257567677856638</v>
      </c>
      <c r="Z405" s="7">
        <f t="shared" si="82"/>
        <v>5.1451661870538619</v>
      </c>
      <c r="AA405" s="7">
        <f t="shared" si="83"/>
        <v>9.9280000000000008</v>
      </c>
      <c r="AB405" s="7">
        <f t="shared" si="84"/>
        <v>45.58</v>
      </c>
      <c r="AC405" s="7">
        <f t="shared" si="85"/>
        <v>36.5</v>
      </c>
      <c r="AD405" s="7">
        <f t="shared" si="86"/>
        <v>32.9</v>
      </c>
      <c r="AE405" s="7">
        <f t="shared" si="87"/>
        <v>4.0692829679328932</v>
      </c>
      <c r="AF405" s="7">
        <f t="shared" si="88"/>
        <v>1.7241379310344827</v>
      </c>
      <c r="AG405" s="7">
        <f t="shared" si="89"/>
        <v>9.4025297479684866</v>
      </c>
    </row>
    <row r="406" spans="1:33" x14ac:dyDescent="0.25">
      <c r="A406" s="4" t="s">
        <v>114</v>
      </c>
      <c r="B406" s="4">
        <v>2023</v>
      </c>
      <c r="C406" s="4" t="s">
        <v>86</v>
      </c>
      <c r="D406" s="5">
        <f t="shared" si="90"/>
        <v>0</v>
      </c>
      <c r="E406" s="4">
        <v>11.8</v>
      </c>
      <c r="F406" s="4">
        <v>12.3</v>
      </c>
      <c r="G406" s="4">
        <v>12.3</v>
      </c>
      <c r="H406" s="4">
        <v>11</v>
      </c>
      <c r="I406" s="4"/>
      <c r="J406" s="4">
        <v>728.3</v>
      </c>
      <c r="K406" s="4">
        <v>79.5</v>
      </c>
      <c r="L406" s="4">
        <v>3.7349999999999999</v>
      </c>
      <c r="M406" s="4">
        <v>28.11</v>
      </c>
      <c r="N406" s="4">
        <v>13.7</v>
      </c>
      <c r="O406" s="4">
        <v>14.8</v>
      </c>
      <c r="P406" s="4">
        <v>3134.1</v>
      </c>
      <c r="Q406" s="6">
        <f t="shared" si="91"/>
        <v>4.3033090759302484</v>
      </c>
      <c r="R406" s="4">
        <v>4</v>
      </c>
      <c r="S406" s="4">
        <v>1</v>
      </c>
      <c r="T406" s="6">
        <f t="shared" si="92"/>
        <v>0.68653027598517091</v>
      </c>
      <c r="U406" s="4">
        <v>1062.9000000000001</v>
      </c>
      <c r="V406" s="7">
        <f t="shared" si="93"/>
        <v>2.4680995314716192</v>
      </c>
      <c r="W406" s="7">
        <f t="shared" si="94"/>
        <v>4.3757570216602861</v>
      </c>
      <c r="X406" s="7">
        <f t="shared" si="95"/>
        <v>1.4593842792877025</v>
      </c>
      <c r="Y406" s="7">
        <f t="shared" si="96"/>
        <v>6.9696966805223202</v>
      </c>
      <c r="Z406" s="7">
        <f t="shared" si="82"/>
        <v>4.2150861799182291</v>
      </c>
      <c r="AA406" s="7">
        <f t="shared" si="83"/>
        <v>3.4710000000000001</v>
      </c>
      <c r="AB406" s="7">
        <f t="shared" si="84"/>
        <v>28.1</v>
      </c>
      <c r="AC406" s="7">
        <f t="shared" si="85"/>
        <v>12.5</v>
      </c>
      <c r="AD406" s="7">
        <f t="shared" si="86"/>
        <v>18.100000000000001</v>
      </c>
      <c r="AE406" s="7">
        <f t="shared" si="87"/>
        <v>1.1417181707316584</v>
      </c>
      <c r="AF406" s="7">
        <f t="shared" si="88"/>
        <v>0.68540095956134339</v>
      </c>
      <c r="AG406" s="7">
        <f t="shared" si="89"/>
        <v>6.8474743480972071</v>
      </c>
    </row>
    <row r="407" spans="1:33" x14ac:dyDescent="0.25">
      <c r="A407" s="4" t="s">
        <v>115</v>
      </c>
      <c r="B407" s="4">
        <v>2023</v>
      </c>
      <c r="C407" s="4" t="s">
        <v>92</v>
      </c>
      <c r="D407" s="5">
        <f t="shared" si="90"/>
        <v>0</v>
      </c>
      <c r="E407" s="4">
        <v>23.3</v>
      </c>
      <c r="F407" s="4">
        <v>31.7</v>
      </c>
      <c r="G407" s="4">
        <v>11.4</v>
      </c>
      <c r="H407" s="4">
        <v>31</v>
      </c>
      <c r="I407" s="4"/>
      <c r="J407" s="4">
        <v>1260.5999999999999</v>
      </c>
      <c r="K407" s="4">
        <v>88.5</v>
      </c>
      <c r="L407" s="4">
        <v>9.0820000000000007</v>
      </c>
      <c r="M407" s="4">
        <v>42.39</v>
      </c>
      <c r="N407" s="4">
        <v>25.3</v>
      </c>
      <c r="O407" s="4">
        <v>31.1</v>
      </c>
      <c r="P407" s="4">
        <v>27915.4</v>
      </c>
      <c r="Q407" s="6">
        <f t="shared" si="91"/>
        <v>22.144534348722832</v>
      </c>
      <c r="R407" s="4">
        <v>12</v>
      </c>
      <c r="S407" s="4">
        <v>11</v>
      </c>
      <c r="T407" s="6">
        <f t="shared" si="92"/>
        <v>1.8245280025384738</v>
      </c>
      <c r="U407" s="4">
        <v>3498.4</v>
      </c>
      <c r="V407" s="7">
        <f t="shared" si="93"/>
        <v>3.1484533605716547</v>
      </c>
      <c r="W407" s="7">
        <f t="shared" si="94"/>
        <v>4.4830025520138834</v>
      </c>
      <c r="X407" s="7">
        <f t="shared" si="95"/>
        <v>3.0975907097764734</v>
      </c>
      <c r="Y407" s="7">
        <f t="shared" si="96"/>
        <v>8.1603468042105192</v>
      </c>
      <c r="Z407" s="7">
        <f t="shared" si="82"/>
        <v>4.3463994570307305</v>
      </c>
      <c r="AA407" s="7">
        <f t="shared" si="83"/>
        <v>8.93</v>
      </c>
      <c r="AB407" s="7">
        <f t="shared" si="84"/>
        <v>42.36</v>
      </c>
      <c r="AC407" s="7">
        <f t="shared" si="85"/>
        <v>25.3</v>
      </c>
      <c r="AD407" s="7">
        <f t="shared" si="86"/>
        <v>32.200000000000003</v>
      </c>
      <c r="AE407" s="7">
        <f t="shared" si="87"/>
        <v>2.9604727634774077</v>
      </c>
      <c r="AF407" s="7">
        <f t="shared" si="88"/>
        <v>1.9936204146730463</v>
      </c>
      <c r="AG407" s="7">
        <f t="shared" si="89"/>
        <v>8.1622025425416034</v>
      </c>
    </row>
    <row r="408" spans="1:33" x14ac:dyDescent="0.25">
      <c r="A408" s="4" t="s">
        <v>116</v>
      </c>
      <c r="B408" s="4">
        <v>2023</v>
      </c>
      <c r="C408" s="4" t="s">
        <v>86</v>
      </c>
      <c r="D408" s="5">
        <f t="shared" si="90"/>
        <v>0</v>
      </c>
      <c r="E408" s="4">
        <v>13.2</v>
      </c>
      <c r="F408" s="4">
        <v>13.8</v>
      </c>
      <c r="G408" s="4">
        <v>14</v>
      </c>
      <c r="H408" s="4">
        <v>12.1</v>
      </c>
      <c r="I408" s="4"/>
      <c r="J408" s="4">
        <v>1755.3</v>
      </c>
      <c r="K408" s="4">
        <v>72.5</v>
      </c>
      <c r="L408" s="4">
        <v>5.0250000000000004</v>
      </c>
      <c r="M408" s="4">
        <v>30.12</v>
      </c>
      <c r="N408" s="4">
        <v>16.8</v>
      </c>
      <c r="O408" s="4">
        <v>16.3</v>
      </c>
      <c r="P408" s="4">
        <v>3128.5</v>
      </c>
      <c r="Q408" s="6">
        <f t="shared" si="91"/>
        <v>1.7823164131487494</v>
      </c>
      <c r="R408" s="4">
        <v>95</v>
      </c>
      <c r="S408" s="4">
        <v>1</v>
      </c>
      <c r="T408" s="6">
        <f t="shared" si="92"/>
        <v>5.4691505725517011</v>
      </c>
      <c r="U408" s="4">
        <v>2740.7</v>
      </c>
      <c r="V408" s="7">
        <f t="shared" si="93"/>
        <v>2.5802168295923251</v>
      </c>
      <c r="W408" s="7">
        <f t="shared" si="94"/>
        <v>4.2835865618606288</v>
      </c>
      <c r="X408" s="7">
        <f t="shared" si="95"/>
        <v>0.57791387397611804</v>
      </c>
      <c r="Y408" s="7">
        <f t="shared" si="96"/>
        <v>7.9163334449462655</v>
      </c>
      <c r="Z408" s="7">
        <f t="shared" si="82"/>
        <v>4.1956970564823886</v>
      </c>
      <c r="AA408" s="7">
        <f t="shared" si="83"/>
        <v>4.93</v>
      </c>
      <c r="AB408" s="7">
        <f t="shared" si="84"/>
        <v>29.84</v>
      </c>
      <c r="AC408" s="7">
        <f t="shared" si="85"/>
        <v>16</v>
      </c>
      <c r="AD408" s="7">
        <f t="shared" si="86"/>
        <v>16.2</v>
      </c>
      <c r="AE408" s="7">
        <f t="shared" si="87"/>
        <v>0.47072405696842362</v>
      </c>
      <c r="AF408" s="7">
        <f t="shared" si="88"/>
        <v>5.4800776344331545</v>
      </c>
      <c r="AG408" s="7">
        <f t="shared" si="89"/>
        <v>7.9181918767465218</v>
      </c>
    </row>
    <row r="409" spans="1:33" x14ac:dyDescent="0.25">
      <c r="A409" s="4" t="s">
        <v>117</v>
      </c>
      <c r="B409" s="4">
        <v>2023</v>
      </c>
      <c r="C409" s="4" t="s">
        <v>105</v>
      </c>
      <c r="D409" s="5">
        <f t="shared" si="90"/>
        <v>0</v>
      </c>
      <c r="E409" s="4">
        <v>10.199999999999999</v>
      </c>
      <c r="F409" s="4">
        <v>11.2</v>
      </c>
      <c r="G409" s="4">
        <v>7.5</v>
      </c>
      <c r="H409" s="4">
        <v>11.3</v>
      </c>
      <c r="I409" s="4"/>
      <c r="J409" s="4">
        <v>591.29999999999995</v>
      </c>
      <c r="K409" s="4">
        <v>59</v>
      </c>
      <c r="L409" s="4">
        <v>3.6360000000000001</v>
      </c>
      <c r="M409" s="4">
        <v>32.44</v>
      </c>
      <c r="N409" s="4">
        <v>17.8</v>
      </c>
      <c r="O409" s="4">
        <v>23.1</v>
      </c>
      <c r="P409" s="4">
        <v>8499.6</v>
      </c>
      <c r="Q409" s="6">
        <f t="shared" si="91"/>
        <v>14.374429223744293</v>
      </c>
      <c r="R409" s="4">
        <v>4</v>
      </c>
      <c r="S409" s="4">
        <v>1</v>
      </c>
      <c r="T409" s="6">
        <f t="shared" si="92"/>
        <v>0.84559445290038915</v>
      </c>
      <c r="U409" s="4">
        <v>411.6</v>
      </c>
      <c r="V409" s="7">
        <f t="shared" si="93"/>
        <v>2.3223877202902252</v>
      </c>
      <c r="W409" s="7">
        <f t="shared" si="94"/>
        <v>4.0775374439057197</v>
      </c>
      <c r="X409" s="7">
        <f t="shared" si="95"/>
        <v>2.665450879720793</v>
      </c>
      <c r="Y409" s="7">
        <f t="shared" si="96"/>
        <v>6.0224786006371511</v>
      </c>
      <c r="Z409" s="7">
        <f t="shared" si="82"/>
        <v>3.9740583963475986</v>
      </c>
      <c r="AA409" s="7">
        <f t="shared" si="83"/>
        <v>3.5369999999999999</v>
      </c>
      <c r="AB409" s="7">
        <f t="shared" si="84"/>
        <v>32.51</v>
      </c>
      <c r="AC409" s="7">
        <f t="shared" si="85"/>
        <v>17.600000000000001</v>
      </c>
      <c r="AD409" s="7">
        <f t="shared" si="86"/>
        <v>27</v>
      </c>
      <c r="AE409" s="7">
        <f t="shared" si="87"/>
        <v>2.6196049476791372</v>
      </c>
      <c r="AF409" s="7">
        <f t="shared" si="88"/>
        <v>0.86221762372822897</v>
      </c>
      <c r="AG409" s="7">
        <f t="shared" si="89"/>
        <v>6.0502050421305817</v>
      </c>
    </row>
    <row r="410" spans="1:33" x14ac:dyDescent="0.25">
      <c r="A410" s="4" t="s">
        <v>118</v>
      </c>
      <c r="B410" s="4">
        <v>2023</v>
      </c>
      <c r="C410" s="4" t="s">
        <v>96</v>
      </c>
      <c r="D410" s="5">
        <f t="shared" si="90"/>
        <v>0</v>
      </c>
      <c r="E410" s="4"/>
      <c r="F410" s="4"/>
      <c r="G410" s="4"/>
      <c r="H410" s="4"/>
      <c r="I410" s="4"/>
      <c r="J410" s="4">
        <v>489.3</v>
      </c>
      <c r="K410" s="4">
        <v>50.8</v>
      </c>
      <c r="L410" s="4">
        <v>2.5569999999999999</v>
      </c>
      <c r="M410" s="4">
        <v>17.68</v>
      </c>
      <c r="N410" s="4">
        <v>23.8</v>
      </c>
      <c r="O410" s="4">
        <v>17</v>
      </c>
      <c r="P410" s="4">
        <v>2255.4</v>
      </c>
      <c r="Q410" s="6">
        <f t="shared" si="91"/>
        <v>4.6094420600858372</v>
      </c>
      <c r="R410" s="4">
        <v>4</v>
      </c>
      <c r="S410" s="4">
        <v>2</v>
      </c>
      <c r="T410" s="6">
        <f t="shared" si="92"/>
        <v>1.226241569589209</v>
      </c>
      <c r="U410" s="4">
        <v>3.1</v>
      </c>
      <c r="V410" s="7" t="str">
        <f t="shared" si="93"/>
        <v/>
      </c>
      <c r="W410" s="7">
        <f t="shared" si="94"/>
        <v>3.9278963545844361</v>
      </c>
      <c r="X410" s="7">
        <f t="shared" si="95"/>
        <v>1.5281068215031095</v>
      </c>
      <c r="Y410" s="7">
        <f t="shared" si="96"/>
        <v>1.410986973710262</v>
      </c>
      <c r="Z410" s="7">
        <f t="shared" si="82"/>
        <v>3.903990833730882</v>
      </c>
      <c r="AA410" s="7">
        <f t="shared" si="83"/>
        <v>2.5139999999999998</v>
      </c>
      <c r="AB410" s="7">
        <f t="shared" si="84"/>
        <v>17.690000000000001</v>
      </c>
      <c r="AC410" s="7">
        <f t="shared" si="85"/>
        <v>23.8</v>
      </c>
      <c r="AD410" s="7">
        <f t="shared" si="86"/>
        <v>15.8</v>
      </c>
      <c r="AE410" s="7">
        <f t="shared" si="87"/>
        <v>1.4493928290769269</v>
      </c>
      <c r="AF410" s="7">
        <f t="shared" si="88"/>
        <v>1.2445550715619167</v>
      </c>
      <c r="AG410" s="7">
        <f t="shared" si="89"/>
        <v>1.410986973710262</v>
      </c>
    </row>
    <row r="411" spans="1:33" x14ac:dyDescent="0.25">
      <c r="A411" s="4" t="s">
        <v>119</v>
      </c>
      <c r="B411" s="4">
        <v>2023</v>
      </c>
      <c r="C411" s="4" t="s">
        <v>86</v>
      </c>
      <c r="D411" s="5">
        <f t="shared" si="90"/>
        <v>0</v>
      </c>
      <c r="E411" s="4">
        <v>17.600000000000001</v>
      </c>
      <c r="F411" s="4">
        <v>23.9</v>
      </c>
      <c r="G411" s="4">
        <v>11</v>
      </c>
      <c r="H411" s="4">
        <v>21.1</v>
      </c>
      <c r="I411" s="4"/>
      <c r="J411" s="4">
        <v>1743.4</v>
      </c>
      <c r="K411" s="4">
        <v>93.6</v>
      </c>
      <c r="L411" s="4">
        <v>7.0049999999999999</v>
      </c>
      <c r="M411" s="4">
        <v>18.399999999999999</v>
      </c>
      <c r="N411" s="4">
        <v>15.9</v>
      </c>
      <c r="O411" s="4">
        <v>21.6</v>
      </c>
      <c r="P411" s="4">
        <v>8059.5</v>
      </c>
      <c r="Q411" s="6">
        <f t="shared" si="91"/>
        <v>4.6228633704256046</v>
      </c>
      <c r="R411" s="4">
        <v>7</v>
      </c>
      <c r="S411" s="4">
        <v>1</v>
      </c>
      <c r="T411" s="6">
        <f t="shared" si="92"/>
        <v>0.45887346564184922</v>
      </c>
      <c r="U411" s="4">
        <v>7790.5</v>
      </c>
      <c r="V411" s="7">
        <f t="shared" si="93"/>
        <v>2.8678989020441064</v>
      </c>
      <c r="W411" s="7">
        <f t="shared" si="94"/>
        <v>4.5390303834835466</v>
      </c>
      <c r="X411" s="7">
        <f t="shared" si="95"/>
        <v>1.5310142902595101</v>
      </c>
      <c r="Y411" s="7">
        <f t="shared" si="96"/>
        <v>8.96078867488567</v>
      </c>
      <c r="Z411" s="7">
        <f t="shared" si="82"/>
        <v>4.5031374604229395</v>
      </c>
      <c r="AA411" s="7">
        <f t="shared" si="83"/>
        <v>6.6269999999999998</v>
      </c>
      <c r="AB411" s="7">
        <f t="shared" si="84"/>
        <v>18.37</v>
      </c>
      <c r="AC411" s="7">
        <f t="shared" si="85"/>
        <v>15.1</v>
      </c>
      <c r="AD411" s="7">
        <f t="shared" si="86"/>
        <v>23.4</v>
      </c>
      <c r="AE411" s="7">
        <f t="shared" si="87"/>
        <v>1.3168967570367087</v>
      </c>
      <c r="AF411" s="7">
        <f t="shared" si="88"/>
        <v>0.46128120855676641</v>
      </c>
      <c r="AG411" s="7">
        <f t="shared" si="89"/>
        <v>8.9159558884647261</v>
      </c>
    </row>
    <row r="412" spans="1:33" x14ac:dyDescent="0.25">
      <c r="A412" s="4" t="s">
        <v>120</v>
      </c>
      <c r="B412" s="4">
        <v>2023</v>
      </c>
      <c r="C412" s="4" t="s">
        <v>96</v>
      </c>
      <c r="D412" s="5">
        <f t="shared" si="90"/>
        <v>0</v>
      </c>
      <c r="E412" s="4">
        <v>18</v>
      </c>
      <c r="F412" s="4">
        <v>22.1</v>
      </c>
      <c r="G412" s="4">
        <v>13.9</v>
      </c>
      <c r="H412" s="4">
        <v>20</v>
      </c>
      <c r="I412" s="4"/>
      <c r="J412" s="4">
        <v>779.9</v>
      </c>
      <c r="K412" s="4">
        <v>85.3</v>
      </c>
      <c r="L412" s="4">
        <v>4.6020000000000003</v>
      </c>
      <c r="M412" s="4">
        <v>27.05</v>
      </c>
      <c r="N412" s="4">
        <v>22.8</v>
      </c>
      <c r="O412" s="4">
        <v>14.7</v>
      </c>
      <c r="P412" s="4">
        <v>7818.7</v>
      </c>
      <c r="Q412" s="6">
        <f t="shared" si="91"/>
        <v>10.025259648672908</v>
      </c>
      <c r="R412" s="4">
        <v>7</v>
      </c>
      <c r="S412" s="4">
        <v>2</v>
      </c>
      <c r="T412" s="6">
        <f t="shared" si="92"/>
        <v>1.1539941018079241</v>
      </c>
      <c r="U412" s="4">
        <v>840.9</v>
      </c>
      <c r="V412" s="7">
        <f t="shared" si="93"/>
        <v>2.8903717578961645</v>
      </c>
      <c r="W412" s="7">
        <f t="shared" si="94"/>
        <v>4.4461744544976334</v>
      </c>
      <c r="X412" s="7">
        <f t="shared" si="95"/>
        <v>2.3051078729742289</v>
      </c>
      <c r="Y412" s="7">
        <f t="shared" si="96"/>
        <v>6.7356612423436184</v>
      </c>
      <c r="Z412" s="7">
        <f t="shared" si="82"/>
        <v>4.423648309364701</v>
      </c>
      <c r="AA412" s="7">
        <f t="shared" si="83"/>
        <v>4.1920000000000002</v>
      </c>
      <c r="AB412" s="7">
        <f t="shared" si="84"/>
        <v>26.8</v>
      </c>
      <c r="AC412" s="7">
        <f t="shared" si="85"/>
        <v>22.7</v>
      </c>
      <c r="AD412" s="7">
        <f t="shared" si="86"/>
        <v>17.899999999999999</v>
      </c>
      <c r="AE412" s="7">
        <f t="shared" si="87"/>
        <v>2.2227910783318956</v>
      </c>
      <c r="AF412" s="7">
        <f t="shared" si="88"/>
        <v>1.5572281339216196</v>
      </c>
      <c r="AG412" s="7">
        <f t="shared" si="89"/>
        <v>6.6293632534374485</v>
      </c>
    </row>
    <row r="413" spans="1:33" x14ac:dyDescent="0.25">
      <c r="A413" s="4" t="s">
        <v>121</v>
      </c>
      <c r="B413" s="4">
        <v>2023</v>
      </c>
      <c r="C413" s="4" t="s">
        <v>105</v>
      </c>
      <c r="D413" s="5">
        <f t="shared" si="90"/>
        <v>0</v>
      </c>
      <c r="E413" s="4">
        <v>19.8</v>
      </c>
      <c r="F413" s="4">
        <v>25.4</v>
      </c>
      <c r="G413" s="4">
        <v>10.3</v>
      </c>
      <c r="H413" s="4">
        <v>26.6</v>
      </c>
      <c r="I413" s="4"/>
      <c r="J413" s="4">
        <v>1345</v>
      </c>
      <c r="K413" s="4">
        <v>85</v>
      </c>
      <c r="L413" s="4">
        <v>6.1319999999999997</v>
      </c>
      <c r="M413" s="4">
        <v>39.380000000000003</v>
      </c>
      <c r="N413" s="4">
        <v>22.7</v>
      </c>
      <c r="O413" s="4">
        <v>33.200000000000003</v>
      </c>
      <c r="P413" s="4">
        <v>28639.4</v>
      </c>
      <c r="Q413" s="6">
        <f t="shared" si="91"/>
        <v>21.293234200743495</v>
      </c>
      <c r="R413" s="4">
        <v>5</v>
      </c>
      <c r="S413" s="4">
        <v>3</v>
      </c>
      <c r="T413" s="6">
        <f t="shared" si="92"/>
        <v>0.59479553903345728</v>
      </c>
      <c r="U413" s="4">
        <v>414.2</v>
      </c>
      <c r="V413" s="7">
        <f t="shared" si="93"/>
        <v>2.9856819377004897</v>
      </c>
      <c r="W413" s="7">
        <f t="shared" si="94"/>
        <v>4.4426512564903167</v>
      </c>
      <c r="X413" s="7">
        <f t="shared" si="95"/>
        <v>3.0583893790985237</v>
      </c>
      <c r="Y413" s="7">
        <f t="shared" si="96"/>
        <v>6.0287603318516787</v>
      </c>
      <c r="Z413" s="7">
        <f t="shared" si="82"/>
        <v>4.3502779363593014</v>
      </c>
      <c r="AA413" s="7">
        <f t="shared" si="83"/>
        <v>5.7679999999999998</v>
      </c>
      <c r="AB413" s="7">
        <f t="shared" si="84"/>
        <v>39.29</v>
      </c>
      <c r="AC413" s="7">
        <f t="shared" si="85"/>
        <v>21.8</v>
      </c>
      <c r="AD413" s="7">
        <f t="shared" si="86"/>
        <v>35.4</v>
      </c>
      <c r="AE413" s="7">
        <f t="shared" si="87"/>
        <v>2.8758452436893234</v>
      </c>
      <c r="AF413" s="7">
        <f t="shared" si="88"/>
        <v>0.60037523452157604</v>
      </c>
      <c r="AG413" s="7">
        <f t="shared" si="89"/>
        <v>5.9584246930297819</v>
      </c>
    </row>
    <row r="414" spans="1:33" x14ac:dyDescent="0.25">
      <c r="A414" s="4" t="s">
        <v>122</v>
      </c>
      <c r="B414" s="4">
        <v>2023</v>
      </c>
      <c r="C414" s="4" t="s">
        <v>96</v>
      </c>
      <c r="D414" s="5">
        <f t="shared" si="90"/>
        <v>0</v>
      </c>
      <c r="E414" s="4">
        <v>11.9</v>
      </c>
      <c r="F414" s="4">
        <v>11.5</v>
      </c>
      <c r="G414" s="4">
        <v>9.1</v>
      </c>
      <c r="H414" s="4">
        <v>14.9</v>
      </c>
      <c r="I414" s="4"/>
      <c r="J414" s="4">
        <v>807.3</v>
      </c>
      <c r="K414" s="4">
        <v>57.8</v>
      </c>
      <c r="L414" s="4">
        <v>3.3919999999999999</v>
      </c>
      <c r="M414" s="4">
        <v>23.18</v>
      </c>
      <c r="N414" s="4">
        <v>27.6</v>
      </c>
      <c r="O414" s="4">
        <v>15.7</v>
      </c>
      <c r="P414" s="4">
        <v>6814.8</v>
      </c>
      <c r="Q414" s="6">
        <f t="shared" si="91"/>
        <v>8.4414715719063551</v>
      </c>
      <c r="R414" s="4">
        <v>5</v>
      </c>
      <c r="S414" s="4">
        <v>3</v>
      </c>
      <c r="T414" s="6">
        <f t="shared" si="92"/>
        <v>0.99095751269664323</v>
      </c>
      <c r="U414" s="4">
        <v>637.9</v>
      </c>
      <c r="V414" s="7">
        <f t="shared" si="93"/>
        <v>2.4765384001174837</v>
      </c>
      <c r="W414" s="7">
        <f t="shared" si="94"/>
        <v>4.0569887756783318</v>
      </c>
      <c r="X414" s="7">
        <f t="shared" si="95"/>
        <v>2.1331566502704176</v>
      </c>
      <c r="Y414" s="7">
        <f t="shared" si="96"/>
        <v>6.4597479476082977</v>
      </c>
      <c r="Z414" s="7">
        <f t="shared" si="82"/>
        <v>3.9318256327243257</v>
      </c>
      <c r="AA414" s="7">
        <f t="shared" si="83"/>
        <v>2.9260000000000002</v>
      </c>
      <c r="AB414" s="7">
        <f t="shared" si="84"/>
        <v>23.18</v>
      </c>
      <c r="AC414" s="7">
        <f t="shared" si="85"/>
        <v>28.5</v>
      </c>
      <c r="AD414" s="7">
        <f t="shared" si="86"/>
        <v>12.6</v>
      </c>
      <c r="AE414" s="7">
        <f t="shared" si="87"/>
        <v>2.0304323970467162</v>
      </c>
      <c r="AF414" s="7">
        <f t="shared" si="88"/>
        <v>0.99738187258446576</v>
      </c>
      <c r="AG414" s="7">
        <f t="shared" si="89"/>
        <v>5.7061130899944832</v>
      </c>
    </row>
    <row r="415" spans="1:33" x14ac:dyDescent="0.25">
      <c r="A415" s="4" t="s">
        <v>123</v>
      </c>
      <c r="B415" s="4">
        <v>2023</v>
      </c>
      <c r="C415" s="4" t="s">
        <v>99</v>
      </c>
      <c r="D415" s="5">
        <f t="shared" si="90"/>
        <v>1</v>
      </c>
      <c r="E415" s="4">
        <v>19.2</v>
      </c>
      <c r="F415" s="4">
        <v>26.3</v>
      </c>
      <c r="G415" s="4">
        <v>15.7</v>
      </c>
      <c r="H415" s="4">
        <v>19.100000000000001</v>
      </c>
      <c r="I415" s="4"/>
      <c r="J415" s="4">
        <v>1887.1</v>
      </c>
      <c r="K415" s="4">
        <v>51.6</v>
      </c>
      <c r="L415" s="4">
        <v>3.7719999999999998</v>
      </c>
      <c r="M415" s="4">
        <v>20.420000000000002</v>
      </c>
      <c r="N415" s="4">
        <v>21.7</v>
      </c>
      <c r="O415" s="4">
        <v>20.5</v>
      </c>
      <c r="P415" s="4">
        <v>17783.5</v>
      </c>
      <c r="Q415" s="6">
        <f t="shared" si="91"/>
        <v>9.4237189338137881</v>
      </c>
      <c r="R415" s="4">
        <v>21</v>
      </c>
      <c r="S415" s="4">
        <v>0</v>
      </c>
      <c r="T415" s="6">
        <f t="shared" si="92"/>
        <v>1.1128186105664777</v>
      </c>
      <c r="U415" s="4">
        <v>2151.1</v>
      </c>
      <c r="V415" s="7">
        <f t="shared" si="93"/>
        <v>2.954910279033736</v>
      </c>
      <c r="W415" s="7">
        <f t="shared" si="94"/>
        <v>3.9435216724875173</v>
      </c>
      <c r="X415" s="7">
        <f t="shared" si="95"/>
        <v>2.2432298019540498</v>
      </c>
      <c r="Y415" s="7">
        <f t="shared" si="96"/>
        <v>7.6741993886035393</v>
      </c>
      <c r="Z415" s="7">
        <f t="shared" si="82"/>
        <v>3.8565102954978872</v>
      </c>
      <c r="AA415" s="7">
        <f t="shared" si="83"/>
        <v>3.649</v>
      </c>
      <c r="AB415" s="7">
        <f t="shared" si="84"/>
        <v>20.27</v>
      </c>
      <c r="AC415" s="7">
        <f t="shared" si="85"/>
        <v>21.5</v>
      </c>
      <c r="AD415" s="7">
        <f t="shared" si="86"/>
        <v>17.3</v>
      </c>
      <c r="AE415" s="7">
        <f t="shared" si="87"/>
        <v>2.1293562822706686</v>
      </c>
      <c r="AF415" s="7">
        <f t="shared" si="88"/>
        <v>1.2787042463636848</v>
      </c>
      <c r="AG415" s="7">
        <f t="shared" si="89"/>
        <v>7.59231569860476</v>
      </c>
    </row>
    <row r="416" spans="1:33" x14ac:dyDescent="0.25">
      <c r="A416" s="4" t="s">
        <v>124</v>
      </c>
      <c r="B416" s="4">
        <v>2023</v>
      </c>
      <c r="C416" s="4" t="s">
        <v>92</v>
      </c>
      <c r="D416" s="5">
        <f t="shared" si="90"/>
        <v>0</v>
      </c>
      <c r="E416" s="4">
        <v>19.600000000000001</v>
      </c>
      <c r="F416" s="4">
        <v>19.100000000000001</v>
      </c>
      <c r="G416" s="4">
        <v>11.3</v>
      </c>
      <c r="H416" s="4">
        <v>28.3</v>
      </c>
      <c r="I416" s="4"/>
      <c r="J416" s="4">
        <v>3442</v>
      </c>
      <c r="K416" s="4">
        <v>54.9</v>
      </c>
      <c r="L416" s="4">
        <v>3.9649999999999999</v>
      </c>
      <c r="M416" s="4">
        <v>15.69</v>
      </c>
      <c r="N416" s="4">
        <v>25.7</v>
      </c>
      <c r="O416" s="4">
        <v>18.100000000000001</v>
      </c>
      <c r="P416" s="4">
        <v>161946.5</v>
      </c>
      <c r="Q416" s="6">
        <f t="shared" si="91"/>
        <v>47.050116211504942</v>
      </c>
      <c r="R416" s="4">
        <v>75</v>
      </c>
      <c r="S416" s="4">
        <v>27</v>
      </c>
      <c r="T416" s="6">
        <f t="shared" si="92"/>
        <v>2.9633933759442184</v>
      </c>
      <c r="U416" s="4">
        <v>1221.5999999999999</v>
      </c>
      <c r="V416" s="7">
        <f t="shared" si="93"/>
        <v>2.9755295662364718</v>
      </c>
      <c r="W416" s="7">
        <f t="shared" si="94"/>
        <v>4.0055133485154846</v>
      </c>
      <c r="X416" s="7">
        <f t="shared" si="95"/>
        <v>3.8512133359859355</v>
      </c>
      <c r="Y416" s="7">
        <f t="shared" si="96"/>
        <v>7.1087350175946247</v>
      </c>
      <c r="Z416" s="7">
        <f t="shared" si="82"/>
        <v>3.9357395320454622</v>
      </c>
      <c r="AA416" s="7">
        <f t="shared" si="83"/>
        <v>3.8460000000000001</v>
      </c>
      <c r="AB416" s="7">
        <f t="shared" si="84"/>
        <v>15.51</v>
      </c>
      <c r="AC416" s="7">
        <f t="shared" si="85"/>
        <v>25.3</v>
      </c>
      <c r="AD416" s="7">
        <f t="shared" si="86"/>
        <v>16.899999999999999</v>
      </c>
      <c r="AE416" s="7">
        <f t="shared" si="87"/>
        <v>3.77716274361469</v>
      </c>
      <c r="AF416" s="7">
        <f t="shared" si="88"/>
        <v>3.1578947368421053</v>
      </c>
      <c r="AG416" s="7">
        <f t="shared" si="89"/>
        <v>6.6243307967829974</v>
      </c>
    </row>
    <row r="417" spans="1:33" x14ac:dyDescent="0.25">
      <c r="A417" s="4" t="s">
        <v>125</v>
      </c>
      <c r="B417" s="4">
        <v>2023</v>
      </c>
      <c r="C417" s="4" t="s">
        <v>99</v>
      </c>
      <c r="D417" s="5">
        <f t="shared" si="90"/>
        <v>1</v>
      </c>
      <c r="E417" s="4">
        <v>18</v>
      </c>
      <c r="F417" s="4">
        <v>21.2</v>
      </c>
      <c r="G417" s="4">
        <v>11.9</v>
      </c>
      <c r="H417" s="4">
        <v>22.4</v>
      </c>
      <c r="I417" s="4"/>
      <c r="J417" s="4">
        <v>1017.1</v>
      </c>
      <c r="K417" s="4">
        <v>83.2</v>
      </c>
      <c r="L417" s="4">
        <v>5.4859999999999998</v>
      </c>
      <c r="M417" s="4">
        <v>21.69</v>
      </c>
      <c r="N417" s="4">
        <v>33.6</v>
      </c>
      <c r="O417" s="4">
        <v>24.5</v>
      </c>
      <c r="P417" s="4">
        <v>52150.7</v>
      </c>
      <c r="Q417" s="6">
        <f t="shared" si="91"/>
        <v>51.273916035788019</v>
      </c>
      <c r="R417" s="4">
        <v>33</v>
      </c>
      <c r="S417" s="4">
        <v>2</v>
      </c>
      <c r="T417" s="6">
        <f t="shared" si="92"/>
        <v>3.4411562284927735</v>
      </c>
      <c r="U417" s="4">
        <v>1721.7</v>
      </c>
      <c r="V417" s="7">
        <f t="shared" si="93"/>
        <v>2.8903717578961645</v>
      </c>
      <c r="W417" s="7">
        <f t="shared" si="94"/>
        <v>4.4212473478271628</v>
      </c>
      <c r="X417" s="7">
        <f t="shared" si="95"/>
        <v>3.9371821635260744</v>
      </c>
      <c r="Y417" s="7">
        <f t="shared" si="96"/>
        <v>7.4516481064523239</v>
      </c>
      <c r="Z417" s="7">
        <f t="shared" si="82"/>
        <v>4.3795235044557632</v>
      </c>
      <c r="AA417" s="7">
        <f t="shared" si="83"/>
        <v>5.1070000000000002</v>
      </c>
      <c r="AB417" s="7">
        <f t="shared" si="84"/>
        <v>21.61</v>
      </c>
      <c r="AC417" s="7">
        <f t="shared" si="85"/>
        <v>31.8</v>
      </c>
      <c r="AD417" s="7">
        <f t="shared" si="86"/>
        <v>26.9</v>
      </c>
      <c r="AE417" s="7">
        <f t="shared" si="87"/>
        <v>3.6335609281497008</v>
      </c>
      <c r="AF417" s="7">
        <f t="shared" si="88"/>
        <v>3.4626038781163437</v>
      </c>
      <c r="AG417" s="7">
        <f t="shared" si="89"/>
        <v>7.369411666740044</v>
      </c>
    </row>
    <row r="418" spans="1:33" x14ac:dyDescent="0.25">
      <c r="A418" s="4" t="s">
        <v>126</v>
      </c>
      <c r="B418" s="4">
        <v>2023</v>
      </c>
      <c r="C418" s="4" t="s">
        <v>92</v>
      </c>
      <c r="D418" s="5">
        <f t="shared" si="90"/>
        <v>0</v>
      </c>
      <c r="E418" s="4">
        <v>13.7</v>
      </c>
      <c r="F418" s="4">
        <v>18.7</v>
      </c>
      <c r="G418" s="4">
        <v>9</v>
      </c>
      <c r="H418" s="4">
        <v>15.9</v>
      </c>
      <c r="I418" s="4"/>
      <c r="J418" s="4">
        <v>601.20000000000005</v>
      </c>
      <c r="K418" s="4">
        <v>85.5</v>
      </c>
      <c r="L418" s="4">
        <v>5.16</v>
      </c>
      <c r="M418" s="4">
        <v>35.5</v>
      </c>
      <c r="N418" s="4">
        <v>18.600000000000001</v>
      </c>
      <c r="O418" s="4">
        <v>18.399999999999999</v>
      </c>
      <c r="P418" s="4">
        <v>8540.6</v>
      </c>
      <c r="Q418" s="6">
        <f t="shared" si="91"/>
        <v>14.205921490352628</v>
      </c>
      <c r="R418" s="4">
        <v>5</v>
      </c>
      <c r="S418" s="4">
        <v>1</v>
      </c>
      <c r="T418" s="6">
        <f t="shared" si="92"/>
        <v>0.99800399201596801</v>
      </c>
      <c r="U418" s="4">
        <v>2870.1</v>
      </c>
      <c r="V418" s="7">
        <f t="shared" si="93"/>
        <v>2.6173958328340792</v>
      </c>
      <c r="W418" s="7">
        <f t="shared" si="94"/>
        <v>4.4485163759427149</v>
      </c>
      <c r="X418" s="7">
        <f t="shared" si="95"/>
        <v>2.6536588840470872</v>
      </c>
      <c r="Y418" s="7">
        <f t="shared" si="96"/>
        <v>7.9624505105837899</v>
      </c>
      <c r="Z418" s="7">
        <f t="shared" si="82"/>
        <v>4.3528552573736015</v>
      </c>
      <c r="AA418" s="7">
        <f t="shared" si="83"/>
        <v>4.9790000000000001</v>
      </c>
      <c r="AB418" s="7">
        <f t="shared" si="84"/>
        <v>35.46</v>
      </c>
      <c r="AC418" s="7">
        <f t="shared" si="85"/>
        <v>17.7</v>
      </c>
      <c r="AD418" s="7">
        <f t="shared" si="86"/>
        <v>21.3</v>
      </c>
      <c r="AE418" s="7">
        <f t="shared" si="87"/>
        <v>2.4245795033472342</v>
      </c>
      <c r="AF418" s="7">
        <f t="shared" si="88"/>
        <v>1.0021713713044931</v>
      </c>
      <c r="AG418" s="7">
        <f t="shared" si="89"/>
        <v>7.9721556229800576</v>
      </c>
    </row>
    <row r="419" spans="1:33" x14ac:dyDescent="0.25">
      <c r="A419" s="4" t="s">
        <v>127</v>
      </c>
      <c r="B419" s="4">
        <v>2023</v>
      </c>
      <c r="C419" s="4" t="s">
        <v>96</v>
      </c>
      <c r="D419" s="5">
        <f t="shared" si="90"/>
        <v>0</v>
      </c>
      <c r="E419" s="4">
        <v>17.8</v>
      </c>
      <c r="F419" s="4">
        <v>19.2</v>
      </c>
      <c r="G419" s="4">
        <v>14.1</v>
      </c>
      <c r="H419" s="4">
        <v>20.8</v>
      </c>
      <c r="I419" s="4"/>
      <c r="J419" s="4">
        <v>1530.8</v>
      </c>
      <c r="K419" s="4">
        <v>65.099999999999994</v>
      </c>
      <c r="L419" s="4">
        <v>4.2779999999999996</v>
      </c>
      <c r="M419" s="4">
        <v>19.420000000000002</v>
      </c>
      <c r="N419" s="4">
        <v>34.1</v>
      </c>
      <c r="O419" s="4">
        <v>24.1</v>
      </c>
      <c r="P419" s="4">
        <v>35072.800000000003</v>
      </c>
      <c r="Q419" s="6">
        <f t="shared" si="91"/>
        <v>22.911418865952445</v>
      </c>
      <c r="R419" s="4">
        <v>16</v>
      </c>
      <c r="S419" s="4">
        <v>4</v>
      </c>
      <c r="T419" s="6">
        <f t="shared" si="92"/>
        <v>1.3065064018813692</v>
      </c>
      <c r="U419" s="4">
        <v>2175.6</v>
      </c>
      <c r="V419" s="7">
        <f t="shared" si="93"/>
        <v>2.8791984572980396</v>
      </c>
      <c r="W419" s="7">
        <f t="shared" si="94"/>
        <v>4.1759245492145238</v>
      </c>
      <c r="X419" s="7">
        <f t="shared" si="95"/>
        <v>3.1316354267149693</v>
      </c>
      <c r="Y419" s="7">
        <f t="shared" si="96"/>
        <v>7.6855193052619608</v>
      </c>
      <c r="Z419" s="7">
        <f t="shared" si="82"/>
        <v>4.0876555740713041</v>
      </c>
      <c r="AA419" s="7">
        <f t="shared" si="83"/>
        <v>4.0229999999999997</v>
      </c>
      <c r="AB419" s="7">
        <f t="shared" si="84"/>
        <v>19.350000000000001</v>
      </c>
      <c r="AC419" s="7">
        <f t="shared" si="85"/>
        <v>33.200000000000003</v>
      </c>
      <c r="AD419" s="7">
        <f t="shared" si="86"/>
        <v>23.8</v>
      </c>
      <c r="AE419" s="7">
        <f t="shared" si="87"/>
        <v>3.0242620052652658</v>
      </c>
      <c r="AF419" s="7">
        <f t="shared" si="88"/>
        <v>1.3184784758388819</v>
      </c>
      <c r="AG419" s="7">
        <f t="shared" si="89"/>
        <v>7.6338051792177906</v>
      </c>
    </row>
    <row r="420" spans="1:33" x14ac:dyDescent="0.25">
      <c r="A420" s="4" t="s">
        <v>128</v>
      </c>
      <c r="B420" s="4">
        <v>2023</v>
      </c>
      <c r="C420" s="4" t="s">
        <v>92</v>
      </c>
      <c r="D420" s="5">
        <f t="shared" si="90"/>
        <v>0</v>
      </c>
      <c r="E420" s="4">
        <v>12.7</v>
      </c>
      <c r="F420" s="4">
        <v>16</v>
      </c>
      <c r="G420" s="4">
        <v>9.8000000000000007</v>
      </c>
      <c r="H420" s="4">
        <v>14</v>
      </c>
      <c r="I420" s="4"/>
      <c r="J420" s="4">
        <v>877.7</v>
      </c>
      <c r="K420" s="4">
        <v>63.1</v>
      </c>
      <c r="L420" s="4">
        <v>3.871</v>
      </c>
      <c r="M420" s="4">
        <v>32.71</v>
      </c>
      <c r="N420" s="4">
        <v>23.1</v>
      </c>
      <c r="O420" s="4">
        <v>21</v>
      </c>
      <c r="P420" s="4">
        <v>11545.8</v>
      </c>
      <c r="Q420" s="6">
        <f t="shared" si="91"/>
        <v>13.15460863620827</v>
      </c>
      <c r="R420" s="4">
        <v>3</v>
      </c>
      <c r="S420" s="4">
        <v>1</v>
      </c>
      <c r="T420" s="6">
        <f t="shared" si="92"/>
        <v>0.45573658425430102</v>
      </c>
      <c r="U420" s="4">
        <v>2322.5</v>
      </c>
      <c r="V420" s="7">
        <f t="shared" si="93"/>
        <v>2.5416019934645457</v>
      </c>
      <c r="W420" s="7">
        <f t="shared" si="94"/>
        <v>4.1447207695471677</v>
      </c>
      <c r="X420" s="7">
        <f t="shared" si="95"/>
        <v>2.5767721638564964</v>
      </c>
      <c r="Y420" s="7">
        <f t="shared" si="96"/>
        <v>7.7508299485250332</v>
      </c>
      <c r="Z420" s="7">
        <f t="shared" si="82"/>
        <v>4.0500443033255209</v>
      </c>
      <c r="AA420" s="7">
        <f t="shared" si="83"/>
        <v>3.7690000000000001</v>
      </c>
      <c r="AB420" s="7">
        <f t="shared" si="84"/>
        <v>32.71</v>
      </c>
      <c r="AC420" s="7">
        <f t="shared" si="85"/>
        <v>21.7</v>
      </c>
      <c r="AD420" s="7">
        <f t="shared" si="86"/>
        <v>20.7</v>
      </c>
      <c r="AE420" s="7">
        <f t="shared" si="87"/>
        <v>2.5091280035892085</v>
      </c>
      <c r="AF420" s="7">
        <f t="shared" si="88"/>
        <v>0.45630846452201684</v>
      </c>
      <c r="AG420" s="7">
        <f t="shared" si="89"/>
        <v>7.7502702911929058</v>
      </c>
    </row>
    <row r="421" spans="1:33" x14ac:dyDescent="0.25">
      <c r="A421" s="4" t="s">
        <v>129</v>
      </c>
      <c r="B421" s="4">
        <v>2023</v>
      </c>
      <c r="C421" s="4" t="s">
        <v>92</v>
      </c>
      <c r="D421" s="5">
        <f t="shared" si="90"/>
        <v>0</v>
      </c>
      <c r="E421" s="4">
        <v>12.8</v>
      </c>
      <c r="F421" s="4">
        <v>16.2</v>
      </c>
      <c r="G421" s="4">
        <v>9.3000000000000007</v>
      </c>
      <c r="H421" s="4">
        <v>14.6</v>
      </c>
      <c r="I421" s="4"/>
      <c r="J421" s="4">
        <v>918.7</v>
      </c>
      <c r="K421" s="4">
        <v>59.3</v>
      </c>
      <c r="L421" s="4">
        <v>5.6340000000000003</v>
      </c>
      <c r="M421" s="4">
        <v>23.39</v>
      </c>
      <c r="N421" s="4">
        <v>27.7</v>
      </c>
      <c r="O421" s="4">
        <v>20.5</v>
      </c>
      <c r="P421" s="4">
        <v>29941.599999999999</v>
      </c>
      <c r="Q421" s="6">
        <f t="shared" si="91"/>
        <v>32.591270273212146</v>
      </c>
      <c r="R421" s="4">
        <v>7</v>
      </c>
      <c r="S421" s="4">
        <v>1</v>
      </c>
      <c r="T421" s="6">
        <f t="shared" si="92"/>
        <v>0.87079568956133657</v>
      </c>
      <c r="U421" s="4">
        <v>1215.0999999999999</v>
      </c>
      <c r="V421" s="7">
        <f t="shared" si="93"/>
        <v>2.5494451709255714</v>
      </c>
      <c r="W421" s="7">
        <f t="shared" si="94"/>
        <v>4.0826093060036799</v>
      </c>
      <c r="X421" s="7">
        <f t="shared" si="95"/>
        <v>3.484044469482082</v>
      </c>
      <c r="Y421" s="7">
        <f t="shared" si="96"/>
        <v>7.1034042959869534</v>
      </c>
      <c r="Z421" s="7">
        <f t="shared" si="82"/>
        <v>3.9945242269398897</v>
      </c>
      <c r="AA421" s="7">
        <f t="shared" si="83"/>
        <v>5.5030000000000001</v>
      </c>
      <c r="AB421" s="7">
        <f t="shared" si="84"/>
        <v>23.16</v>
      </c>
      <c r="AC421" s="7">
        <f t="shared" si="85"/>
        <v>27</v>
      </c>
      <c r="AD421" s="7">
        <f t="shared" si="86"/>
        <v>14.7</v>
      </c>
      <c r="AE421" s="7">
        <f t="shared" si="87"/>
        <v>3.3856450372572775</v>
      </c>
      <c r="AF421" s="7">
        <f t="shared" si="88"/>
        <v>0.87536929642192796</v>
      </c>
      <c r="AG421" s="7">
        <f t="shared" si="89"/>
        <v>7.1086532213490274</v>
      </c>
    </row>
    <row r="422" spans="1:33" x14ac:dyDescent="0.25">
      <c r="A422" s="4" t="s">
        <v>130</v>
      </c>
      <c r="B422" s="4">
        <v>2023</v>
      </c>
      <c r="C422" s="4" t="s">
        <v>92</v>
      </c>
      <c r="D422" s="5">
        <f t="shared" si="90"/>
        <v>0</v>
      </c>
      <c r="E422" s="4">
        <v>16.600000000000001</v>
      </c>
      <c r="F422" s="4">
        <v>23.2</v>
      </c>
      <c r="G422" s="4">
        <v>11.4</v>
      </c>
      <c r="H422" s="4">
        <v>18.5</v>
      </c>
      <c r="I422" s="4"/>
      <c r="J422" s="4">
        <v>1526.1</v>
      </c>
      <c r="K422" s="4">
        <v>76.099999999999994</v>
      </c>
      <c r="L422" s="4">
        <v>5.4539999999999997</v>
      </c>
      <c r="M422" s="4">
        <v>30.74</v>
      </c>
      <c r="N422" s="4">
        <v>27.5</v>
      </c>
      <c r="O422" s="4">
        <v>15.6</v>
      </c>
      <c r="P422" s="4">
        <v>20862.900000000001</v>
      </c>
      <c r="Q422" s="6">
        <f t="shared" si="91"/>
        <v>13.6707293100059</v>
      </c>
      <c r="R422" s="4">
        <v>3</v>
      </c>
      <c r="S422" s="4">
        <v>0</v>
      </c>
      <c r="T422" s="6">
        <f t="shared" si="92"/>
        <v>0.19657951641438962</v>
      </c>
      <c r="U422" s="4">
        <v>4181.8</v>
      </c>
      <c r="V422" s="7">
        <f t="shared" si="93"/>
        <v>2.8094026953624978</v>
      </c>
      <c r="W422" s="7">
        <f t="shared" si="94"/>
        <v>4.3320482648676402</v>
      </c>
      <c r="X422" s="7">
        <f t="shared" si="95"/>
        <v>2.6152570004470386</v>
      </c>
      <c r="Y422" s="7">
        <f t="shared" si="96"/>
        <v>8.3387361577244334</v>
      </c>
      <c r="Z422" s="7">
        <f t="shared" si="82"/>
        <v>4.3656431554233572</v>
      </c>
      <c r="AA422" s="7">
        <f t="shared" si="83"/>
        <v>5.4340000000000002</v>
      </c>
      <c r="AB422" s="7">
        <f t="shared" si="84"/>
        <v>26.81</v>
      </c>
      <c r="AC422" s="7">
        <f t="shared" si="85"/>
        <v>26.7</v>
      </c>
      <c r="AD422" s="7">
        <f t="shared" si="86"/>
        <v>20.9</v>
      </c>
      <c r="AE422" s="7">
        <f t="shared" si="87"/>
        <v>2.3764015542257981</v>
      </c>
      <c r="AF422" s="7">
        <f t="shared" si="88"/>
        <v>0.13163090693694879</v>
      </c>
      <c r="AG422" s="7">
        <f t="shared" si="89"/>
        <v>8.3366540451843729</v>
      </c>
    </row>
    <row r="423" spans="1:33" x14ac:dyDescent="0.25">
      <c r="A423" s="4" t="s">
        <v>131</v>
      </c>
      <c r="B423" s="4">
        <v>2023</v>
      </c>
      <c r="C423" s="4" t="s">
        <v>92</v>
      </c>
      <c r="D423" s="5">
        <f t="shared" si="90"/>
        <v>0</v>
      </c>
      <c r="E423" s="4">
        <v>13.5</v>
      </c>
      <c r="F423" s="4">
        <v>18.399999999999999</v>
      </c>
      <c r="G423" s="4">
        <v>9.6</v>
      </c>
      <c r="H423" s="4">
        <v>15</v>
      </c>
      <c r="I423" s="4"/>
      <c r="J423" s="4">
        <v>1248.0999999999999</v>
      </c>
      <c r="K423" s="4">
        <v>100.9</v>
      </c>
      <c r="L423" s="4">
        <v>4.5919999999999996</v>
      </c>
      <c r="M423" s="4">
        <v>21.87</v>
      </c>
      <c r="N423" s="4">
        <v>26.1</v>
      </c>
      <c r="O423" s="4">
        <v>21.7</v>
      </c>
      <c r="P423" s="4">
        <v>15959.2</v>
      </c>
      <c r="Q423" s="6">
        <f t="shared" si="91"/>
        <v>12.786795929813318</v>
      </c>
      <c r="R423" s="4">
        <v>7</v>
      </c>
      <c r="S423" s="4">
        <v>2</v>
      </c>
      <c r="T423" s="6">
        <f t="shared" si="92"/>
        <v>0.72109606602035092</v>
      </c>
      <c r="U423" s="4">
        <v>1833.9</v>
      </c>
      <c r="V423" s="7">
        <f t="shared" si="93"/>
        <v>2.6026896854443837</v>
      </c>
      <c r="W423" s="7">
        <f t="shared" si="94"/>
        <v>4.6141299273595635</v>
      </c>
      <c r="X423" s="7">
        <f t="shared" si="95"/>
        <v>2.5484130705097932</v>
      </c>
      <c r="Y423" s="7">
        <f t="shared" si="96"/>
        <v>7.5147452630909077</v>
      </c>
      <c r="Z423" s="7">
        <f t="shared" si="82"/>
        <v>4.604169685654508</v>
      </c>
      <c r="AA423" s="7">
        <f t="shared" si="83"/>
        <v>4.45</v>
      </c>
      <c r="AB423" s="7">
        <f t="shared" si="84"/>
        <v>21.85</v>
      </c>
      <c r="AC423" s="7">
        <f t="shared" si="85"/>
        <v>25.2</v>
      </c>
      <c r="AD423" s="7">
        <f t="shared" si="86"/>
        <v>21.8</v>
      </c>
      <c r="AE423" s="7">
        <f t="shared" si="87"/>
        <v>2.3807288593498392</v>
      </c>
      <c r="AF423" s="7">
        <f t="shared" si="88"/>
        <v>0.80282594733461798</v>
      </c>
      <c r="AG423" s="7">
        <f t="shared" si="89"/>
        <v>7.4471100488621014</v>
      </c>
    </row>
    <row r="424" spans="1:33" x14ac:dyDescent="0.25">
      <c r="A424" s="4" t="s">
        <v>132</v>
      </c>
      <c r="B424" s="4">
        <v>2023</v>
      </c>
      <c r="C424" s="4" t="s">
        <v>99</v>
      </c>
      <c r="D424" s="5">
        <f t="shared" si="90"/>
        <v>1</v>
      </c>
      <c r="E424" s="4">
        <v>20.6</v>
      </c>
      <c r="F424" s="4">
        <v>26.8</v>
      </c>
      <c r="G424" s="4">
        <v>13</v>
      </c>
      <c r="H424" s="4">
        <v>25</v>
      </c>
      <c r="I424" s="4"/>
      <c r="J424" s="4">
        <v>1381.2</v>
      </c>
      <c r="K424" s="4">
        <v>213.2</v>
      </c>
      <c r="L424" s="4">
        <v>7.4489999999999998</v>
      </c>
      <c r="M424" s="4">
        <v>67.36</v>
      </c>
      <c r="N424" s="4">
        <v>41.9</v>
      </c>
      <c r="O424" s="4">
        <v>17</v>
      </c>
      <c r="P424" s="4">
        <v>75167.600000000006</v>
      </c>
      <c r="Q424" s="6">
        <f t="shared" si="91"/>
        <v>54.42195192586157</v>
      </c>
      <c r="R424" s="4">
        <v>26</v>
      </c>
      <c r="S424" s="4">
        <v>7</v>
      </c>
      <c r="T424" s="6">
        <f t="shared" si="92"/>
        <v>2.3892267593397043</v>
      </c>
      <c r="U424" s="4">
        <v>9438.2000000000007</v>
      </c>
      <c r="V424" s="7">
        <f t="shared" si="93"/>
        <v>3.0252910757955354</v>
      </c>
      <c r="W424" s="7">
        <f t="shared" si="94"/>
        <v>5.3622306922916891</v>
      </c>
      <c r="X424" s="7">
        <f t="shared" si="95"/>
        <v>3.9967676005152759</v>
      </c>
      <c r="Y424" s="7">
        <f t="shared" si="96"/>
        <v>9.1526265097857102</v>
      </c>
      <c r="Z424" s="7">
        <f t="shared" si="82"/>
        <v>5.2745368378826329</v>
      </c>
      <c r="AA424" s="7">
        <f t="shared" si="83"/>
        <v>7.27</v>
      </c>
      <c r="AB424" s="7">
        <f t="shared" si="84"/>
        <v>67.36</v>
      </c>
      <c r="AC424" s="7">
        <f t="shared" si="85"/>
        <v>41.8</v>
      </c>
      <c r="AD424" s="7">
        <f t="shared" si="86"/>
        <v>21.6</v>
      </c>
      <c r="AE424" s="7">
        <f t="shared" si="87"/>
        <v>3.7925772410767871</v>
      </c>
      <c r="AF424" s="7">
        <f t="shared" si="88"/>
        <v>2.4213075060532687</v>
      </c>
      <c r="AG424" s="7">
        <f t="shared" si="89"/>
        <v>8.9179807099732908</v>
      </c>
    </row>
    <row r="425" spans="1:33" x14ac:dyDescent="0.25">
      <c r="A425" s="4" t="s">
        <v>133</v>
      </c>
      <c r="B425" s="4">
        <v>2023</v>
      </c>
      <c r="C425" s="4" t="s">
        <v>92</v>
      </c>
      <c r="D425" s="5">
        <f t="shared" si="90"/>
        <v>0</v>
      </c>
      <c r="E425" s="4">
        <v>13.6</v>
      </c>
      <c r="F425" s="4">
        <v>13.6</v>
      </c>
      <c r="G425" s="4">
        <v>9.4</v>
      </c>
      <c r="H425" s="4">
        <v>17.7</v>
      </c>
      <c r="I425" s="4"/>
      <c r="J425" s="4">
        <v>654.20000000000005</v>
      </c>
      <c r="K425" s="4">
        <v>70.900000000000006</v>
      </c>
      <c r="L425" s="4">
        <v>5.1349999999999998</v>
      </c>
      <c r="M425" s="4">
        <v>32.76</v>
      </c>
      <c r="N425" s="4">
        <v>28</v>
      </c>
      <c r="O425" s="4">
        <v>28</v>
      </c>
      <c r="P425" s="4">
        <v>13231.2</v>
      </c>
      <c r="Q425" s="6">
        <f t="shared" si="91"/>
        <v>20.225007642922652</v>
      </c>
      <c r="R425" s="4">
        <v>39</v>
      </c>
      <c r="S425" s="4">
        <v>1</v>
      </c>
      <c r="T425" s="6">
        <f t="shared" si="92"/>
        <v>6.1143381228981957</v>
      </c>
      <c r="U425" s="4">
        <v>3859.7</v>
      </c>
      <c r="V425" s="7">
        <f t="shared" si="93"/>
        <v>2.6100697927420065</v>
      </c>
      <c r="W425" s="7">
        <f t="shared" si="94"/>
        <v>4.2612704335380815</v>
      </c>
      <c r="X425" s="7">
        <f t="shared" si="95"/>
        <v>3.0069198408392999</v>
      </c>
      <c r="Y425" s="7">
        <f t="shared" si="96"/>
        <v>8.2586037931677296</v>
      </c>
      <c r="Z425" s="7">
        <f t="shared" si="82"/>
        <v>4.2076732475291037</v>
      </c>
      <c r="AA425" s="7">
        <f t="shared" si="83"/>
        <v>5.0279999999999996</v>
      </c>
      <c r="AB425" s="7">
        <f t="shared" si="84"/>
        <v>32.659999999999997</v>
      </c>
      <c r="AC425" s="7">
        <f t="shared" si="85"/>
        <v>27.1</v>
      </c>
      <c r="AD425" s="7">
        <f t="shared" si="86"/>
        <v>28.4</v>
      </c>
      <c r="AE425" s="7">
        <f t="shared" si="87"/>
        <v>2.9230508924444827</v>
      </c>
      <c r="AF425" s="7">
        <f t="shared" si="88"/>
        <v>6.145337225380243</v>
      </c>
      <c r="AG425" s="7">
        <f t="shared" si="89"/>
        <v>8.2633326674399665</v>
      </c>
    </row>
    <row r="426" spans="1:33" x14ac:dyDescent="0.25">
      <c r="A426" s="4" t="s">
        <v>134</v>
      </c>
      <c r="B426" s="4">
        <v>2023</v>
      </c>
      <c r="C426" s="4" t="s">
        <v>86</v>
      </c>
      <c r="D426" s="5">
        <f t="shared" si="90"/>
        <v>0</v>
      </c>
      <c r="E426" s="4">
        <v>10.9</v>
      </c>
      <c r="F426" s="4">
        <v>11.3</v>
      </c>
      <c r="G426" s="4">
        <v>11.7</v>
      </c>
      <c r="H426" s="4">
        <v>15.6</v>
      </c>
      <c r="I426" s="4"/>
      <c r="J426" s="4">
        <v>1198.8</v>
      </c>
      <c r="K426" s="4">
        <v>59.9</v>
      </c>
      <c r="L426" s="4">
        <v>2.387</v>
      </c>
      <c r="M426" s="4">
        <v>33.869999999999997</v>
      </c>
      <c r="N426" s="4">
        <v>12.2</v>
      </c>
      <c r="O426" s="4">
        <v>15</v>
      </c>
      <c r="P426" s="4">
        <v>6798.4</v>
      </c>
      <c r="Q426" s="6">
        <f t="shared" si="91"/>
        <v>5.671004337671004</v>
      </c>
      <c r="R426" s="4">
        <v>45</v>
      </c>
      <c r="S426" s="4">
        <v>2</v>
      </c>
      <c r="T426" s="6">
        <f t="shared" si="92"/>
        <v>3.9205872539205879</v>
      </c>
      <c r="U426" s="4">
        <v>360.3</v>
      </c>
      <c r="V426" s="7">
        <f t="shared" si="93"/>
        <v>2.388762789235098</v>
      </c>
      <c r="W426" s="7">
        <f t="shared" si="94"/>
        <v>4.0926765051214034</v>
      </c>
      <c r="X426" s="7">
        <f t="shared" si="95"/>
        <v>1.7353662339180389</v>
      </c>
      <c r="Y426" s="7">
        <f t="shared" si="96"/>
        <v>5.8897086381535946</v>
      </c>
      <c r="Z426" s="7">
        <f t="shared" si="82"/>
        <v>4.0127729085282891</v>
      </c>
      <c r="AA426" s="7">
        <f t="shared" si="83"/>
        <v>2.4169999999999998</v>
      </c>
      <c r="AB426" s="7">
        <f t="shared" si="84"/>
        <v>33.869999999999997</v>
      </c>
      <c r="AC426" s="7">
        <f t="shared" si="85"/>
        <v>12</v>
      </c>
      <c r="AD426" s="7">
        <f t="shared" si="86"/>
        <v>15.8</v>
      </c>
      <c r="AE426" s="7">
        <f t="shared" si="87"/>
        <v>1.643401242131352</v>
      </c>
      <c r="AF426" s="7">
        <f t="shared" si="88"/>
        <v>3.6734012355985972</v>
      </c>
      <c r="AG426" s="7">
        <f t="shared" si="89"/>
        <v>5.653891705042736</v>
      </c>
    </row>
    <row r="427" spans="1:33" x14ac:dyDescent="0.25">
      <c r="A427" s="4" t="s">
        <v>135</v>
      </c>
      <c r="B427" s="4">
        <v>2023</v>
      </c>
      <c r="C427" s="4" t="s">
        <v>96</v>
      </c>
      <c r="D427" s="5">
        <f t="shared" si="90"/>
        <v>0</v>
      </c>
      <c r="E427" s="4"/>
      <c r="F427" s="4"/>
      <c r="G427" s="4"/>
      <c r="H427" s="4"/>
      <c r="I427" s="4"/>
      <c r="J427" s="4">
        <v>1313.3</v>
      </c>
      <c r="K427" s="4">
        <v>50.8</v>
      </c>
      <c r="L427" s="4">
        <v>1.667</v>
      </c>
      <c r="M427" s="4">
        <v>14.13</v>
      </c>
      <c r="N427" s="4">
        <v>19</v>
      </c>
      <c r="O427" s="4">
        <v>15.3</v>
      </c>
      <c r="P427" s="4">
        <v>6890.2</v>
      </c>
      <c r="Q427" s="6">
        <f t="shared" si="91"/>
        <v>5.2464783370136301</v>
      </c>
      <c r="R427" s="4">
        <v>4</v>
      </c>
      <c r="S427" s="4">
        <v>1</v>
      </c>
      <c r="T427" s="6">
        <f t="shared" si="92"/>
        <v>0.38072032285083379</v>
      </c>
      <c r="U427" s="4">
        <v>103.3</v>
      </c>
      <c r="V427" s="7" t="str">
        <f t="shared" si="93"/>
        <v/>
      </c>
      <c r="W427" s="7">
        <f t="shared" si="94"/>
        <v>3.9278963545844361</v>
      </c>
      <c r="X427" s="7">
        <f t="shared" si="95"/>
        <v>1.6575570585714956</v>
      </c>
      <c r="Y427" s="7">
        <f t="shared" si="96"/>
        <v>4.6472713620067267</v>
      </c>
      <c r="Z427" s="7">
        <f t="shared" si="82"/>
        <v>3.8877303128591016</v>
      </c>
      <c r="AA427" s="7">
        <f t="shared" si="83"/>
        <v>1.64</v>
      </c>
      <c r="AB427" s="7">
        <f t="shared" si="84"/>
        <v>13.98</v>
      </c>
      <c r="AC427" s="7">
        <f t="shared" si="85"/>
        <v>18.5</v>
      </c>
      <c r="AD427" s="7">
        <f t="shared" si="86"/>
        <v>16.2</v>
      </c>
      <c r="AE427" s="7">
        <f t="shared" si="87"/>
        <v>1.5103732894742969</v>
      </c>
      <c r="AF427" s="7">
        <f t="shared" si="88"/>
        <v>0.38458580109222368</v>
      </c>
      <c r="AG427" s="7">
        <f t="shared" si="89"/>
        <v>4.6577626361072619</v>
      </c>
    </row>
    <row r="428" spans="1:33" x14ac:dyDescent="0.25">
      <c r="A428" s="4" t="s">
        <v>136</v>
      </c>
      <c r="B428" s="4">
        <v>2023</v>
      </c>
      <c r="C428" s="4" t="s">
        <v>88</v>
      </c>
      <c r="D428" s="5">
        <f t="shared" si="90"/>
        <v>1</v>
      </c>
      <c r="E428" s="4">
        <v>89.2</v>
      </c>
      <c r="F428" s="4">
        <v>98.5</v>
      </c>
      <c r="G428" s="4">
        <v>80.400000000000006</v>
      </c>
      <c r="H428" s="4">
        <v>93.4</v>
      </c>
      <c r="I428" s="4"/>
      <c r="J428" s="4">
        <v>9456.7000000000007</v>
      </c>
      <c r="K428" s="4">
        <v>168.9</v>
      </c>
      <c r="L428" s="4">
        <v>28.876000000000001</v>
      </c>
      <c r="M428" s="4">
        <v>77.66</v>
      </c>
      <c r="N428" s="4">
        <v>36</v>
      </c>
      <c r="O428" s="4">
        <v>52.4</v>
      </c>
      <c r="P428" s="4">
        <v>122407.4</v>
      </c>
      <c r="Q428" s="6">
        <f t="shared" si="91"/>
        <v>12.943986803007389</v>
      </c>
      <c r="R428" s="4">
        <v>267</v>
      </c>
      <c r="S428" s="4">
        <v>48</v>
      </c>
      <c r="T428" s="6">
        <f t="shared" si="92"/>
        <v>3.330971692027874</v>
      </c>
      <c r="U428" s="4">
        <v>6086.7</v>
      </c>
      <c r="V428" s="7">
        <f t="shared" si="93"/>
        <v>4.4908810395859637</v>
      </c>
      <c r="W428" s="7">
        <f t="shared" si="94"/>
        <v>5.1293068238137547</v>
      </c>
      <c r="X428" s="7">
        <f t="shared" si="95"/>
        <v>2.5606313407704517</v>
      </c>
      <c r="Y428" s="7">
        <f t="shared" si="96"/>
        <v>8.7140256210606033</v>
      </c>
      <c r="Z428" s="7">
        <f t="shared" si="82"/>
        <v>5.072043922224899</v>
      </c>
      <c r="AA428" s="7">
        <f t="shared" si="83"/>
        <v>29.187999999999999</v>
      </c>
      <c r="AB428" s="7">
        <f t="shared" si="84"/>
        <v>77.72</v>
      </c>
      <c r="AC428" s="7">
        <f t="shared" si="85"/>
        <v>35.6</v>
      </c>
      <c r="AD428" s="7">
        <f t="shared" si="86"/>
        <v>54.4</v>
      </c>
      <c r="AE428" s="7">
        <f t="shared" si="87"/>
        <v>2.6717863427103232</v>
      </c>
      <c r="AF428" s="7">
        <f t="shared" si="88"/>
        <v>3.0565406775509332</v>
      </c>
      <c r="AG428" s="7">
        <f t="shared" si="89"/>
        <v>8.6980803866720127</v>
      </c>
    </row>
    <row r="429" spans="1:33" x14ac:dyDescent="0.25">
      <c r="A429" s="4" t="s">
        <v>137</v>
      </c>
      <c r="B429" s="4">
        <v>2023</v>
      </c>
      <c r="C429" s="4" t="s">
        <v>92</v>
      </c>
      <c r="D429" s="5">
        <f t="shared" si="90"/>
        <v>0</v>
      </c>
      <c r="E429" s="4">
        <v>18.5</v>
      </c>
      <c r="F429" s="4">
        <v>18.899999999999999</v>
      </c>
      <c r="G429" s="4">
        <v>12.7</v>
      </c>
      <c r="H429" s="4">
        <v>24.2</v>
      </c>
      <c r="I429" s="4"/>
      <c r="J429" s="4">
        <v>3739.5</v>
      </c>
      <c r="K429" s="4">
        <v>72.599999999999994</v>
      </c>
      <c r="L429" s="4">
        <v>4.4429999999999996</v>
      </c>
      <c r="M429" s="4">
        <v>27.71</v>
      </c>
      <c r="N429" s="4">
        <v>27.6</v>
      </c>
      <c r="O429" s="4">
        <v>16.2</v>
      </c>
      <c r="P429" s="4">
        <v>65187.6</v>
      </c>
      <c r="Q429" s="6">
        <f t="shared" si="91"/>
        <v>17.432170076213396</v>
      </c>
      <c r="R429" s="4">
        <v>27</v>
      </c>
      <c r="S429" s="4">
        <v>2</v>
      </c>
      <c r="T429" s="6">
        <f t="shared" si="92"/>
        <v>0.77550474662388025</v>
      </c>
      <c r="U429" s="4">
        <v>4034.8</v>
      </c>
      <c r="V429" s="7">
        <f t="shared" si="93"/>
        <v>2.917770732084279</v>
      </c>
      <c r="W429" s="7">
        <f t="shared" si="94"/>
        <v>4.28496492183075</v>
      </c>
      <c r="X429" s="7">
        <f t="shared" si="95"/>
        <v>2.8583173541466627</v>
      </c>
      <c r="Y429" s="7">
        <f t="shared" si="96"/>
        <v>8.302959826231783</v>
      </c>
      <c r="Z429" s="7">
        <f t="shared" si="82"/>
        <v>4.2355547307736243</v>
      </c>
      <c r="AA429" s="7">
        <f t="shared" si="83"/>
        <v>4.1630000000000003</v>
      </c>
      <c r="AB429" s="7">
        <f t="shared" si="84"/>
        <v>27.67</v>
      </c>
      <c r="AC429" s="7">
        <f t="shared" si="85"/>
        <v>26.4</v>
      </c>
      <c r="AD429" s="7">
        <f t="shared" si="86"/>
        <v>18</v>
      </c>
      <c r="AE429" s="7">
        <f t="shared" si="87"/>
        <v>2.7374847486813603</v>
      </c>
      <c r="AF429" s="7">
        <f t="shared" si="88"/>
        <v>0.77913006098707716</v>
      </c>
      <c r="AG429" s="7">
        <f t="shared" si="89"/>
        <v>8.2918221611116767</v>
      </c>
    </row>
    <row r="430" spans="1:33" x14ac:dyDescent="0.25">
      <c r="A430" s="4" t="s">
        <v>138</v>
      </c>
      <c r="B430" s="4">
        <v>2023</v>
      </c>
      <c r="C430" s="4" t="s">
        <v>99</v>
      </c>
      <c r="D430" s="5">
        <f t="shared" si="90"/>
        <v>1</v>
      </c>
      <c r="E430" s="4">
        <v>15.4</v>
      </c>
      <c r="F430" s="4">
        <v>18.7</v>
      </c>
      <c r="G430" s="4">
        <v>12.1</v>
      </c>
      <c r="H430" s="4">
        <v>17.2</v>
      </c>
      <c r="I430" s="4"/>
      <c r="J430" s="4">
        <v>1882.3</v>
      </c>
      <c r="K430" s="4">
        <v>62.6</v>
      </c>
      <c r="L430" s="4">
        <v>3.44</v>
      </c>
      <c r="M430" s="4">
        <v>11.78</v>
      </c>
      <c r="N430" s="4">
        <v>22.9</v>
      </c>
      <c r="O430" s="4">
        <v>22</v>
      </c>
      <c r="P430" s="4">
        <v>13784.3</v>
      </c>
      <c r="Q430" s="6">
        <f t="shared" si="91"/>
        <v>7.3231153376188702</v>
      </c>
      <c r="R430" s="4">
        <v>15</v>
      </c>
      <c r="S430" s="4">
        <v>2</v>
      </c>
      <c r="T430" s="6">
        <f t="shared" si="92"/>
        <v>0.90315040110503109</v>
      </c>
      <c r="U430" s="4">
        <v>2508.1999999999998</v>
      </c>
      <c r="V430" s="7">
        <f t="shared" si="93"/>
        <v>2.7343675094195836</v>
      </c>
      <c r="W430" s="7">
        <f t="shared" si="94"/>
        <v>4.1367652781060524</v>
      </c>
      <c r="X430" s="7">
        <f t="shared" si="95"/>
        <v>1.9910358300052735</v>
      </c>
      <c r="Y430" s="7">
        <f t="shared" si="96"/>
        <v>7.8277192562225881</v>
      </c>
      <c r="Z430" s="7">
        <f t="shared" si="82"/>
        <v>4.0552571735140539</v>
      </c>
      <c r="AA430" s="7">
        <f t="shared" si="83"/>
        <v>3.1579999999999999</v>
      </c>
      <c r="AB430" s="7">
        <f t="shared" si="84"/>
        <v>11.76</v>
      </c>
      <c r="AC430" s="7">
        <f t="shared" si="85"/>
        <v>19.600000000000001</v>
      </c>
      <c r="AD430" s="7">
        <f t="shared" si="86"/>
        <v>14.8</v>
      </c>
      <c r="AE430" s="7">
        <f t="shared" si="87"/>
        <v>1.7666759542316288</v>
      </c>
      <c r="AF430" s="7">
        <f t="shared" si="88"/>
        <v>0.90497737556561098</v>
      </c>
      <c r="AG430" s="7">
        <f t="shared" si="89"/>
        <v>6.9571167085198606</v>
      </c>
    </row>
    <row r="431" spans="1:33" x14ac:dyDescent="0.25">
      <c r="A431" s="4" t="s">
        <v>139</v>
      </c>
      <c r="B431" s="4">
        <v>2023</v>
      </c>
      <c r="C431" s="4" t="s">
        <v>96</v>
      </c>
      <c r="D431" s="5">
        <f t="shared" si="90"/>
        <v>0</v>
      </c>
      <c r="E431" s="4">
        <v>17.100000000000001</v>
      </c>
      <c r="F431" s="4">
        <v>20.6</v>
      </c>
      <c r="G431" s="4">
        <v>11.8</v>
      </c>
      <c r="H431" s="4">
        <v>20.6</v>
      </c>
      <c r="I431" s="4"/>
      <c r="J431" s="4">
        <v>1350.3</v>
      </c>
      <c r="K431" s="4">
        <v>110.4</v>
      </c>
      <c r="L431" s="4">
        <v>4.2539999999999996</v>
      </c>
      <c r="M431" s="4">
        <v>40.65</v>
      </c>
      <c r="N431" s="4">
        <v>36.6</v>
      </c>
      <c r="O431" s="4">
        <v>28.2</v>
      </c>
      <c r="P431" s="4">
        <v>54844</v>
      </c>
      <c r="Q431" s="6">
        <f t="shared" si="91"/>
        <v>40.616159371991408</v>
      </c>
      <c r="R431" s="4">
        <v>13</v>
      </c>
      <c r="S431" s="4">
        <v>4</v>
      </c>
      <c r="T431" s="6">
        <f t="shared" si="92"/>
        <v>1.2589794860401393</v>
      </c>
      <c r="U431" s="4">
        <v>8060.9</v>
      </c>
      <c r="V431" s="7">
        <f t="shared" si="93"/>
        <v>2.8390784635086144</v>
      </c>
      <c r="W431" s="7">
        <f t="shared" si="94"/>
        <v>4.7041101338429954</v>
      </c>
      <c r="X431" s="7">
        <f t="shared" si="95"/>
        <v>3.7041660015095488</v>
      </c>
      <c r="Y431" s="7">
        <f t="shared" si="96"/>
        <v>8.9949045397301752</v>
      </c>
      <c r="Z431" s="7">
        <f t="shared" si="82"/>
        <v>4.6830567246451622</v>
      </c>
      <c r="AA431" s="7">
        <f t="shared" si="83"/>
        <v>4.07</v>
      </c>
      <c r="AB431" s="7">
        <f t="shared" si="84"/>
        <v>39.340000000000003</v>
      </c>
      <c r="AC431" s="7">
        <f t="shared" si="85"/>
        <v>35.9</v>
      </c>
      <c r="AD431" s="7">
        <f t="shared" si="86"/>
        <v>27.6</v>
      </c>
      <c r="AE431" s="7">
        <f t="shared" si="87"/>
        <v>3.6128782814979066</v>
      </c>
      <c r="AF431" s="7">
        <f t="shared" si="88"/>
        <v>1.721556886227545</v>
      </c>
      <c r="AG431" s="7">
        <f t="shared" si="89"/>
        <v>8.9680394851202792</v>
      </c>
    </row>
    <row r="432" spans="1:33" x14ac:dyDescent="0.25">
      <c r="A432" s="4" t="s">
        <v>140</v>
      </c>
      <c r="B432" s="4">
        <v>2023</v>
      </c>
      <c r="C432" s="4" t="s">
        <v>92</v>
      </c>
      <c r="D432" s="5">
        <f t="shared" si="90"/>
        <v>0</v>
      </c>
      <c r="E432" s="4">
        <v>16</v>
      </c>
      <c r="F432" s="4">
        <v>25.7</v>
      </c>
      <c r="G432" s="4">
        <v>10.6</v>
      </c>
      <c r="H432" s="4">
        <v>16.600000000000001</v>
      </c>
      <c r="I432" s="4"/>
      <c r="J432" s="4">
        <v>1166.5</v>
      </c>
      <c r="K432" s="4">
        <v>62</v>
      </c>
      <c r="L432" s="4">
        <v>4.5439999999999996</v>
      </c>
      <c r="M432" s="4">
        <v>52.82</v>
      </c>
      <c r="N432" s="4">
        <v>30.1</v>
      </c>
      <c r="O432" s="4">
        <v>27.3</v>
      </c>
      <c r="P432" s="4"/>
      <c r="Q432" s="6" t="str">
        <f t="shared" si="91"/>
        <v/>
      </c>
      <c r="R432" s="4">
        <v>0</v>
      </c>
      <c r="S432" s="4">
        <v>0</v>
      </c>
      <c r="T432" s="6">
        <f t="shared" si="92"/>
        <v>0</v>
      </c>
      <c r="U432" s="4">
        <v>3671.9</v>
      </c>
      <c r="V432" s="7">
        <f t="shared" si="93"/>
        <v>2.7725887222397811</v>
      </c>
      <c r="W432" s="7">
        <f t="shared" si="94"/>
        <v>4.1271343850450917</v>
      </c>
      <c r="X432" s="7" t="str">
        <f t="shared" si="95"/>
        <v/>
      </c>
      <c r="Y432" s="7">
        <f t="shared" si="96"/>
        <v>8.2087368197479798</v>
      </c>
      <c r="Z432" s="7">
        <f t="shared" si="82"/>
        <v>4.0395363257271057</v>
      </c>
      <c r="AA432" s="7">
        <f t="shared" si="83"/>
        <v>4.4269999999999996</v>
      </c>
      <c r="AB432" s="7">
        <f t="shared" si="84"/>
        <v>52.82</v>
      </c>
      <c r="AC432" s="7">
        <f t="shared" si="85"/>
        <v>29.8</v>
      </c>
      <c r="AD432" s="7">
        <f t="shared" si="86"/>
        <v>31.5</v>
      </c>
      <c r="AE432" s="7" t="str">
        <f t="shared" si="87"/>
        <v/>
      </c>
      <c r="AF432" s="7">
        <f t="shared" si="88"/>
        <v>0</v>
      </c>
      <c r="AG432" s="7">
        <f t="shared" si="89"/>
        <v>8.2037966511244651</v>
      </c>
    </row>
    <row r="433" spans="1:33" x14ac:dyDescent="0.25">
      <c r="A433" s="4" t="s">
        <v>141</v>
      </c>
      <c r="B433" s="4">
        <v>2023</v>
      </c>
      <c r="C433" s="4" t="s">
        <v>86</v>
      </c>
      <c r="D433" s="5">
        <f t="shared" si="90"/>
        <v>0</v>
      </c>
      <c r="E433" s="4">
        <v>12.4</v>
      </c>
      <c r="F433" s="4">
        <v>15.4</v>
      </c>
      <c r="G433" s="4">
        <v>11.5</v>
      </c>
      <c r="H433" s="4">
        <v>11.9</v>
      </c>
      <c r="I433" s="4"/>
      <c r="J433" s="4">
        <v>1790.7</v>
      </c>
      <c r="K433" s="4">
        <v>69.099999999999994</v>
      </c>
      <c r="L433" s="4">
        <v>3.2749999999999999</v>
      </c>
      <c r="M433" s="4">
        <v>15.28</v>
      </c>
      <c r="N433" s="4">
        <v>14.2</v>
      </c>
      <c r="O433" s="4">
        <v>14.7</v>
      </c>
      <c r="P433" s="4">
        <v>3064.2</v>
      </c>
      <c r="Q433" s="6">
        <f t="shared" si="91"/>
        <v>1.7111744010722063</v>
      </c>
      <c r="R433" s="4">
        <v>14</v>
      </c>
      <c r="S433" s="4">
        <v>3</v>
      </c>
      <c r="T433" s="6">
        <f t="shared" si="92"/>
        <v>0.94934941642932924</v>
      </c>
      <c r="U433" s="4">
        <v>1527.1</v>
      </c>
      <c r="V433" s="7">
        <f t="shared" si="93"/>
        <v>2.5176964726109912</v>
      </c>
      <c r="W433" s="7">
        <f t="shared" si="94"/>
        <v>4.2355547307736243</v>
      </c>
      <c r="X433" s="7">
        <f t="shared" si="95"/>
        <v>0.53717991903893936</v>
      </c>
      <c r="Y433" s="7">
        <f t="shared" si="96"/>
        <v>7.3317804126112112</v>
      </c>
      <c r="Z433" s="7">
        <f t="shared" si="82"/>
        <v>4.1415461637063951</v>
      </c>
      <c r="AA433" s="7">
        <f t="shared" si="83"/>
        <v>3.0979999999999999</v>
      </c>
      <c r="AB433" s="7">
        <f t="shared" si="84"/>
        <v>15.23</v>
      </c>
      <c r="AC433" s="7">
        <f t="shared" si="85"/>
        <v>13.3</v>
      </c>
      <c r="AD433" s="7">
        <f t="shared" si="86"/>
        <v>18.100000000000001</v>
      </c>
      <c r="AE433" s="7">
        <f t="shared" si="87"/>
        <v>0.44651114206029646</v>
      </c>
      <c r="AF433" s="7">
        <f t="shared" si="88"/>
        <v>0.84024198969303154</v>
      </c>
      <c r="AG433" s="7">
        <f t="shared" si="89"/>
        <v>7.3583849390446749</v>
      </c>
    </row>
    <row r="434" spans="1:33" x14ac:dyDescent="0.25">
      <c r="A434" s="4" t="s">
        <v>142</v>
      </c>
      <c r="B434" s="4">
        <v>2023</v>
      </c>
      <c r="C434" s="4" t="s">
        <v>86</v>
      </c>
      <c r="D434" s="5">
        <f t="shared" si="90"/>
        <v>0</v>
      </c>
      <c r="E434" s="4">
        <v>11.2</v>
      </c>
      <c r="F434" s="4">
        <v>9.4</v>
      </c>
      <c r="G434" s="4">
        <v>9.3000000000000007</v>
      </c>
      <c r="H434" s="4">
        <v>13.9</v>
      </c>
      <c r="I434" s="4"/>
      <c r="J434" s="4">
        <v>1019.9</v>
      </c>
      <c r="K434" s="4">
        <v>82.4</v>
      </c>
      <c r="L434" s="4">
        <v>2.7429999999999999</v>
      </c>
      <c r="M434" s="4">
        <v>18.329999999999998</v>
      </c>
      <c r="N434" s="4">
        <v>16.8</v>
      </c>
      <c r="O434" s="4">
        <v>7.4</v>
      </c>
      <c r="P434" s="4">
        <v>6391.4</v>
      </c>
      <c r="Q434" s="6">
        <f t="shared" si="91"/>
        <v>6.2666928130208843</v>
      </c>
      <c r="R434" s="4">
        <v>7</v>
      </c>
      <c r="S434" s="4">
        <v>2</v>
      </c>
      <c r="T434" s="6">
        <f t="shared" si="92"/>
        <v>0.8824394548485146</v>
      </c>
      <c r="U434" s="4">
        <v>3138</v>
      </c>
      <c r="V434" s="7">
        <f t="shared" si="93"/>
        <v>2.4159137783010487</v>
      </c>
      <c r="W434" s="7">
        <f t="shared" si="94"/>
        <v>4.4115854369154262</v>
      </c>
      <c r="X434" s="7">
        <f t="shared" si="95"/>
        <v>1.8352487534496564</v>
      </c>
      <c r="Y434" s="7">
        <f t="shared" si="96"/>
        <v>8.0516595568419529</v>
      </c>
      <c r="Z434" s="7">
        <f t="shared" si="82"/>
        <v>4.2835865618606288</v>
      </c>
      <c r="AA434" s="7">
        <f t="shared" si="83"/>
        <v>2.577</v>
      </c>
      <c r="AB434" s="7">
        <f t="shared" si="84"/>
        <v>18.14</v>
      </c>
      <c r="AC434" s="7">
        <f t="shared" si="85"/>
        <v>12.1</v>
      </c>
      <c r="AD434" s="7">
        <f t="shared" si="86"/>
        <v>14.4</v>
      </c>
      <c r="AE434" s="7">
        <f t="shared" si="87"/>
        <v>1.5680966359832049</v>
      </c>
      <c r="AF434" s="7">
        <f t="shared" si="88"/>
        <v>0.88295889335818711</v>
      </c>
      <c r="AG434" s="7">
        <f t="shared" si="89"/>
        <v>8.0483408991276697</v>
      </c>
    </row>
    <row r="435" spans="1:33" x14ac:dyDescent="0.25">
      <c r="A435" s="4" t="s">
        <v>143</v>
      </c>
      <c r="B435" s="4">
        <v>2023</v>
      </c>
      <c r="C435" s="4" t="s">
        <v>96</v>
      </c>
      <c r="D435" s="5">
        <f t="shared" si="90"/>
        <v>0</v>
      </c>
      <c r="E435" s="4">
        <v>12.7</v>
      </c>
      <c r="F435" s="4">
        <v>13.1</v>
      </c>
      <c r="G435" s="4">
        <v>10.5</v>
      </c>
      <c r="H435" s="4">
        <v>14.7</v>
      </c>
      <c r="I435" s="4"/>
      <c r="J435" s="4">
        <v>812.2</v>
      </c>
      <c r="K435" s="4">
        <v>53.8</v>
      </c>
      <c r="L435" s="4">
        <v>2.3149999999999999</v>
      </c>
      <c r="M435" s="4">
        <v>15.12</v>
      </c>
      <c r="N435" s="4">
        <v>21.8</v>
      </c>
      <c r="O435" s="4">
        <v>12.6</v>
      </c>
      <c r="P435" s="4">
        <v>22989.3</v>
      </c>
      <c r="Q435" s="6">
        <f t="shared" si="91"/>
        <v>28.304974144299432</v>
      </c>
      <c r="R435" s="4">
        <v>5</v>
      </c>
      <c r="S435" s="4">
        <v>1</v>
      </c>
      <c r="T435" s="6">
        <f t="shared" si="92"/>
        <v>0.73873430189608469</v>
      </c>
      <c r="U435" s="4">
        <v>283.8</v>
      </c>
      <c r="V435" s="7">
        <f t="shared" si="93"/>
        <v>2.5416019934645457</v>
      </c>
      <c r="W435" s="7">
        <f t="shared" si="94"/>
        <v>3.9852734671677386</v>
      </c>
      <c r="X435" s="7">
        <f t="shared" si="95"/>
        <v>3.3430375540206008</v>
      </c>
      <c r="Y435" s="7">
        <f t="shared" si="96"/>
        <v>5.6517871795378207</v>
      </c>
      <c r="Z435" s="7">
        <f t="shared" si="82"/>
        <v>3.9180050771056933</v>
      </c>
      <c r="AA435" s="7">
        <f t="shared" si="83"/>
        <v>2.1779999999999999</v>
      </c>
      <c r="AB435" s="7">
        <f t="shared" si="84"/>
        <v>14.95</v>
      </c>
      <c r="AC435" s="7">
        <f t="shared" si="85"/>
        <v>21.6</v>
      </c>
      <c r="AD435" s="7">
        <f t="shared" si="86"/>
        <v>11.2</v>
      </c>
      <c r="AE435" s="7">
        <f t="shared" si="87"/>
        <v>2.9575594103206555</v>
      </c>
      <c r="AF435" s="7">
        <f t="shared" si="88"/>
        <v>0.74460163812360391</v>
      </c>
      <c r="AG435" s="7">
        <f t="shared" si="89"/>
        <v>5.5610661724546055</v>
      </c>
    </row>
    <row r="436" spans="1:33" x14ac:dyDescent="0.25">
      <c r="A436" s="4" t="s">
        <v>144</v>
      </c>
      <c r="B436" s="4">
        <v>2023</v>
      </c>
      <c r="C436" s="4" t="s">
        <v>88</v>
      </c>
      <c r="D436" s="5">
        <f t="shared" si="90"/>
        <v>1</v>
      </c>
      <c r="E436" s="4">
        <v>14.6</v>
      </c>
      <c r="F436" s="4">
        <v>15.5</v>
      </c>
      <c r="G436" s="4">
        <v>11.7</v>
      </c>
      <c r="H436" s="4">
        <v>17.2</v>
      </c>
      <c r="I436" s="4"/>
      <c r="J436" s="4">
        <v>1194.9000000000001</v>
      </c>
      <c r="K436" s="4">
        <v>93.2</v>
      </c>
      <c r="L436" s="4">
        <v>4.3029999999999999</v>
      </c>
      <c r="M436" s="4">
        <v>32.57</v>
      </c>
      <c r="N436" s="4">
        <v>18.2</v>
      </c>
      <c r="O436" s="4">
        <v>17.3</v>
      </c>
      <c r="P436" s="4">
        <v>18598.7</v>
      </c>
      <c r="Q436" s="6">
        <f t="shared" si="91"/>
        <v>15.565068206544479</v>
      </c>
      <c r="R436" s="4">
        <v>13</v>
      </c>
      <c r="S436" s="4">
        <v>2</v>
      </c>
      <c r="T436" s="6">
        <f t="shared" si="92"/>
        <v>1.2553351744915893</v>
      </c>
      <c r="U436" s="4">
        <v>8120.8</v>
      </c>
      <c r="V436" s="7">
        <f t="shared" si="93"/>
        <v>2.6810215287142909</v>
      </c>
      <c r="W436" s="7">
        <f t="shared" si="94"/>
        <v>4.5347477216915459</v>
      </c>
      <c r="X436" s="7">
        <f t="shared" si="95"/>
        <v>2.7450291859298734</v>
      </c>
      <c r="Y436" s="7">
        <f t="shared" si="96"/>
        <v>9.0023070834663255</v>
      </c>
      <c r="Z436" s="7">
        <f t="shared" si="82"/>
        <v>4.4636066216663046</v>
      </c>
      <c r="AA436" s="7">
        <f t="shared" si="83"/>
        <v>4.1470000000000002</v>
      </c>
      <c r="AB436" s="7">
        <f t="shared" si="84"/>
        <v>32.53</v>
      </c>
      <c r="AC436" s="7">
        <f t="shared" si="85"/>
        <v>17.8</v>
      </c>
      <c r="AD436" s="7">
        <f t="shared" si="86"/>
        <v>20.399999999999999</v>
      </c>
      <c r="AE436" s="7">
        <f t="shared" si="87"/>
        <v>2.6343838610623203</v>
      </c>
      <c r="AF436" s="7">
        <f t="shared" si="88"/>
        <v>1.177658142664872</v>
      </c>
      <c r="AG436" s="7">
        <f t="shared" si="89"/>
        <v>8.9512716711684792</v>
      </c>
    </row>
    <row r="437" spans="1:33" x14ac:dyDescent="0.25">
      <c r="A437" s="4" t="s">
        <v>145</v>
      </c>
      <c r="B437" s="4">
        <v>2023</v>
      </c>
      <c r="C437" s="4" t="s">
        <v>86</v>
      </c>
      <c r="D437" s="5">
        <f t="shared" si="90"/>
        <v>0</v>
      </c>
      <c r="E437" s="4">
        <v>10.7</v>
      </c>
      <c r="F437" s="4">
        <v>12.3</v>
      </c>
      <c r="G437" s="4">
        <v>10.1</v>
      </c>
      <c r="H437" s="4">
        <v>10.5</v>
      </c>
      <c r="I437" s="4"/>
      <c r="J437" s="4">
        <v>1029.5999999999999</v>
      </c>
      <c r="K437" s="4">
        <v>73.2</v>
      </c>
      <c r="L437" s="4">
        <v>2.968</v>
      </c>
      <c r="M437" s="4">
        <v>22.87</v>
      </c>
      <c r="N437" s="4">
        <v>15.9</v>
      </c>
      <c r="O437" s="4">
        <v>20.8</v>
      </c>
      <c r="P437" s="4">
        <v>1939.6</v>
      </c>
      <c r="Q437" s="6">
        <f t="shared" si="91"/>
        <v>1.8838383838383839</v>
      </c>
      <c r="R437" s="4">
        <v>5</v>
      </c>
      <c r="S437" s="4">
        <v>2</v>
      </c>
      <c r="T437" s="6">
        <f t="shared" si="92"/>
        <v>0.67987567987567987</v>
      </c>
      <c r="U437" s="4">
        <v>1062.5</v>
      </c>
      <c r="V437" s="7">
        <f t="shared" si="93"/>
        <v>2.3702437414678603</v>
      </c>
      <c r="W437" s="7">
        <f t="shared" si="94"/>
        <v>4.2931954209672663</v>
      </c>
      <c r="X437" s="7">
        <f t="shared" si="95"/>
        <v>0.6333113889492803</v>
      </c>
      <c r="Y437" s="7">
        <f t="shared" si="96"/>
        <v>6.9693206346402921</v>
      </c>
      <c r="Z437" s="7">
        <f t="shared" si="82"/>
        <v>4.2282925347318399</v>
      </c>
      <c r="AA437" s="7">
        <f t="shared" si="83"/>
        <v>2.7959999999999998</v>
      </c>
      <c r="AB437" s="7">
        <f t="shared" si="84"/>
        <v>22.74</v>
      </c>
      <c r="AC437" s="7">
        <f t="shared" si="85"/>
        <v>14.5</v>
      </c>
      <c r="AD437" s="7">
        <f t="shared" si="86"/>
        <v>22.2</v>
      </c>
      <c r="AE437" s="7">
        <f t="shared" si="87"/>
        <v>0.70397481921200866</v>
      </c>
      <c r="AF437" s="7">
        <f t="shared" si="88"/>
        <v>0.58320373250388802</v>
      </c>
      <c r="AG437" s="7">
        <f t="shared" si="89"/>
        <v>6.890507385572584</v>
      </c>
    </row>
    <row r="438" spans="1:33" x14ac:dyDescent="0.25">
      <c r="A438" s="4" t="s">
        <v>146</v>
      </c>
      <c r="B438" s="4">
        <v>2023</v>
      </c>
      <c r="C438" s="4" t="s">
        <v>99</v>
      </c>
      <c r="D438" s="5">
        <f t="shared" si="90"/>
        <v>1</v>
      </c>
      <c r="E438" s="4">
        <v>19.600000000000001</v>
      </c>
      <c r="F438" s="4">
        <v>23.8</v>
      </c>
      <c r="G438" s="4">
        <v>13.5</v>
      </c>
      <c r="H438" s="4">
        <v>23.6</v>
      </c>
      <c r="I438" s="4"/>
      <c r="J438" s="4">
        <v>1211.3</v>
      </c>
      <c r="K438" s="4">
        <v>129.69999999999999</v>
      </c>
      <c r="L438" s="4">
        <v>8.0709999999999997</v>
      </c>
      <c r="M438" s="4">
        <v>33.93</v>
      </c>
      <c r="N438" s="4">
        <v>35.799999999999997</v>
      </c>
      <c r="O438" s="4">
        <v>33.9</v>
      </c>
      <c r="P438" s="4">
        <v>26854.3</v>
      </c>
      <c r="Q438" s="6">
        <f t="shared" si="91"/>
        <v>22.169817551391066</v>
      </c>
      <c r="R438" s="4">
        <v>7</v>
      </c>
      <c r="S438" s="4">
        <v>2</v>
      </c>
      <c r="T438" s="6">
        <f t="shared" si="92"/>
        <v>0.7430033847931975</v>
      </c>
      <c r="U438" s="4">
        <v>5822.6</v>
      </c>
      <c r="V438" s="7">
        <f t="shared" si="93"/>
        <v>2.9755295662364718</v>
      </c>
      <c r="W438" s="7">
        <f t="shared" si="94"/>
        <v>4.8652240913223981</v>
      </c>
      <c r="X438" s="7">
        <f t="shared" si="95"/>
        <v>3.0987317940675676</v>
      </c>
      <c r="Y438" s="7">
        <f t="shared" si="96"/>
        <v>8.6696739061991703</v>
      </c>
      <c r="Z438" s="7">
        <f t="shared" si="82"/>
        <v>4.8528112089026889</v>
      </c>
      <c r="AA438" s="7">
        <f t="shared" si="83"/>
        <v>7.5990000000000002</v>
      </c>
      <c r="AB438" s="7">
        <f t="shared" si="84"/>
        <v>30.58</v>
      </c>
      <c r="AC438" s="7">
        <f t="shared" si="85"/>
        <v>34.9</v>
      </c>
      <c r="AD438" s="7">
        <f t="shared" si="86"/>
        <v>34.9</v>
      </c>
      <c r="AE438" s="7">
        <f t="shared" si="87"/>
        <v>2.8517494702672472</v>
      </c>
      <c r="AF438" s="7">
        <f t="shared" si="88"/>
        <v>0.75150300601202413</v>
      </c>
      <c r="AG438" s="7">
        <f t="shared" si="89"/>
        <v>8.6360068069538105</v>
      </c>
    </row>
    <row r="439" spans="1:33" x14ac:dyDescent="0.25">
      <c r="A439" s="4" t="s">
        <v>147</v>
      </c>
      <c r="B439" s="4">
        <v>2023</v>
      </c>
      <c r="C439" s="4" t="s">
        <v>96</v>
      </c>
      <c r="D439" s="5">
        <f t="shared" si="90"/>
        <v>0</v>
      </c>
      <c r="E439" s="4">
        <v>13.3</v>
      </c>
      <c r="F439" s="4">
        <v>12.9</v>
      </c>
      <c r="G439" s="4">
        <v>13</v>
      </c>
      <c r="H439" s="4">
        <v>13.9</v>
      </c>
      <c r="I439" s="4"/>
      <c r="J439" s="4">
        <v>855.5</v>
      </c>
      <c r="K439" s="4">
        <v>50.1</v>
      </c>
      <c r="L439" s="4">
        <v>2.56</v>
      </c>
      <c r="M439" s="4">
        <v>20.95</v>
      </c>
      <c r="N439" s="4">
        <v>23.2</v>
      </c>
      <c r="O439" s="4">
        <v>18.2</v>
      </c>
      <c r="P439" s="4">
        <v>13490.8</v>
      </c>
      <c r="Q439" s="6">
        <f t="shared" si="91"/>
        <v>15.769491525423728</v>
      </c>
      <c r="R439" s="4">
        <v>1</v>
      </c>
      <c r="S439" s="4">
        <v>1</v>
      </c>
      <c r="T439" s="6">
        <f t="shared" si="92"/>
        <v>0.23378141437755698</v>
      </c>
      <c r="U439" s="4">
        <v>301</v>
      </c>
      <c r="V439" s="7">
        <f t="shared" si="93"/>
        <v>2.5877640352277083</v>
      </c>
      <c r="W439" s="7">
        <f t="shared" si="94"/>
        <v>3.9140210080908191</v>
      </c>
      <c r="X439" s="7">
        <f t="shared" si="95"/>
        <v>2.758077157298735</v>
      </c>
      <c r="Y439" s="7">
        <f t="shared" si="96"/>
        <v>5.7104270173748697</v>
      </c>
      <c r="Z439" s="7">
        <f t="shared" si="82"/>
        <v>3.8607297110405954</v>
      </c>
      <c r="AA439" s="7">
        <f t="shared" si="83"/>
        <v>2.3839999999999999</v>
      </c>
      <c r="AB439" s="7">
        <f t="shared" si="84"/>
        <v>20.85</v>
      </c>
      <c r="AC439" s="7">
        <f t="shared" si="85"/>
        <v>22.9</v>
      </c>
      <c r="AD439" s="7">
        <f t="shared" si="86"/>
        <v>14.2</v>
      </c>
      <c r="AE439" s="7">
        <f t="shared" si="87"/>
        <v>2.4947338729350159</v>
      </c>
      <c r="AF439" s="7">
        <f t="shared" si="88"/>
        <v>0.35410764872521244</v>
      </c>
      <c r="AG439" s="7">
        <f t="shared" si="89"/>
        <v>6.2921245408500202</v>
      </c>
    </row>
    <row r="440" spans="1:33" x14ac:dyDescent="0.25">
      <c r="A440" s="4" t="s">
        <v>148</v>
      </c>
      <c r="B440" s="4">
        <v>2023</v>
      </c>
      <c r="C440" s="4" t="s">
        <v>96</v>
      </c>
      <c r="D440" s="5">
        <f t="shared" si="90"/>
        <v>0</v>
      </c>
      <c r="E440" s="4"/>
      <c r="F440" s="4"/>
      <c r="G440" s="4"/>
      <c r="H440" s="4"/>
      <c r="I440" s="4"/>
      <c r="J440" s="4">
        <v>646.20000000000005</v>
      </c>
      <c r="K440" s="4">
        <v>43.2</v>
      </c>
      <c r="L440" s="4">
        <v>1.78</v>
      </c>
      <c r="M440" s="4">
        <v>15.2</v>
      </c>
      <c r="N440" s="4">
        <v>18.2</v>
      </c>
      <c r="O440" s="4">
        <v>15.3</v>
      </c>
      <c r="P440" s="4">
        <v>4710.8999999999996</v>
      </c>
      <c r="Q440" s="6">
        <f t="shared" si="91"/>
        <v>7.2901578458681513</v>
      </c>
      <c r="R440" s="4">
        <v>3</v>
      </c>
      <c r="S440" s="4">
        <v>2</v>
      </c>
      <c r="T440" s="6">
        <f t="shared" si="92"/>
        <v>0.77375425564840605</v>
      </c>
      <c r="U440" s="4">
        <v>4.5999999999999996</v>
      </c>
      <c r="V440" s="7" t="str">
        <f t="shared" si="93"/>
        <v/>
      </c>
      <c r="W440" s="7">
        <f t="shared" si="94"/>
        <v>3.7658404952500648</v>
      </c>
      <c r="X440" s="7">
        <f t="shared" si="95"/>
        <v>1.9865251981686198</v>
      </c>
      <c r="Y440" s="7">
        <f t="shared" si="96"/>
        <v>1.7227665977411035</v>
      </c>
      <c r="Z440" s="7">
        <f t="shared" si="82"/>
        <v>3.6763006719070761</v>
      </c>
      <c r="AA440" s="7">
        <f t="shared" si="83"/>
        <v>1.744</v>
      </c>
      <c r="AB440" s="7">
        <f t="shared" si="84"/>
        <v>15.21</v>
      </c>
      <c r="AC440" s="7">
        <f t="shared" si="85"/>
        <v>18.100000000000001</v>
      </c>
      <c r="AD440" s="7">
        <f t="shared" si="86"/>
        <v>16.899999999999999</v>
      </c>
      <c r="AE440" s="7">
        <f t="shared" si="87"/>
        <v>1.6764305670713073</v>
      </c>
      <c r="AF440" s="7">
        <f t="shared" si="88"/>
        <v>0.7862871520679352</v>
      </c>
      <c r="AG440" s="7">
        <f t="shared" si="89"/>
        <v>1.7404661748405046</v>
      </c>
    </row>
    <row r="441" spans="1:33" x14ac:dyDescent="0.25">
      <c r="A441" s="4" t="s">
        <v>149</v>
      </c>
      <c r="B441" s="4">
        <v>2023</v>
      </c>
      <c r="C441" s="4" t="s">
        <v>92</v>
      </c>
      <c r="D441" s="5">
        <f t="shared" si="90"/>
        <v>0</v>
      </c>
      <c r="E441" s="4">
        <v>39.5</v>
      </c>
      <c r="F441" s="4">
        <v>70.099999999999994</v>
      </c>
      <c r="G441" s="4">
        <v>13.8</v>
      </c>
      <c r="H441" s="4">
        <v>50</v>
      </c>
      <c r="I441" s="4"/>
      <c r="J441" s="4">
        <v>1245.2</v>
      </c>
      <c r="K441" s="4">
        <v>108.3</v>
      </c>
      <c r="L441" s="4">
        <v>20.716999999999999</v>
      </c>
      <c r="M441" s="4">
        <v>87.64</v>
      </c>
      <c r="N441" s="4">
        <v>49.7</v>
      </c>
      <c r="O441" s="4">
        <v>53.4</v>
      </c>
      <c r="P441" s="4">
        <v>45955</v>
      </c>
      <c r="Q441" s="6">
        <f t="shared" si="91"/>
        <v>36.905717956954703</v>
      </c>
      <c r="R441" s="4">
        <v>72</v>
      </c>
      <c r="S441" s="4">
        <v>8</v>
      </c>
      <c r="T441" s="6">
        <f t="shared" si="92"/>
        <v>6.4246707356247992</v>
      </c>
      <c r="U441" s="4">
        <v>5219.8999999999996</v>
      </c>
      <c r="V441" s="7">
        <f t="shared" si="93"/>
        <v>3.6763006719070761</v>
      </c>
      <c r="W441" s="7">
        <f t="shared" si="94"/>
        <v>4.6849051540069446</v>
      </c>
      <c r="X441" s="7">
        <f t="shared" si="95"/>
        <v>3.6083664972247567</v>
      </c>
      <c r="Y441" s="7">
        <f t="shared" si="96"/>
        <v>8.5604250798082386</v>
      </c>
      <c r="Z441" s="7">
        <f t="shared" si="82"/>
        <v>4.6337576428400036</v>
      </c>
      <c r="AA441" s="7">
        <f t="shared" si="83"/>
        <v>20.832000000000001</v>
      </c>
      <c r="AB441" s="7">
        <f t="shared" si="84"/>
        <v>87.45</v>
      </c>
      <c r="AC441" s="7">
        <f t="shared" si="85"/>
        <v>48.5</v>
      </c>
      <c r="AD441" s="7">
        <f t="shared" si="86"/>
        <v>53.1</v>
      </c>
      <c r="AE441" s="7">
        <f t="shared" si="87"/>
        <v>3.2637573604553918</v>
      </c>
      <c r="AF441" s="7">
        <f t="shared" si="88"/>
        <v>6.6382560236026871</v>
      </c>
      <c r="AG441" s="7">
        <f t="shared" si="89"/>
        <v>8.5247843058620507</v>
      </c>
    </row>
    <row r="442" spans="1:33" x14ac:dyDescent="0.25">
      <c r="A442" s="4" t="s">
        <v>150</v>
      </c>
      <c r="B442" s="4">
        <v>2023</v>
      </c>
      <c r="C442" s="4" t="s">
        <v>105</v>
      </c>
      <c r="D442" s="5">
        <f t="shared" si="90"/>
        <v>0</v>
      </c>
      <c r="E442" s="4">
        <v>18.8</v>
      </c>
      <c r="F442" s="4">
        <v>19.600000000000001</v>
      </c>
      <c r="G442" s="4">
        <v>10.3</v>
      </c>
      <c r="H442" s="4">
        <v>26.9</v>
      </c>
      <c r="I442" s="4"/>
      <c r="J442" s="4">
        <v>1931.5</v>
      </c>
      <c r="K442" s="4">
        <v>60.5</v>
      </c>
      <c r="L442" s="4">
        <v>4.016</v>
      </c>
      <c r="M442" s="4">
        <v>26.01</v>
      </c>
      <c r="N442" s="4">
        <v>18.3</v>
      </c>
      <c r="O442" s="4">
        <v>18.7</v>
      </c>
      <c r="P442" s="4">
        <v>24796.799999999999</v>
      </c>
      <c r="Q442" s="6">
        <f t="shared" si="91"/>
        <v>12.838105099663474</v>
      </c>
      <c r="R442" s="4">
        <v>8</v>
      </c>
      <c r="S442" s="4">
        <v>3</v>
      </c>
      <c r="T442" s="6">
        <f t="shared" si="92"/>
        <v>0.56950556562257315</v>
      </c>
      <c r="U442" s="4">
        <v>365.9</v>
      </c>
      <c r="V442" s="7">
        <f t="shared" si="93"/>
        <v>2.9338568698359038</v>
      </c>
      <c r="W442" s="7">
        <f t="shared" si="94"/>
        <v>4.1026433650367959</v>
      </c>
      <c r="X442" s="7">
        <f t="shared" si="95"/>
        <v>2.5524177094632949</v>
      </c>
      <c r="Y442" s="7">
        <f t="shared" si="96"/>
        <v>5.9050893313612365</v>
      </c>
      <c r="Z442" s="7">
        <f t="shared" si="82"/>
        <v>4.0377742107337067</v>
      </c>
      <c r="AA442" s="7">
        <f t="shared" si="83"/>
        <v>3.843</v>
      </c>
      <c r="AB442" s="7">
        <f t="shared" si="84"/>
        <v>24.93</v>
      </c>
      <c r="AC442" s="7">
        <f t="shared" si="85"/>
        <v>18</v>
      </c>
      <c r="AD442" s="7">
        <f t="shared" si="86"/>
        <v>30.1</v>
      </c>
      <c r="AE442" s="7">
        <f t="shared" si="87"/>
        <v>2.5445823186536418</v>
      </c>
      <c r="AF442" s="7">
        <f t="shared" si="88"/>
        <v>0.57339449541284393</v>
      </c>
      <c r="AG442" s="7">
        <f t="shared" si="89"/>
        <v>5.824819469699035</v>
      </c>
    </row>
    <row r="443" spans="1:33" x14ac:dyDescent="0.25">
      <c r="A443" s="4" t="s">
        <v>151</v>
      </c>
      <c r="B443" s="4">
        <v>2023</v>
      </c>
      <c r="C443" s="4" t="s">
        <v>105</v>
      </c>
      <c r="D443" s="5">
        <f t="shared" si="90"/>
        <v>0</v>
      </c>
      <c r="E443" s="4">
        <v>10.6</v>
      </c>
      <c r="F443" s="4">
        <v>10.1</v>
      </c>
      <c r="G443" s="4">
        <v>8</v>
      </c>
      <c r="H443" s="4">
        <v>13.4</v>
      </c>
      <c r="I443" s="4"/>
      <c r="J443" s="4">
        <v>681.9</v>
      </c>
      <c r="K443" s="4">
        <v>65.400000000000006</v>
      </c>
      <c r="L443" s="4">
        <v>3.883</v>
      </c>
      <c r="M443" s="4">
        <v>16.940000000000001</v>
      </c>
      <c r="N443" s="4">
        <v>16.7</v>
      </c>
      <c r="O443" s="4">
        <v>21.1</v>
      </c>
      <c r="P443" s="4">
        <v>2356.6999999999998</v>
      </c>
      <c r="Q443" s="6">
        <f t="shared" si="91"/>
        <v>3.4560786039008651</v>
      </c>
      <c r="R443" s="4">
        <v>2</v>
      </c>
      <c r="S443" s="4">
        <v>1</v>
      </c>
      <c r="T443" s="6">
        <f t="shared" si="92"/>
        <v>0.43994720633523976</v>
      </c>
      <c r="U443" s="4">
        <v>457.4</v>
      </c>
      <c r="V443" s="7">
        <f t="shared" si="93"/>
        <v>2.3608540011180215</v>
      </c>
      <c r="W443" s="7">
        <f t="shared" si="94"/>
        <v>4.180522258463153</v>
      </c>
      <c r="X443" s="7">
        <f t="shared" si="95"/>
        <v>1.2401345948674423</v>
      </c>
      <c r="Y443" s="7">
        <f t="shared" si="96"/>
        <v>6.1277421654005302</v>
      </c>
      <c r="Z443" s="7">
        <f t="shared" si="82"/>
        <v>4.0993321037331398</v>
      </c>
      <c r="AA443" s="7">
        <f t="shared" si="83"/>
        <v>3.8260000000000001</v>
      </c>
      <c r="AB443" s="7">
        <f t="shared" si="84"/>
        <v>16.760000000000002</v>
      </c>
      <c r="AC443" s="7">
        <f t="shared" si="85"/>
        <v>14.7</v>
      </c>
      <c r="AD443" s="7">
        <f t="shared" si="86"/>
        <v>21.2</v>
      </c>
      <c r="AE443" s="7">
        <f t="shared" si="87"/>
        <v>1.0702283601634406</v>
      </c>
      <c r="AF443" s="7">
        <f t="shared" si="88"/>
        <v>0.44736057262153295</v>
      </c>
      <c r="AG443" s="7">
        <f t="shared" si="89"/>
        <v>6.1444002033786953</v>
      </c>
    </row>
    <row r="444" spans="1:33" x14ac:dyDescent="0.25">
      <c r="A444" s="4" t="s">
        <v>152</v>
      </c>
      <c r="B444" s="4">
        <v>2023</v>
      </c>
      <c r="C444" s="4" t="s">
        <v>88</v>
      </c>
      <c r="D444" s="5">
        <f t="shared" si="90"/>
        <v>1</v>
      </c>
      <c r="E444" s="4">
        <v>25.9</v>
      </c>
      <c r="F444" s="4">
        <v>28.3</v>
      </c>
      <c r="G444" s="4">
        <v>14</v>
      </c>
      <c r="H444" s="4">
        <v>36.5</v>
      </c>
      <c r="I444" s="4"/>
      <c r="J444" s="4">
        <v>3310.9</v>
      </c>
      <c r="K444" s="4">
        <v>132.9</v>
      </c>
      <c r="L444" s="4">
        <v>8.048</v>
      </c>
      <c r="M444" s="4">
        <v>45.26</v>
      </c>
      <c r="N444" s="4">
        <v>22.8</v>
      </c>
      <c r="O444" s="4">
        <v>28.4</v>
      </c>
      <c r="P444" s="4">
        <v>60678.5</v>
      </c>
      <c r="Q444" s="6">
        <f t="shared" si="91"/>
        <v>18.326889969494697</v>
      </c>
      <c r="R444" s="4">
        <v>12</v>
      </c>
      <c r="S444" s="4">
        <v>6</v>
      </c>
      <c r="T444" s="6">
        <f t="shared" si="92"/>
        <v>0.5436588238847444</v>
      </c>
      <c r="U444" s="4">
        <v>10849.1</v>
      </c>
      <c r="V444" s="7">
        <f t="shared" si="93"/>
        <v>3.2542429687054919</v>
      </c>
      <c r="W444" s="7">
        <f t="shared" si="94"/>
        <v>4.8895969657191998</v>
      </c>
      <c r="X444" s="7">
        <f t="shared" si="95"/>
        <v>2.9083693785797728</v>
      </c>
      <c r="Y444" s="7">
        <f t="shared" si="96"/>
        <v>9.2919295755159954</v>
      </c>
      <c r="Z444" s="7">
        <f t="shared" si="82"/>
        <v>4.8613615913485013</v>
      </c>
      <c r="AA444" s="7">
        <f t="shared" si="83"/>
        <v>7.9390000000000001</v>
      </c>
      <c r="AB444" s="7">
        <f t="shared" si="84"/>
        <v>45.16</v>
      </c>
      <c r="AC444" s="7">
        <f t="shared" si="85"/>
        <v>22.3</v>
      </c>
      <c r="AD444" s="7">
        <f t="shared" si="86"/>
        <v>26.5</v>
      </c>
      <c r="AE444" s="7">
        <f t="shared" si="87"/>
        <v>2.7502634504879695</v>
      </c>
      <c r="AF444" s="7">
        <f t="shared" si="88"/>
        <v>0.55285951225505248</v>
      </c>
      <c r="AG444" s="7">
        <f t="shared" si="89"/>
        <v>9.2943046111532688</v>
      </c>
    </row>
    <row r="445" spans="1:33" x14ac:dyDescent="0.25">
      <c r="A445" s="4" t="s">
        <v>153</v>
      </c>
      <c r="B445" s="4">
        <v>2023</v>
      </c>
      <c r="C445" s="4" t="s">
        <v>86</v>
      </c>
      <c r="D445" s="5">
        <f t="shared" si="90"/>
        <v>0</v>
      </c>
      <c r="E445" s="4">
        <v>15.7</v>
      </c>
      <c r="F445" s="4">
        <v>13.4</v>
      </c>
      <c r="G445" s="4">
        <v>14.2</v>
      </c>
      <c r="H445" s="4">
        <v>18.5</v>
      </c>
      <c r="I445" s="4"/>
      <c r="J445" s="4">
        <v>1600.2</v>
      </c>
      <c r="K445" s="4">
        <v>68.8</v>
      </c>
      <c r="L445" s="4">
        <v>2.605</v>
      </c>
      <c r="M445" s="4">
        <v>20.36</v>
      </c>
      <c r="N445" s="4">
        <v>14.6</v>
      </c>
      <c r="O445" s="4">
        <v>14.6</v>
      </c>
      <c r="P445" s="4">
        <v>3755.3</v>
      </c>
      <c r="Q445" s="6">
        <f t="shared" si="91"/>
        <v>2.3467691538557682</v>
      </c>
      <c r="R445" s="4">
        <v>10</v>
      </c>
      <c r="S445" s="4">
        <v>1</v>
      </c>
      <c r="T445" s="6">
        <f t="shared" si="92"/>
        <v>0.68741407324084491</v>
      </c>
      <c r="U445" s="4">
        <v>144.69999999999999</v>
      </c>
      <c r="V445" s="7">
        <f t="shared" si="93"/>
        <v>2.7536607123542622</v>
      </c>
      <c r="W445" s="7">
        <f t="shared" si="94"/>
        <v>4.2312037449392976</v>
      </c>
      <c r="X445" s="7">
        <f t="shared" si="95"/>
        <v>0.85303955406626408</v>
      </c>
      <c r="Y445" s="7">
        <f t="shared" si="96"/>
        <v>4.9815497132011588</v>
      </c>
      <c r="Z445" s="7">
        <f t="shared" si="82"/>
        <v>4.1303549997451334</v>
      </c>
      <c r="AA445" s="7">
        <f t="shared" si="83"/>
        <v>2.4900000000000002</v>
      </c>
      <c r="AB445" s="7">
        <f t="shared" si="84"/>
        <v>20.239999999999998</v>
      </c>
      <c r="AC445" s="7">
        <f t="shared" si="85"/>
        <v>14.4</v>
      </c>
      <c r="AD445" s="7">
        <f t="shared" si="86"/>
        <v>14.7</v>
      </c>
      <c r="AE445" s="7">
        <f t="shared" si="87"/>
        <v>0.70929530997063683</v>
      </c>
      <c r="AF445" s="7">
        <f t="shared" si="88"/>
        <v>0.62492188476440447</v>
      </c>
      <c r="AG445" s="7">
        <f t="shared" si="89"/>
        <v>4.9815497132011588</v>
      </c>
    </row>
    <row r="446" spans="1:33" x14ac:dyDescent="0.25">
      <c r="A446" s="4" t="s">
        <v>85</v>
      </c>
      <c r="B446" s="4">
        <v>2024</v>
      </c>
      <c r="C446" s="4" t="s">
        <v>86</v>
      </c>
      <c r="D446" s="5">
        <f t="shared" si="90"/>
        <v>0</v>
      </c>
      <c r="E446" s="4">
        <v>16</v>
      </c>
      <c r="F446" s="4">
        <v>11</v>
      </c>
      <c r="G446" s="4">
        <v>20</v>
      </c>
      <c r="H446" s="4">
        <v>15</v>
      </c>
      <c r="I446" s="4"/>
      <c r="J446" s="4">
        <v>1912.6</v>
      </c>
      <c r="K446" s="4">
        <v>66</v>
      </c>
      <c r="L446" s="4">
        <v>2.7749999999999999</v>
      </c>
      <c r="M446" s="4">
        <v>36.94</v>
      </c>
      <c r="N446" s="4">
        <v>16.2</v>
      </c>
      <c r="O446" s="4">
        <v>13.6</v>
      </c>
      <c r="P446" s="4">
        <v>13686.5</v>
      </c>
      <c r="Q446" s="6">
        <f t="shared" si="91"/>
        <v>7.1559657011398103</v>
      </c>
      <c r="R446" s="4">
        <v>8</v>
      </c>
      <c r="S446" s="4">
        <v>2</v>
      </c>
      <c r="T446" s="6">
        <f t="shared" si="92"/>
        <v>0.52284847851092753</v>
      </c>
      <c r="U446" s="4">
        <v>140.69999999999999</v>
      </c>
      <c r="V446" s="7">
        <f t="shared" si="93"/>
        <v>2.7725887222397811</v>
      </c>
      <c r="W446" s="7">
        <f t="shared" si="94"/>
        <v>4.1896547420264252</v>
      </c>
      <c r="X446" s="7">
        <f t="shared" si="95"/>
        <v>1.9679463726137187</v>
      </c>
      <c r="Y446" s="7">
        <f t="shared" si="96"/>
        <v>4.9537121466966347</v>
      </c>
      <c r="Z446" s="7">
        <f t="shared" si="82"/>
        <v>4.0724397268340509</v>
      </c>
      <c r="AA446" s="7">
        <f t="shared" si="83"/>
        <v>2.7010000000000001</v>
      </c>
      <c r="AB446" s="7">
        <f t="shared" si="84"/>
        <v>37</v>
      </c>
      <c r="AC446" s="7">
        <f t="shared" si="85"/>
        <v>15.5</v>
      </c>
      <c r="AD446" s="7">
        <f t="shared" si="86"/>
        <v>18</v>
      </c>
      <c r="AE446" s="7">
        <f t="shared" si="87"/>
        <v>1.8285635406587724</v>
      </c>
      <c r="AF446" s="7">
        <f t="shared" si="88"/>
        <v>0.52457640455332322</v>
      </c>
      <c r="AG446" s="7">
        <f t="shared" si="89"/>
        <v>4.9572345173691401</v>
      </c>
    </row>
    <row r="447" spans="1:33" x14ac:dyDescent="0.25">
      <c r="A447" s="4" t="s">
        <v>87</v>
      </c>
      <c r="B447" s="4">
        <v>2024</v>
      </c>
      <c r="C447" s="4" t="s">
        <v>88</v>
      </c>
      <c r="D447" s="5">
        <f t="shared" si="90"/>
        <v>1</v>
      </c>
      <c r="E447" s="4">
        <v>28</v>
      </c>
      <c r="F447" s="4">
        <v>39</v>
      </c>
      <c r="G447" s="4">
        <v>27</v>
      </c>
      <c r="H447" s="4">
        <v>22</v>
      </c>
      <c r="I447" s="4"/>
      <c r="J447" s="4">
        <v>1194.5999999999999</v>
      </c>
      <c r="K447" s="4">
        <v>339</v>
      </c>
      <c r="L447" s="4">
        <v>10.509</v>
      </c>
      <c r="M447" s="4">
        <v>62.1</v>
      </c>
      <c r="N447" s="4">
        <v>30.1</v>
      </c>
      <c r="O447" s="4">
        <v>22.2</v>
      </c>
      <c r="P447" s="4">
        <v>10511</v>
      </c>
      <c r="Q447" s="6">
        <f t="shared" si="91"/>
        <v>8.798761091578772</v>
      </c>
      <c r="R447" s="4">
        <v>13</v>
      </c>
      <c r="S447" s="4">
        <v>5</v>
      </c>
      <c r="T447" s="6">
        <f t="shared" si="92"/>
        <v>1.5067805123053744</v>
      </c>
      <c r="U447" s="4">
        <v>30546.5</v>
      </c>
      <c r="V447" s="7">
        <f t="shared" si="93"/>
        <v>3.3322045101752038</v>
      </c>
      <c r="W447" s="7">
        <f t="shared" si="94"/>
        <v>5.8260001073804499</v>
      </c>
      <c r="X447" s="7">
        <f t="shared" si="95"/>
        <v>2.174610926525149</v>
      </c>
      <c r="Y447" s="7">
        <f t="shared" si="96"/>
        <v>10.327038128190678</v>
      </c>
      <c r="Z447" s="7">
        <f t="shared" si="82"/>
        <v>5.8260001073804499</v>
      </c>
      <c r="AA447" s="7">
        <f t="shared" si="83"/>
        <v>10.393000000000001</v>
      </c>
      <c r="AB447" s="7">
        <f t="shared" si="84"/>
        <v>60.92</v>
      </c>
      <c r="AC447" s="7">
        <f t="shared" si="85"/>
        <v>28.8</v>
      </c>
      <c r="AD447" s="7">
        <f t="shared" si="86"/>
        <v>29.2</v>
      </c>
      <c r="AE447" s="7">
        <f t="shared" si="87"/>
        <v>2.1258931339212706</v>
      </c>
      <c r="AF447" s="7">
        <f t="shared" si="88"/>
        <v>1.6</v>
      </c>
      <c r="AG447" s="7">
        <f t="shared" si="89"/>
        <v>10.286049030204001</v>
      </c>
    </row>
    <row r="448" spans="1:33" x14ac:dyDescent="0.25">
      <c r="A448" s="4" t="s">
        <v>89</v>
      </c>
      <c r="B448" s="4">
        <v>2024</v>
      </c>
      <c r="C448" s="4" t="s">
        <v>88</v>
      </c>
      <c r="D448" s="5">
        <f t="shared" si="90"/>
        <v>1</v>
      </c>
      <c r="E448" s="4">
        <v>51</v>
      </c>
      <c r="F448" s="4">
        <v>36</v>
      </c>
      <c r="G448" s="4">
        <v>47</v>
      </c>
      <c r="H448" s="4">
        <v>63</v>
      </c>
      <c r="I448" s="4"/>
      <c r="J448" s="4">
        <v>2870.6</v>
      </c>
      <c r="K448" s="4">
        <v>177.2</v>
      </c>
      <c r="L448" s="4">
        <v>15.816000000000001</v>
      </c>
      <c r="M448" s="4">
        <v>85.85</v>
      </c>
      <c r="N448" s="4">
        <v>23.8</v>
      </c>
      <c r="O448" s="4">
        <v>19.899999999999999</v>
      </c>
      <c r="P448" s="4">
        <v>83084.7</v>
      </c>
      <c r="Q448" s="6">
        <f t="shared" si="91"/>
        <v>28.943321953598552</v>
      </c>
      <c r="R448" s="4">
        <v>16</v>
      </c>
      <c r="S448" s="4">
        <v>7</v>
      </c>
      <c r="T448" s="6">
        <f t="shared" si="92"/>
        <v>0.80122622448268666</v>
      </c>
      <c r="U448" s="4">
        <v>14799.5</v>
      </c>
      <c r="V448" s="7">
        <f t="shared" si="93"/>
        <v>3.9318256327243257</v>
      </c>
      <c r="W448" s="7">
        <f t="shared" si="94"/>
        <v>5.1772790381709806</v>
      </c>
      <c r="X448" s="7">
        <f t="shared" si="95"/>
        <v>3.3653395022314503</v>
      </c>
      <c r="Y448" s="7">
        <f t="shared" si="96"/>
        <v>9.6024162429653313</v>
      </c>
      <c r="Z448" s="7">
        <f t="shared" ref="Z448:Z511" si="97">IF(B448=2017,"",W385)</f>
        <v>5.1143945283871082</v>
      </c>
      <c r="AA448" s="7">
        <f t="shared" ref="AA448:AA511" si="98">IF(B448=2017,"",L385)</f>
        <v>15.327</v>
      </c>
      <c r="AB448" s="7">
        <f t="shared" ref="AB448:AB511" si="99">IF(B448=2017,"",M385)</f>
        <v>84.22</v>
      </c>
      <c r="AC448" s="7">
        <f t="shared" ref="AC448:AC511" si="100">IF(B448=2017,"",N385)</f>
        <v>23.3</v>
      </c>
      <c r="AD448" s="7">
        <f t="shared" ref="AD448:AD511" si="101">IF(B448=2017,"",O385)</f>
        <v>25.5</v>
      </c>
      <c r="AE448" s="7">
        <f t="shared" ref="AE448:AE511" si="102">IF(B448=2017,"",X385)</f>
        <v>3.3145658741693884</v>
      </c>
      <c r="AF448" s="7">
        <f t="shared" ref="AF448:AF511" si="103">IF(B448=2017,"",T385)</f>
        <v>0.77920238010908838</v>
      </c>
      <c r="AG448" s="7">
        <f t="shared" ref="AG448:AG511" si="104">IF(B448=2017,"",Y385)</f>
        <v>9.5690771887933312</v>
      </c>
    </row>
    <row r="449" spans="1:33" x14ac:dyDescent="0.25">
      <c r="A449" s="4" t="s">
        <v>90</v>
      </c>
      <c r="B449" s="4">
        <v>2024</v>
      </c>
      <c r="C449" s="4" t="s">
        <v>88</v>
      </c>
      <c r="D449" s="5">
        <f t="shared" si="90"/>
        <v>1</v>
      </c>
      <c r="E449" s="4">
        <v>16</v>
      </c>
      <c r="F449" s="4">
        <v>18</v>
      </c>
      <c r="G449" s="4">
        <v>16</v>
      </c>
      <c r="H449" s="4">
        <v>15</v>
      </c>
      <c r="I449" s="4"/>
      <c r="J449" s="4">
        <v>1062.3</v>
      </c>
      <c r="K449" s="4">
        <v>107.6</v>
      </c>
      <c r="L449" s="4">
        <v>6.6920000000000002</v>
      </c>
      <c r="M449" s="4">
        <v>29.45</v>
      </c>
      <c r="N449" s="4">
        <v>21.6</v>
      </c>
      <c r="O449" s="4">
        <v>20.6</v>
      </c>
      <c r="P449" s="4">
        <v>4209</v>
      </c>
      <c r="Q449" s="6">
        <f t="shared" si="91"/>
        <v>3.9621575826037843</v>
      </c>
      <c r="R449" s="4">
        <v>7</v>
      </c>
      <c r="S449" s="4">
        <v>4</v>
      </c>
      <c r="T449" s="6">
        <f t="shared" si="92"/>
        <v>1.0354890332297844</v>
      </c>
      <c r="U449" s="4">
        <v>5035</v>
      </c>
      <c r="V449" s="7">
        <f t="shared" si="93"/>
        <v>2.7725887222397811</v>
      </c>
      <c r="W449" s="7">
        <f t="shared" si="94"/>
        <v>4.678420647727684</v>
      </c>
      <c r="X449" s="7">
        <f t="shared" si="95"/>
        <v>1.3767887209846028</v>
      </c>
      <c r="Y449" s="7">
        <f t="shared" si="96"/>
        <v>8.5243673951642371</v>
      </c>
      <c r="Z449" s="7">
        <f t="shared" si="97"/>
        <v>4.5496574760578321</v>
      </c>
      <c r="AA449" s="7">
        <f t="shared" si="98"/>
        <v>6.6909999999999998</v>
      </c>
      <c r="AB449" s="7">
        <f t="shared" si="99"/>
        <v>29.4</v>
      </c>
      <c r="AC449" s="7">
        <f t="shared" si="100"/>
        <v>20</v>
      </c>
      <c r="AD449" s="7">
        <f t="shared" si="101"/>
        <v>22.6</v>
      </c>
      <c r="AE449" s="7">
        <f t="shared" si="102"/>
        <v>1.234631418039809</v>
      </c>
      <c r="AF449" s="7">
        <f t="shared" si="103"/>
        <v>0.95648015303682454</v>
      </c>
      <c r="AG449" s="7">
        <f t="shared" si="104"/>
        <v>8.4073560037313317</v>
      </c>
    </row>
    <row r="450" spans="1:33" x14ac:dyDescent="0.25">
      <c r="A450" s="4" t="s">
        <v>91</v>
      </c>
      <c r="B450" s="4">
        <v>2024</v>
      </c>
      <c r="C450" s="4" t="s">
        <v>92</v>
      </c>
      <c r="D450" s="5">
        <f t="shared" si="90"/>
        <v>0</v>
      </c>
      <c r="E450" s="4">
        <v>20</v>
      </c>
      <c r="F450" s="4">
        <v>20</v>
      </c>
      <c r="G450" s="4">
        <v>25</v>
      </c>
      <c r="H450" s="4">
        <v>14</v>
      </c>
      <c r="I450" s="4"/>
      <c r="J450" s="4">
        <v>1266.2</v>
      </c>
      <c r="K450" s="4">
        <v>92</v>
      </c>
      <c r="L450" s="4">
        <v>4.6929999999999996</v>
      </c>
      <c r="M450" s="4">
        <v>38.6</v>
      </c>
      <c r="N450" s="4">
        <v>21.4</v>
      </c>
      <c r="O450" s="4">
        <v>11.9</v>
      </c>
      <c r="P450" s="4">
        <v>7463.4</v>
      </c>
      <c r="Q450" s="6">
        <f t="shared" si="91"/>
        <v>5.8943294898120353</v>
      </c>
      <c r="R450" s="4">
        <v>3</v>
      </c>
      <c r="S450" s="4">
        <v>2</v>
      </c>
      <c r="T450" s="6">
        <f t="shared" si="92"/>
        <v>0.39488232506712995</v>
      </c>
      <c r="U450" s="4">
        <v>3123</v>
      </c>
      <c r="V450" s="7">
        <f t="shared" si="93"/>
        <v>2.9957322735539909</v>
      </c>
      <c r="W450" s="7">
        <f t="shared" si="94"/>
        <v>4.5217885770490405</v>
      </c>
      <c r="X450" s="7">
        <f t="shared" si="95"/>
        <v>1.7739907853339476</v>
      </c>
      <c r="Y450" s="7">
        <f t="shared" si="96"/>
        <v>8.046869510959576</v>
      </c>
      <c r="Z450" s="7">
        <f t="shared" si="97"/>
        <v>4.4091553020621346</v>
      </c>
      <c r="AA450" s="7">
        <f t="shared" si="98"/>
        <v>4.7080000000000002</v>
      </c>
      <c r="AB450" s="7">
        <f t="shared" si="99"/>
        <v>38.6</v>
      </c>
      <c r="AC450" s="7">
        <f t="shared" si="100"/>
        <v>19.5</v>
      </c>
      <c r="AD450" s="7">
        <f t="shared" si="101"/>
        <v>19.899999999999999</v>
      </c>
      <c r="AE450" s="7">
        <f t="shared" si="102"/>
        <v>1.6732463053197808</v>
      </c>
      <c r="AF450" s="7">
        <f t="shared" si="103"/>
        <v>0.39720368605020656</v>
      </c>
      <c r="AG450" s="7">
        <f t="shared" si="104"/>
        <v>8.0261701949464257</v>
      </c>
    </row>
    <row r="451" spans="1:33" x14ac:dyDescent="0.25">
      <c r="A451" s="4" t="s">
        <v>93</v>
      </c>
      <c r="B451" s="4">
        <v>2024</v>
      </c>
      <c r="C451" s="4" t="s">
        <v>92</v>
      </c>
      <c r="D451" s="5">
        <f t="shared" si="90"/>
        <v>0</v>
      </c>
      <c r="E451" s="4">
        <v>21</v>
      </c>
      <c r="F451" s="4">
        <v>27</v>
      </c>
      <c r="G451" s="4">
        <v>24</v>
      </c>
      <c r="H451" s="4">
        <v>16</v>
      </c>
      <c r="I451" s="4"/>
      <c r="J451" s="4">
        <v>1518.5</v>
      </c>
      <c r="K451" s="4">
        <v>85.3</v>
      </c>
      <c r="L451" s="4">
        <v>5.5460000000000003</v>
      </c>
      <c r="M451" s="4">
        <v>41.34</v>
      </c>
      <c r="N451" s="4">
        <v>26.1</v>
      </c>
      <c r="O451" s="4">
        <v>18.399999999999999</v>
      </c>
      <c r="P451" s="4">
        <v>36025.9</v>
      </c>
      <c r="Q451" s="6">
        <f t="shared" si="91"/>
        <v>23.724662495884097</v>
      </c>
      <c r="R451" s="4">
        <v>9</v>
      </c>
      <c r="S451" s="4">
        <v>4</v>
      </c>
      <c r="T451" s="6">
        <f t="shared" si="92"/>
        <v>0.8561080013170892</v>
      </c>
      <c r="U451" s="4">
        <v>843.7</v>
      </c>
      <c r="V451" s="7">
        <f t="shared" si="93"/>
        <v>3.044522437723423</v>
      </c>
      <c r="W451" s="7">
        <f t="shared" si="94"/>
        <v>4.4461744544976334</v>
      </c>
      <c r="X451" s="7">
        <f t="shared" si="95"/>
        <v>3.1665151187207949</v>
      </c>
      <c r="Y451" s="7">
        <f t="shared" si="96"/>
        <v>6.7389815347334512</v>
      </c>
      <c r="Z451" s="7">
        <f t="shared" si="97"/>
        <v>4.3579900568456402</v>
      </c>
      <c r="AA451" s="7">
        <f t="shared" si="98"/>
        <v>5.3680000000000003</v>
      </c>
      <c r="AB451" s="7">
        <f t="shared" si="99"/>
        <v>41.22</v>
      </c>
      <c r="AC451" s="7">
        <f t="shared" si="100"/>
        <v>25.6</v>
      </c>
      <c r="AD451" s="7">
        <f t="shared" si="101"/>
        <v>20.7</v>
      </c>
      <c r="AE451" s="7">
        <f t="shared" si="102"/>
        <v>3.0736524047525142</v>
      </c>
      <c r="AF451" s="7">
        <f t="shared" si="103"/>
        <v>0.79665405297749459</v>
      </c>
      <c r="AG451" s="7">
        <f t="shared" si="104"/>
        <v>6.7289874003874797</v>
      </c>
    </row>
    <row r="452" spans="1:33" x14ac:dyDescent="0.25">
      <c r="A452" s="4" t="s">
        <v>94</v>
      </c>
      <c r="B452" s="4">
        <v>2024</v>
      </c>
      <c r="C452" s="4" t="s">
        <v>86</v>
      </c>
      <c r="D452" s="5">
        <f t="shared" si="90"/>
        <v>0</v>
      </c>
      <c r="E452" s="4">
        <v>14</v>
      </c>
      <c r="F452" s="4">
        <v>9</v>
      </c>
      <c r="G452" s="4">
        <v>23</v>
      </c>
      <c r="H452" s="4">
        <v>7</v>
      </c>
      <c r="I452" s="4"/>
      <c r="J452" s="4">
        <v>928.7</v>
      </c>
      <c r="K452" s="4">
        <v>70.8</v>
      </c>
      <c r="L452" s="4">
        <v>2.4630000000000001</v>
      </c>
      <c r="M452" s="4">
        <v>27.77</v>
      </c>
      <c r="N452" s="4">
        <v>14.3</v>
      </c>
      <c r="O452" s="4">
        <v>12.3</v>
      </c>
      <c r="P452" s="4">
        <v>3825.2</v>
      </c>
      <c r="Q452" s="6">
        <f t="shared" si="91"/>
        <v>4.1188758479595133</v>
      </c>
      <c r="R452" s="4">
        <v>7</v>
      </c>
      <c r="S452" s="4">
        <v>7</v>
      </c>
      <c r="T452" s="6">
        <f t="shared" si="92"/>
        <v>1.5074835791967267</v>
      </c>
      <c r="U452" s="4">
        <v>5058.3</v>
      </c>
      <c r="V452" s="7">
        <f t="shared" si="93"/>
        <v>2.6390573296152584</v>
      </c>
      <c r="W452" s="7">
        <f t="shared" si="94"/>
        <v>4.2598590006996737</v>
      </c>
      <c r="X452" s="7">
        <f t="shared" si="95"/>
        <v>1.4155802736934249</v>
      </c>
      <c r="Y452" s="7">
        <f t="shared" si="96"/>
        <v>8.5289834127907138</v>
      </c>
      <c r="Z452" s="7">
        <f t="shared" si="97"/>
        <v>4.1666652238017265</v>
      </c>
      <c r="AA452" s="7">
        <f t="shared" si="98"/>
        <v>2.5099999999999998</v>
      </c>
      <c r="AB452" s="7">
        <f t="shared" si="99"/>
        <v>27.76</v>
      </c>
      <c r="AC452" s="7">
        <f t="shared" si="100"/>
        <v>13.1</v>
      </c>
      <c r="AD452" s="7">
        <f t="shared" si="101"/>
        <v>14.1</v>
      </c>
      <c r="AE452" s="7">
        <f t="shared" si="102"/>
        <v>1.3538899662437562</v>
      </c>
      <c r="AF452" s="7">
        <f t="shared" si="103"/>
        <v>1.4051015996541287</v>
      </c>
      <c r="AG452" s="7">
        <f t="shared" si="104"/>
        <v>8.5282715986232382</v>
      </c>
    </row>
    <row r="453" spans="1:33" x14ac:dyDescent="0.25">
      <c r="A453" s="4" t="s">
        <v>95</v>
      </c>
      <c r="B453" s="4">
        <v>2024</v>
      </c>
      <c r="C453" s="4" t="s">
        <v>96</v>
      </c>
      <c r="D453" s="5">
        <f t="shared" ref="D453:D516" si="105">IF(OR(C453="ĐNB",C453="ĐBSH"),1,0)</f>
        <v>0</v>
      </c>
      <c r="E453" s="4">
        <v>22</v>
      </c>
      <c r="F453" s="4">
        <v>23</v>
      </c>
      <c r="G453" s="4">
        <v>27</v>
      </c>
      <c r="H453" s="4">
        <v>17</v>
      </c>
      <c r="I453" s="4"/>
      <c r="J453" s="4">
        <v>1962.6</v>
      </c>
      <c r="K453" s="4">
        <v>109.2</v>
      </c>
      <c r="L453" s="4">
        <v>4.8220000000000001</v>
      </c>
      <c r="M453" s="4">
        <v>24.23</v>
      </c>
      <c r="N453" s="4">
        <v>33.700000000000003</v>
      </c>
      <c r="O453" s="4">
        <v>19.3</v>
      </c>
      <c r="P453" s="4">
        <v>40093.300000000003</v>
      </c>
      <c r="Q453" s="6">
        <f t="shared" ref="Q453:Q516" si="106">IF(P453="","",P453/J453)</f>
        <v>20.428666055232856</v>
      </c>
      <c r="R453" s="4">
        <v>6</v>
      </c>
      <c r="S453" s="4">
        <v>6</v>
      </c>
      <c r="T453" s="6">
        <f t="shared" ref="T453:T516" si="107">(R453+S453)/J453*100</f>
        <v>0.61143381228981963</v>
      </c>
      <c r="U453" s="4">
        <v>6888.9</v>
      </c>
      <c r="V453" s="7">
        <f t="shared" ref="V453:V508" si="108">IF(E453="","",LN(E453))</f>
        <v>3.0910424533583161</v>
      </c>
      <c r="W453" s="7">
        <f t="shared" ref="W453:W508" si="109">IF(K453="","",LN(K453))</f>
        <v>4.6931810633108046</v>
      </c>
      <c r="X453" s="7">
        <f t="shared" ref="X453:X508" si="110">IF(Q453="","",LN(Q453))</f>
        <v>3.0169391132682017</v>
      </c>
      <c r="Y453" s="7">
        <f t="shared" ref="Y453:Y508" si="111">LN(1+U453)</f>
        <v>8.8378118501142797</v>
      </c>
      <c r="Z453" s="7">
        <f t="shared" si="97"/>
        <v>4.5664293576716606</v>
      </c>
      <c r="AA453" s="7">
        <f t="shared" si="98"/>
        <v>4.53</v>
      </c>
      <c r="AB453" s="7">
        <f t="shared" si="99"/>
        <v>19.73</v>
      </c>
      <c r="AC453" s="7">
        <f t="shared" si="100"/>
        <v>32.6</v>
      </c>
      <c r="AD453" s="7">
        <f t="shared" si="101"/>
        <v>23.5</v>
      </c>
      <c r="AE453" s="7">
        <f t="shared" si="102"/>
        <v>2.9524628072988284</v>
      </c>
      <c r="AF453" s="7">
        <f t="shared" si="103"/>
        <v>0.52010193998023613</v>
      </c>
      <c r="AG453" s="7">
        <f t="shared" si="104"/>
        <v>8.7743902828552987</v>
      </c>
    </row>
    <row r="454" spans="1:33" x14ac:dyDescent="0.25">
      <c r="A454" s="4" t="s">
        <v>97</v>
      </c>
      <c r="B454" s="4">
        <v>2024</v>
      </c>
      <c r="C454" s="4" t="s">
        <v>96</v>
      </c>
      <c r="D454" s="5">
        <f t="shared" si="105"/>
        <v>0</v>
      </c>
      <c r="E454" s="4">
        <v>11</v>
      </c>
      <c r="F454" s="4">
        <v>11</v>
      </c>
      <c r="G454" s="4">
        <v>14</v>
      </c>
      <c r="H454" s="4">
        <v>7</v>
      </c>
      <c r="I454" s="4"/>
      <c r="J454" s="4">
        <v>329.3</v>
      </c>
      <c r="K454" s="4">
        <v>57</v>
      </c>
      <c r="L454" s="4">
        <v>2.3199999999999998</v>
      </c>
      <c r="M454" s="4">
        <v>24.57</v>
      </c>
      <c r="N454" s="4">
        <v>29</v>
      </c>
      <c r="O454" s="4">
        <v>20.100000000000001</v>
      </c>
      <c r="P454" s="4">
        <v>5527.1</v>
      </c>
      <c r="Q454" s="6">
        <f t="shared" si="106"/>
        <v>16.784391132705739</v>
      </c>
      <c r="R454" s="4">
        <v>2</v>
      </c>
      <c r="S454" s="4">
        <v>1</v>
      </c>
      <c r="T454" s="6">
        <f t="shared" si="107"/>
        <v>0.91102338293349516</v>
      </c>
      <c r="U454" s="4">
        <v>97.5</v>
      </c>
      <c r="V454" s="7">
        <f t="shared" si="108"/>
        <v>2.3978952727983707</v>
      </c>
      <c r="W454" s="7">
        <f t="shared" si="109"/>
        <v>4.0430512678345503</v>
      </c>
      <c r="X454" s="7">
        <f t="shared" si="110"/>
        <v>2.8204493552852776</v>
      </c>
      <c r="Y454" s="7">
        <f t="shared" si="111"/>
        <v>4.5900565481780431</v>
      </c>
      <c r="Z454" s="7">
        <f t="shared" si="97"/>
        <v>3.949318790171843</v>
      </c>
      <c r="AA454" s="7">
        <f t="shared" si="98"/>
        <v>2.282</v>
      </c>
      <c r="AB454" s="7">
        <f t="shared" si="99"/>
        <v>24.07</v>
      </c>
      <c r="AC454" s="7">
        <f t="shared" si="100"/>
        <v>28</v>
      </c>
      <c r="AD454" s="7">
        <f t="shared" si="101"/>
        <v>16.8</v>
      </c>
      <c r="AE454" s="7">
        <f t="shared" si="102"/>
        <v>2.698716321347455</v>
      </c>
      <c r="AF454" s="7">
        <f t="shared" si="103"/>
        <v>0.91883614088820831</v>
      </c>
      <c r="AG454" s="7">
        <f t="shared" si="104"/>
        <v>4.6434288981051814</v>
      </c>
    </row>
    <row r="455" spans="1:33" x14ac:dyDescent="0.25">
      <c r="A455" s="4" t="s">
        <v>98</v>
      </c>
      <c r="B455" s="4">
        <v>2024</v>
      </c>
      <c r="C455" s="4" t="s">
        <v>99</v>
      </c>
      <c r="D455" s="5">
        <f t="shared" si="105"/>
        <v>1</v>
      </c>
      <c r="E455" s="4">
        <v>30</v>
      </c>
      <c r="F455" s="4">
        <v>27</v>
      </c>
      <c r="G455" s="4">
        <v>31</v>
      </c>
      <c r="H455" s="4">
        <v>29</v>
      </c>
      <c r="I455" s="4"/>
      <c r="J455" s="4">
        <v>1546.6</v>
      </c>
      <c r="K455" s="4">
        <v>159.1</v>
      </c>
      <c r="L455" s="4">
        <v>11.715999999999999</v>
      </c>
      <c r="M455" s="4">
        <v>50.94</v>
      </c>
      <c r="N455" s="4">
        <v>35.9</v>
      </c>
      <c r="O455" s="4">
        <v>25.8</v>
      </c>
      <c r="P455" s="4">
        <v>28001.599999999999</v>
      </c>
      <c r="Q455" s="6">
        <f t="shared" si="106"/>
        <v>18.105263157894736</v>
      </c>
      <c r="R455" s="4">
        <v>26</v>
      </c>
      <c r="S455" s="4">
        <v>3</v>
      </c>
      <c r="T455" s="6">
        <f t="shared" si="107"/>
        <v>1.8750808224492437</v>
      </c>
      <c r="U455" s="4">
        <v>20022.900000000001</v>
      </c>
      <c r="V455" s="7">
        <f t="shared" si="108"/>
        <v>3.4011973816621555</v>
      </c>
      <c r="W455" s="7">
        <f t="shared" si="109"/>
        <v>5.0695329353437408</v>
      </c>
      <c r="X455" s="7">
        <f t="shared" si="110"/>
        <v>2.8962026782069579</v>
      </c>
      <c r="Y455" s="7">
        <f t="shared" si="111"/>
        <v>9.904681839091948</v>
      </c>
      <c r="Z455" s="7">
        <f t="shared" si="97"/>
        <v>5.054333149361975</v>
      </c>
      <c r="AA455" s="7">
        <f t="shared" si="98"/>
        <v>10.885999999999999</v>
      </c>
      <c r="AB455" s="7">
        <f t="shared" si="99"/>
        <v>50.79</v>
      </c>
      <c r="AC455" s="7">
        <f t="shared" si="100"/>
        <v>34.4</v>
      </c>
      <c r="AD455" s="7">
        <f t="shared" si="101"/>
        <v>31.3</v>
      </c>
      <c r="AE455" s="7">
        <f t="shared" si="102"/>
        <v>2.8655055877825726</v>
      </c>
      <c r="AF455" s="7">
        <f t="shared" si="103"/>
        <v>1.8452616317384998</v>
      </c>
      <c r="AG455" s="7">
        <f t="shared" si="104"/>
        <v>9.7029062975185063</v>
      </c>
    </row>
    <row r="456" spans="1:33" x14ac:dyDescent="0.25">
      <c r="A456" s="4" t="s">
        <v>100</v>
      </c>
      <c r="B456" s="4">
        <v>2024</v>
      </c>
      <c r="C456" s="4" t="s">
        <v>86</v>
      </c>
      <c r="D456" s="5">
        <f t="shared" si="105"/>
        <v>0</v>
      </c>
      <c r="E456" s="4">
        <v>19</v>
      </c>
      <c r="F456" s="4">
        <v>22</v>
      </c>
      <c r="G456" s="4">
        <v>24</v>
      </c>
      <c r="H456" s="4">
        <v>12</v>
      </c>
      <c r="I456" s="4"/>
      <c r="J456" s="4">
        <v>1306.3</v>
      </c>
      <c r="K456" s="4">
        <v>56.4</v>
      </c>
      <c r="L456" s="4">
        <v>3.0470000000000002</v>
      </c>
      <c r="M456" s="4">
        <v>13.37</v>
      </c>
      <c r="N456" s="4">
        <v>13.7</v>
      </c>
      <c r="O456" s="4">
        <v>17.899999999999999</v>
      </c>
      <c r="P456" s="4">
        <v>5838.4</v>
      </c>
      <c r="Q456" s="6">
        <f t="shared" si="106"/>
        <v>4.4694174385669445</v>
      </c>
      <c r="R456" s="4">
        <v>4</v>
      </c>
      <c r="S456" s="4">
        <v>2</v>
      </c>
      <c r="T456" s="6">
        <f t="shared" si="107"/>
        <v>0.45931256219857614</v>
      </c>
      <c r="U456" s="4">
        <v>1227.0999999999999</v>
      </c>
      <c r="V456" s="7">
        <f t="shared" si="108"/>
        <v>2.9444389791664403</v>
      </c>
      <c r="W456" s="7">
        <f t="shared" si="109"/>
        <v>4.0324691585040133</v>
      </c>
      <c r="X456" s="7">
        <f t="shared" si="110"/>
        <v>1.4972580731896656</v>
      </c>
      <c r="Y456" s="7">
        <f t="shared" si="111"/>
        <v>7.1132235386163387</v>
      </c>
      <c r="Z456" s="7">
        <f t="shared" si="97"/>
        <v>3.9473901492654373</v>
      </c>
      <c r="AA456" s="7">
        <f t="shared" si="98"/>
        <v>2.9569999999999999</v>
      </c>
      <c r="AB456" s="7">
        <f t="shared" si="99"/>
        <v>13.11</v>
      </c>
      <c r="AC456" s="7">
        <f t="shared" si="100"/>
        <v>12.7</v>
      </c>
      <c r="AD456" s="7">
        <f t="shared" si="101"/>
        <v>13.9</v>
      </c>
      <c r="AE456" s="7">
        <f t="shared" si="102"/>
        <v>1.3894065761845245</v>
      </c>
      <c r="AF456" s="7">
        <f t="shared" si="103"/>
        <v>0.46178711613945972</v>
      </c>
      <c r="AG456" s="7">
        <f t="shared" si="104"/>
        <v>7.1163941440934648</v>
      </c>
    </row>
    <row r="457" spans="1:33" x14ac:dyDescent="0.25">
      <c r="A457" s="4" t="s">
        <v>101</v>
      </c>
      <c r="B457" s="4">
        <v>2024</v>
      </c>
      <c r="C457" s="4" t="s">
        <v>96</v>
      </c>
      <c r="D457" s="5">
        <f t="shared" si="105"/>
        <v>0</v>
      </c>
      <c r="E457" s="4"/>
      <c r="F457" s="4"/>
      <c r="G457" s="4"/>
      <c r="H457" s="4"/>
      <c r="I457" s="4"/>
      <c r="J457" s="4">
        <v>558.5</v>
      </c>
      <c r="K457" s="4">
        <v>44.2</v>
      </c>
      <c r="L457" s="4">
        <v>2.238</v>
      </c>
      <c r="M457" s="4">
        <v>25.46</v>
      </c>
      <c r="N457" s="4">
        <v>26.1</v>
      </c>
      <c r="O457" s="4">
        <v>13.8</v>
      </c>
      <c r="P457" s="4">
        <v>3532</v>
      </c>
      <c r="Q457" s="6">
        <f t="shared" si="106"/>
        <v>6.3240823634735897</v>
      </c>
      <c r="R457" s="4">
        <v>5</v>
      </c>
      <c r="S457" s="4">
        <v>0</v>
      </c>
      <c r="T457" s="6">
        <f t="shared" si="107"/>
        <v>0.89525514771709935</v>
      </c>
      <c r="U457" s="4">
        <v>37.1</v>
      </c>
      <c r="V457" s="7" t="str">
        <f t="shared" si="108"/>
        <v/>
      </c>
      <c r="W457" s="7">
        <f t="shared" si="109"/>
        <v>3.7887247890836524</v>
      </c>
      <c r="X457" s="7">
        <f t="shared" si="110"/>
        <v>1.8443649432145952</v>
      </c>
      <c r="Y457" s="7">
        <f t="shared" si="111"/>
        <v>3.6402142821326553</v>
      </c>
      <c r="Z457" s="7">
        <f t="shared" si="97"/>
        <v>3.713572066704308</v>
      </c>
      <c r="AA457" s="7">
        <f t="shared" si="98"/>
        <v>2.254</v>
      </c>
      <c r="AB457" s="7">
        <f t="shared" si="99"/>
        <v>25.46</v>
      </c>
      <c r="AC457" s="7">
        <f t="shared" si="100"/>
        <v>25.9</v>
      </c>
      <c r="AD457" s="7">
        <f t="shared" si="101"/>
        <v>14.7</v>
      </c>
      <c r="AE457" s="7">
        <f t="shared" si="102"/>
        <v>1.8679338089579274</v>
      </c>
      <c r="AF457" s="7">
        <f t="shared" si="103"/>
        <v>0.91257528746121563</v>
      </c>
      <c r="AG457" s="7">
        <f t="shared" si="104"/>
        <v>3.6584202466292277</v>
      </c>
    </row>
    <row r="458" spans="1:33" x14ac:dyDescent="0.25">
      <c r="A458" s="4" t="s">
        <v>102</v>
      </c>
      <c r="B458" s="4">
        <v>2024</v>
      </c>
      <c r="C458" s="4" t="s">
        <v>86</v>
      </c>
      <c r="D458" s="5">
        <f t="shared" si="105"/>
        <v>0</v>
      </c>
      <c r="E458" s="4">
        <v>16</v>
      </c>
      <c r="F458" s="4">
        <v>15</v>
      </c>
      <c r="G458" s="4">
        <v>23</v>
      </c>
      <c r="H458" s="4">
        <v>10</v>
      </c>
      <c r="I458" s="4"/>
      <c r="J458" s="4">
        <v>1212</v>
      </c>
      <c r="K458" s="4">
        <v>71.400000000000006</v>
      </c>
      <c r="L458" s="4">
        <v>3.1110000000000002</v>
      </c>
      <c r="M458" s="4">
        <v>23.51</v>
      </c>
      <c r="N458" s="4">
        <v>16.399999999999999</v>
      </c>
      <c r="O458" s="4">
        <v>12.3</v>
      </c>
      <c r="P458" s="4">
        <v>1408.1</v>
      </c>
      <c r="Q458" s="6">
        <f t="shared" si="106"/>
        <v>1.1617986798679867</v>
      </c>
      <c r="R458" s="4">
        <v>5</v>
      </c>
      <c r="S458" s="4">
        <v>2</v>
      </c>
      <c r="T458" s="6">
        <f t="shared" si="107"/>
        <v>0.57755775577557755</v>
      </c>
      <c r="U458" s="4">
        <v>133.69999999999999</v>
      </c>
      <c r="V458" s="7">
        <f t="shared" si="108"/>
        <v>2.7725887222397811</v>
      </c>
      <c r="W458" s="7">
        <f t="shared" si="109"/>
        <v>4.2682978693455391</v>
      </c>
      <c r="X458" s="7">
        <f t="shared" si="110"/>
        <v>0.14996939029400611</v>
      </c>
      <c r="Y458" s="7">
        <f t="shared" si="111"/>
        <v>4.9030500834163186</v>
      </c>
      <c r="Z458" s="7">
        <f t="shared" si="97"/>
        <v>4.165113633110308</v>
      </c>
      <c r="AA458" s="7">
        <f t="shared" si="98"/>
        <v>3.2210000000000001</v>
      </c>
      <c r="AB458" s="7">
        <f t="shared" si="99"/>
        <v>23.06</v>
      </c>
      <c r="AC458" s="7">
        <f t="shared" si="100"/>
        <v>15.1</v>
      </c>
      <c r="AD458" s="7">
        <f t="shared" si="101"/>
        <v>16.3</v>
      </c>
      <c r="AE458" s="7">
        <f t="shared" si="102"/>
        <v>4.0815368690784087E-2</v>
      </c>
      <c r="AF458" s="7">
        <f t="shared" si="103"/>
        <v>0.57975815802550934</v>
      </c>
      <c r="AG458" s="7">
        <f t="shared" si="104"/>
        <v>4.8605872978525966</v>
      </c>
    </row>
    <row r="459" spans="1:33" x14ac:dyDescent="0.25">
      <c r="A459" s="4" t="s">
        <v>103</v>
      </c>
      <c r="B459" s="4">
        <v>2024</v>
      </c>
      <c r="C459" s="4" t="s">
        <v>86</v>
      </c>
      <c r="D459" s="5">
        <f t="shared" si="105"/>
        <v>0</v>
      </c>
      <c r="E459" s="4">
        <v>28</v>
      </c>
      <c r="F459" s="4">
        <v>29</v>
      </c>
      <c r="G459" s="4">
        <v>33</v>
      </c>
      <c r="H459" s="4">
        <v>23</v>
      </c>
      <c r="I459" s="4"/>
      <c r="J459" s="4">
        <v>1271.7</v>
      </c>
      <c r="K459" s="4">
        <v>104.3</v>
      </c>
      <c r="L459" s="4">
        <v>8.5429999999999993</v>
      </c>
      <c r="M459" s="4">
        <v>70.67</v>
      </c>
      <c r="N459" s="4">
        <v>25.2</v>
      </c>
      <c r="O459" s="4">
        <v>20.8</v>
      </c>
      <c r="P459" s="4">
        <v>4029.3</v>
      </c>
      <c r="Q459" s="6">
        <f t="shared" si="106"/>
        <v>3.1684359518754421</v>
      </c>
      <c r="R459" s="4">
        <v>13</v>
      </c>
      <c r="S459" s="4">
        <v>5</v>
      </c>
      <c r="T459" s="6">
        <f t="shared" si="107"/>
        <v>1.4154281670205235</v>
      </c>
      <c r="U459" s="4">
        <v>1745.9</v>
      </c>
      <c r="V459" s="7">
        <f t="shared" si="108"/>
        <v>3.3322045101752038</v>
      </c>
      <c r="W459" s="7">
        <f t="shared" si="109"/>
        <v>4.6472713620067267</v>
      </c>
      <c r="X459" s="7">
        <f t="shared" si="110"/>
        <v>1.153238075556438</v>
      </c>
      <c r="Y459" s="7">
        <f t="shared" si="111"/>
        <v>7.4655980675111842</v>
      </c>
      <c r="Z459" s="7">
        <f t="shared" si="97"/>
        <v>4.5464811896394117</v>
      </c>
      <c r="AA459" s="7">
        <f t="shared" si="98"/>
        <v>8.3379999999999992</v>
      </c>
      <c r="AB459" s="7">
        <f t="shared" si="99"/>
        <v>70.52</v>
      </c>
      <c r="AC459" s="7">
        <f t="shared" si="100"/>
        <v>23.3</v>
      </c>
      <c r="AD459" s="7">
        <f t="shared" si="101"/>
        <v>31</v>
      </c>
      <c r="AE459" s="7">
        <f t="shared" si="102"/>
        <v>1.0432512147827513</v>
      </c>
      <c r="AF459" s="7">
        <f t="shared" si="103"/>
        <v>1.4298196838509809</v>
      </c>
      <c r="AG459" s="7">
        <f t="shared" si="104"/>
        <v>7.5003636341634694</v>
      </c>
    </row>
    <row r="460" spans="1:33" x14ac:dyDescent="0.25">
      <c r="A460" s="4" t="s">
        <v>104</v>
      </c>
      <c r="B460" s="4">
        <v>2024</v>
      </c>
      <c r="C460" s="4" t="s">
        <v>105</v>
      </c>
      <c r="D460" s="5">
        <f t="shared" si="105"/>
        <v>0</v>
      </c>
      <c r="E460" s="4">
        <v>15</v>
      </c>
      <c r="F460" s="4">
        <v>14</v>
      </c>
      <c r="G460" s="4">
        <v>16</v>
      </c>
      <c r="H460" s="4">
        <v>15</v>
      </c>
      <c r="I460" s="4"/>
      <c r="J460" s="4">
        <v>1634.9</v>
      </c>
      <c r="K460" s="4">
        <v>66.7</v>
      </c>
      <c r="L460" s="4">
        <v>3.39</v>
      </c>
      <c r="M460" s="4">
        <v>29.53</v>
      </c>
      <c r="N460" s="4">
        <v>16.2</v>
      </c>
      <c r="O460" s="4">
        <v>11.5</v>
      </c>
      <c r="P460" s="4">
        <v>18865.3</v>
      </c>
      <c r="Q460" s="6">
        <f t="shared" si="106"/>
        <v>11.539115542234997</v>
      </c>
      <c r="R460" s="4">
        <v>28</v>
      </c>
      <c r="S460" s="4">
        <v>3</v>
      </c>
      <c r="T460" s="6">
        <f t="shared" si="107"/>
        <v>1.8961404367239587</v>
      </c>
      <c r="U460" s="4">
        <v>56.9</v>
      </c>
      <c r="V460" s="7">
        <f t="shared" si="108"/>
        <v>2.7080502011022101</v>
      </c>
      <c r="W460" s="7">
        <f t="shared" si="109"/>
        <v>4.2002049529215784</v>
      </c>
      <c r="X460" s="7">
        <f t="shared" si="110"/>
        <v>2.4457426153554831</v>
      </c>
      <c r="Y460" s="7">
        <f t="shared" si="111"/>
        <v>4.0587173845789497</v>
      </c>
      <c r="Z460" s="7">
        <f t="shared" si="97"/>
        <v>4.0569887756783318</v>
      </c>
      <c r="AA460" s="7">
        <f t="shared" si="98"/>
        <v>3.3820000000000001</v>
      </c>
      <c r="AB460" s="7">
        <f t="shared" si="99"/>
        <v>29.44</v>
      </c>
      <c r="AC460" s="7">
        <f t="shared" si="100"/>
        <v>15.3</v>
      </c>
      <c r="AD460" s="7">
        <f t="shared" si="101"/>
        <v>15.9</v>
      </c>
      <c r="AE460" s="7">
        <f t="shared" si="102"/>
        <v>2.4558519854784486</v>
      </c>
      <c r="AF460" s="7">
        <f t="shared" si="103"/>
        <v>1.1772724456286014</v>
      </c>
      <c r="AG460" s="7">
        <f t="shared" si="104"/>
        <v>4.0707346965829672</v>
      </c>
    </row>
    <row r="461" spans="1:33" x14ac:dyDescent="0.25">
      <c r="A461" s="4" t="s">
        <v>106</v>
      </c>
      <c r="B461" s="4">
        <v>2024</v>
      </c>
      <c r="C461" s="4" t="s">
        <v>96</v>
      </c>
      <c r="D461" s="5">
        <f t="shared" si="105"/>
        <v>0</v>
      </c>
      <c r="E461" s="4"/>
      <c r="F461" s="4"/>
      <c r="G461" s="4"/>
      <c r="H461" s="4"/>
      <c r="I461" s="4"/>
      <c r="J461" s="4">
        <v>911.4</v>
      </c>
      <c r="K461" s="4">
        <v>37.799999999999997</v>
      </c>
      <c r="L461" s="4">
        <v>1.605</v>
      </c>
      <c r="M461" s="4">
        <v>16.3</v>
      </c>
      <c r="N461" s="4">
        <v>22.3</v>
      </c>
      <c r="O461" s="4">
        <v>11</v>
      </c>
      <c r="P461" s="4">
        <v>3918.8</v>
      </c>
      <c r="Q461" s="6">
        <f t="shared" si="106"/>
        <v>4.2997586131226688</v>
      </c>
      <c r="R461" s="4">
        <v>0</v>
      </c>
      <c r="S461" s="4">
        <v>1</v>
      </c>
      <c r="T461" s="6">
        <f t="shared" si="107"/>
        <v>0.10972130787798992</v>
      </c>
      <c r="U461" s="4">
        <v>4.5</v>
      </c>
      <c r="V461" s="7" t="str">
        <f t="shared" si="108"/>
        <v/>
      </c>
      <c r="W461" s="7">
        <f t="shared" si="109"/>
        <v>3.6323091026255421</v>
      </c>
      <c r="X461" s="7">
        <f t="shared" si="110"/>
        <v>1.4585588846407052</v>
      </c>
      <c r="Y461" s="7">
        <f t="shared" si="111"/>
        <v>1.7047480922384253</v>
      </c>
      <c r="Z461" s="7">
        <f t="shared" si="97"/>
        <v>3.5467396869528134</v>
      </c>
      <c r="AA461" s="7">
        <f t="shared" si="98"/>
        <v>1.5649999999999999</v>
      </c>
      <c r="AB461" s="7">
        <f t="shared" si="99"/>
        <v>16.12</v>
      </c>
      <c r="AC461" s="7">
        <f t="shared" si="100"/>
        <v>21</v>
      </c>
      <c r="AD461" s="7">
        <f t="shared" si="101"/>
        <v>8.9</v>
      </c>
      <c r="AE461" s="7">
        <f t="shared" si="102"/>
        <v>1.3054665358989463</v>
      </c>
      <c r="AF461" s="7">
        <f t="shared" si="103"/>
        <v>0</v>
      </c>
      <c r="AG461" s="7">
        <f t="shared" si="104"/>
        <v>1.7227665977411035</v>
      </c>
    </row>
    <row r="462" spans="1:33" x14ac:dyDescent="0.25">
      <c r="A462" s="4" t="s">
        <v>107</v>
      </c>
      <c r="B462" s="4">
        <v>2024</v>
      </c>
      <c r="C462" s="4" t="s">
        <v>99</v>
      </c>
      <c r="D462" s="5">
        <f t="shared" si="105"/>
        <v>1</v>
      </c>
      <c r="E462" s="4">
        <v>23</v>
      </c>
      <c r="F462" s="4">
        <v>28</v>
      </c>
      <c r="G462" s="4">
        <v>27</v>
      </c>
      <c r="H462" s="4">
        <v>16</v>
      </c>
      <c r="I462" s="4"/>
      <c r="J462" s="4">
        <v>894.2</v>
      </c>
      <c r="K462" s="4">
        <v>107.5</v>
      </c>
      <c r="L462" s="4">
        <v>6.5060000000000002</v>
      </c>
      <c r="M462" s="4">
        <v>28.74</v>
      </c>
      <c r="N462" s="4">
        <v>32.299999999999997</v>
      </c>
      <c r="O462" s="4">
        <v>13.9</v>
      </c>
      <c r="P462" s="4">
        <v>18551.2</v>
      </c>
      <c r="Q462" s="6">
        <f t="shared" si="106"/>
        <v>20.746141802728697</v>
      </c>
      <c r="R462" s="4">
        <v>6</v>
      </c>
      <c r="S462" s="4">
        <v>4</v>
      </c>
      <c r="T462" s="6">
        <f t="shared" si="107"/>
        <v>1.1183180496533214</v>
      </c>
      <c r="U462" s="4">
        <v>7398.1</v>
      </c>
      <c r="V462" s="7">
        <f t="shared" si="108"/>
        <v>3.1354942159291497</v>
      </c>
      <c r="W462" s="7">
        <f t="shared" si="109"/>
        <v>4.677490847567717</v>
      </c>
      <c r="X462" s="7">
        <f t="shared" si="110"/>
        <v>3.0323602921703454</v>
      </c>
      <c r="Y462" s="7">
        <f t="shared" si="111"/>
        <v>8.909113650174131</v>
      </c>
      <c r="Z462" s="7">
        <f t="shared" si="97"/>
        <v>4.5622626849768144</v>
      </c>
      <c r="AA462" s="7">
        <f t="shared" si="98"/>
        <v>6.1210000000000004</v>
      </c>
      <c r="AB462" s="7">
        <f t="shared" si="99"/>
        <v>28.2</v>
      </c>
      <c r="AC462" s="7">
        <f t="shared" si="100"/>
        <v>29.5</v>
      </c>
      <c r="AD462" s="7">
        <f t="shared" si="101"/>
        <v>18</v>
      </c>
      <c r="AE462" s="7">
        <f t="shared" si="102"/>
        <v>2.9797971999507391</v>
      </c>
      <c r="AF462" s="7">
        <f t="shared" si="103"/>
        <v>1.2416751326334801</v>
      </c>
      <c r="AG462" s="7">
        <f t="shared" si="104"/>
        <v>8.828757792331265</v>
      </c>
    </row>
    <row r="463" spans="1:33" x14ac:dyDescent="0.25">
      <c r="A463" s="4" t="s">
        <v>108</v>
      </c>
      <c r="B463" s="4">
        <v>2024</v>
      </c>
      <c r="C463" s="4" t="s">
        <v>99</v>
      </c>
      <c r="D463" s="5">
        <f t="shared" si="105"/>
        <v>1</v>
      </c>
      <c r="E463" s="4">
        <v>84</v>
      </c>
      <c r="F463" s="4">
        <v>97</v>
      </c>
      <c r="G463" s="4">
        <v>77</v>
      </c>
      <c r="H463" s="4">
        <v>85</v>
      </c>
      <c r="I463" s="4"/>
      <c r="J463" s="4">
        <v>8717.6</v>
      </c>
      <c r="K463" s="4">
        <v>162.9</v>
      </c>
      <c r="L463" s="4">
        <v>22.579000000000001</v>
      </c>
      <c r="M463" s="4">
        <v>49.11</v>
      </c>
      <c r="N463" s="4">
        <v>53.9</v>
      </c>
      <c r="O463" s="4">
        <v>43.9</v>
      </c>
      <c r="P463" s="4">
        <v>241008.8</v>
      </c>
      <c r="Q463" s="6">
        <f t="shared" si="106"/>
        <v>27.646232908139851</v>
      </c>
      <c r="R463" s="4">
        <v>131</v>
      </c>
      <c r="S463" s="4">
        <v>30</v>
      </c>
      <c r="T463" s="6">
        <f t="shared" si="107"/>
        <v>1.8468385794255298</v>
      </c>
      <c r="U463" s="4">
        <v>4856.7</v>
      </c>
      <c r="V463" s="7">
        <f t="shared" si="108"/>
        <v>4.4308167988433134</v>
      </c>
      <c r="W463" s="7">
        <f t="shared" si="109"/>
        <v>5.0931365156079993</v>
      </c>
      <c r="X463" s="7">
        <f t="shared" si="110"/>
        <v>3.3194894766662983</v>
      </c>
      <c r="Y463" s="7">
        <f t="shared" si="111"/>
        <v>8.4883203538471221</v>
      </c>
      <c r="Z463" s="7">
        <f t="shared" si="97"/>
        <v>5.0086332914255829</v>
      </c>
      <c r="AA463" s="7">
        <f t="shared" si="98"/>
        <v>22.382000000000001</v>
      </c>
      <c r="AB463" s="7">
        <f t="shared" si="99"/>
        <v>49.06</v>
      </c>
      <c r="AC463" s="7">
        <f t="shared" si="100"/>
        <v>50.8</v>
      </c>
      <c r="AD463" s="7">
        <f t="shared" si="101"/>
        <v>52.2</v>
      </c>
      <c r="AE463" s="7">
        <f t="shared" si="102"/>
        <v>3.1935935495764549</v>
      </c>
      <c r="AF463" s="7">
        <f t="shared" si="103"/>
        <v>1.8516146312491992</v>
      </c>
      <c r="AG463" s="7">
        <f t="shared" si="104"/>
        <v>8.4766211656511903</v>
      </c>
    </row>
    <row r="464" spans="1:33" x14ac:dyDescent="0.25">
      <c r="A464" s="4" t="s">
        <v>109</v>
      </c>
      <c r="B464" s="4">
        <v>2024</v>
      </c>
      <c r="C464" s="4" t="s">
        <v>92</v>
      </c>
      <c r="D464" s="5">
        <f t="shared" si="105"/>
        <v>0</v>
      </c>
      <c r="E464" s="4">
        <v>18</v>
      </c>
      <c r="F464" s="4">
        <v>18</v>
      </c>
      <c r="G464" s="4">
        <v>21</v>
      </c>
      <c r="H464" s="4">
        <v>14</v>
      </c>
      <c r="I464" s="4"/>
      <c r="J464" s="4">
        <v>1329.8</v>
      </c>
      <c r="K464" s="4">
        <v>82.8</v>
      </c>
      <c r="L464" s="4">
        <v>4.484</v>
      </c>
      <c r="M464" s="4">
        <v>22.59</v>
      </c>
      <c r="N464" s="4">
        <v>32.299999999999997</v>
      </c>
      <c r="O464" s="4">
        <v>21.1</v>
      </c>
      <c r="P464" s="4">
        <v>47519.3</v>
      </c>
      <c r="Q464" s="6">
        <f t="shared" si="106"/>
        <v>35.734170551962706</v>
      </c>
      <c r="R464" s="4">
        <v>4</v>
      </c>
      <c r="S464" s="4">
        <v>1</v>
      </c>
      <c r="T464" s="6">
        <f t="shared" si="107"/>
        <v>0.37599639043465183</v>
      </c>
      <c r="U464" s="4">
        <v>9090.1</v>
      </c>
      <c r="V464" s="7">
        <f t="shared" si="108"/>
        <v>2.8903717578961645</v>
      </c>
      <c r="W464" s="7">
        <f t="shared" si="109"/>
        <v>4.4164280613912137</v>
      </c>
      <c r="X464" s="7">
        <f t="shared" si="110"/>
        <v>3.5761073893199447</v>
      </c>
      <c r="Y464" s="7">
        <f t="shared" si="111"/>
        <v>9.1150511919513608</v>
      </c>
      <c r="Z464" s="7">
        <f t="shared" si="97"/>
        <v>4.3372907408324899</v>
      </c>
      <c r="AA464" s="7">
        <f t="shared" si="98"/>
        <v>4.3719999999999999</v>
      </c>
      <c r="AB464" s="7">
        <f t="shared" si="99"/>
        <v>22.51</v>
      </c>
      <c r="AC464" s="7">
        <f t="shared" si="100"/>
        <v>31.6</v>
      </c>
      <c r="AD464" s="7">
        <f t="shared" si="101"/>
        <v>16.3</v>
      </c>
      <c r="AE464" s="7">
        <f t="shared" si="102"/>
        <v>3.5347750450300257</v>
      </c>
      <c r="AF464" s="7">
        <f t="shared" si="103"/>
        <v>0.37772909269471933</v>
      </c>
      <c r="AG464" s="7">
        <f t="shared" si="104"/>
        <v>9.1196495066916796</v>
      </c>
    </row>
    <row r="465" spans="1:33" x14ac:dyDescent="0.25">
      <c r="A465" s="4" t="s">
        <v>110</v>
      </c>
      <c r="B465" s="4">
        <v>2024</v>
      </c>
      <c r="C465" s="4" t="s">
        <v>96</v>
      </c>
      <c r="D465" s="5">
        <f t="shared" si="105"/>
        <v>0</v>
      </c>
      <c r="E465" s="4">
        <v>14</v>
      </c>
      <c r="F465" s="4">
        <v>13</v>
      </c>
      <c r="G465" s="4">
        <v>19</v>
      </c>
      <c r="H465" s="4">
        <v>10</v>
      </c>
      <c r="I465" s="4"/>
      <c r="J465" s="4">
        <v>894.5</v>
      </c>
      <c r="K465" s="4">
        <v>79.400000000000006</v>
      </c>
      <c r="L465" s="4">
        <v>3.4889999999999999</v>
      </c>
      <c r="M465" s="4">
        <v>26.17</v>
      </c>
      <c r="N465" s="4">
        <v>25.6</v>
      </c>
      <c r="O465" s="4">
        <v>14.2</v>
      </c>
      <c r="P465" s="4">
        <v>9549.1</v>
      </c>
      <c r="Q465" s="6">
        <f t="shared" si="106"/>
        <v>10.675349357182784</v>
      </c>
      <c r="R465" s="4">
        <v>7</v>
      </c>
      <c r="S465" s="4">
        <v>3</v>
      </c>
      <c r="T465" s="6">
        <f t="shared" si="107"/>
        <v>1.1179429849077696</v>
      </c>
      <c r="U465" s="4">
        <v>890</v>
      </c>
      <c r="V465" s="7">
        <f t="shared" si="108"/>
        <v>2.6390573296152584</v>
      </c>
      <c r="W465" s="7">
        <f t="shared" si="109"/>
        <v>4.3744983682530902</v>
      </c>
      <c r="X465" s="7">
        <f t="shared" si="110"/>
        <v>2.367937285247359</v>
      </c>
      <c r="Y465" s="7">
        <f t="shared" si="111"/>
        <v>6.7923444274708089</v>
      </c>
      <c r="Z465" s="7">
        <f t="shared" si="97"/>
        <v>4.2456340097683265</v>
      </c>
      <c r="AA465" s="7">
        <f t="shared" si="98"/>
        <v>3.375</v>
      </c>
      <c r="AB465" s="7">
        <f t="shared" si="99"/>
        <v>25.68</v>
      </c>
      <c r="AC465" s="7">
        <f t="shared" si="100"/>
        <v>23.8</v>
      </c>
      <c r="AD465" s="7">
        <f t="shared" si="101"/>
        <v>18.399999999999999</v>
      </c>
      <c r="AE465" s="7">
        <f t="shared" si="102"/>
        <v>2.2822317178119582</v>
      </c>
      <c r="AF465" s="7">
        <f t="shared" si="103"/>
        <v>1.0221465076660987</v>
      </c>
      <c r="AG465" s="7">
        <f t="shared" si="104"/>
        <v>6.7878449823095792</v>
      </c>
    </row>
    <row r="466" spans="1:33" x14ac:dyDescent="0.25">
      <c r="A466" s="4" t="s">
        <v>111</v>
      </c>
      <c r="B466" s="4">
        <v>2024</v>
      </c>
      <c r="C466" s="4" t="s">
        <v>99</v>
      </c>
      <c r="D466" s="5">
        <f t="shared" si="105"/>
        <v>1</v>
      </c>
      <c r="E466" s="4">
        <v>27</v>
      </c>
      <c r="F466" s="4">
        <v>32</v>
      </c>
      <c r="G466" s="4">
        <v>28</v>
      </c>
      <c r="H466" s="4">
        <v>23</v>
      </c>
      <c r="I466" s="4"/>
      <c r="J466" s="4">
        <v>1318.1</v>
      </c>
      <c r="K466" s="4">
        <v>117.7</v>
      </c>
      <c r="L466" s="4">
        <v>8.2309999999999999</v>
      </c>
      <c r="M466" s="4">
        <v>17.09</v>
      </c>
      <c r="N466" s="4">
        <v>29.3</v>
      </c>
      <c r="O466" s="4">
        <v>23.6</v>
      </c>
      <c r="P466" s="4">
        <v>37649</v>
      </c>
      <c r="Q466" s="6">
        <f t="shared" si="106"/>
        <v>28.563083225855401</v>
      </c>
      <c r="R466" s="4">
        <v>25</v>
      </c>
      <c r="S466" s="4">
        <v>0</v>
      </c>
      <c r="T466" s="6">
        <f t="shared" si="107"/>
        <v>1.8966694484485247</v>
      </c>
      <c r="U466" s="4">
        <v>6811.5</v>
      </c>
      <c r="V466" s="7">
        <f t="shared" si="108"/>
        <v>3.2958368660043291</v>
      </c>
      <c r="W466" s="7">
        <f t="shared" si="109"/>
        <v>4.7681390142662314</v>
      </c>
      <c r="X466" s="7">
        <f t="shared" si="110"/>
        <v>3.3521150877319186</v>
      </c>
      <c r="Y466" s="7">
        <f t="shared" si="111"/>
        <v>8.8265144389714987</v>
      </c>
      <c r="Z466" s="7">
        <f t="shared" si="97"/>
        <v>4.6995708614095761</v>
      </c>
      <c r="AA466" s="7">
        <f t="shared" si="98"/>
        <v>7.4969999999999999</v>
      </c>
      <c r="AB466" s="7">
        <f t="shared" si="99"/>
        <v>16.989999999999998</v>
      </c>
      <c r="AC466" s="7">
        <f t="shared" si="100"/>
        <v>28.2</v>
      </c>
      <c r="AD466" s="7">
        <f t="shared" si="101"/>
        <v>27.3</v>
      </c>
      <c r="AE466" s="7">
        <f t="shared" si="102"/>
        <v>3.3154290302726985</v>
      </c>
      <c r="AF466" s="7">
        <f t="shared" si="103"/>
        <v>1.8447348193697155</v>
      </c>
      <c r="AG466" s="7">
        <f t="shared" si="104"/>
        <v>8.6638702992607257</v>
      </c>
    </row>
    <row r="467" spans="1:33" x14ac:dyDescent="0.25">
      <c r="A467" s="4" t="s">
        <v>112</v>
      </c>
      <c r="B467" s="4">
        <v>2024</v>
      </c>
      <c r="C467" s="4" t="s">
        <v>99</v>
      </c>
      <c r="D467" s="5">
        <f t="shared" si="105"/>
        <v>1</v>
      </c>
      <c r="E467" s="4">
        <v>21</v>
      </c>
      <c r="F467" s="4">
        <v>23</v>
      </c>
      <c r="G467" s="4">
        <v>27</v>
      </c>
      <c r="H467" s="4">
        <v>15</v>
      </c>
      <c r="I467" s="4"/>
      <c r="J467" s="4">
        <v>1978.2</v>
      </c>
      <c r="K467" s="4">
        <v>106.2</v>
      </c>
      <c r="L467" s="4">
        <v>6.0410000000000004</v>
      </c>
      <c r="M467" s="4">
        <v>31.87</v>
      </c>
      <c r="N467" s="4">
        <v>29.4</v>
      </c>
      <c r="O467" s="4">
        <v>23.1</v>
      </c>
      <c r="P467" s="4">
        <v>59323</v>
      </c>
      <c r="Q467" s="6">
        <f t="shared" si="106"/>
        <v>29.988373268628045</v>
      </c>
      <c r="R467" s="4">
        <v>6</v>
      </c>
      <c r="S467" s="4">
        <v>3</v>
      </c>
      <c r="T467" s="6">
        <f t="shared" si="107"/>
        <v>0.45495905368516831</v>
      </c>
      <c r="U467" s="4">
        <v>5656.7</v>
      </c>
      <c r="V467" s="7">
        <f t="shared" si="108"/>
        <v>3.044522437723423</v>
      </c>
      <c r="W467" s="7">
        <f t="shared" si="109"/>
        <v>4.6653241088078383</v>
      </c>
      <c r="X467" s="7">
        <f t="shared" si="110"/>
        <v>3.400809748829857</v>
      </c>
      <c r="Y467" s="7">
        <f t="shared" si="111"/>
        <v>8.6407727281864286</v>
      </c>
      <c r="Z467" s="7">
        <f t="shared" si="97"/>
        <v>4.5528237056158822</v>
      </c>
      <c r="AA467" s="7">
        <f t="shared" si="98"/>
        <v>5.7359999999999998</v>
      </c>
      <c r="AB467" s="7">
        <f t="shared" si="99"/>
        <v>31.68</v>
      </c>
      <c r="AC467" s="7">
        <f t="shared" si="100"/>
        <v>29.2</v>
      </c>
      <c r="AD467" s="7">
        <f t="shared" si="101"/>
        <v>27.2</v>
      </c>
      <c r="AE467" s="7">
        <f t="shared" si="102"/>
        <v>3.2946589515718152</v>
      </c>
      <c r="AF467" s="7">
        <f t="shared" si="103"/>
        <v>0.56211354693648108</v>
      </c>
      <c r="AG467" s="7">
        <f t="shared" si="104"/>
        <v>8.579303767479141</v>
      </c>
    </row>
    <row r="468" spans="1:33" x14ac:dyDescent="0.25">
      <c r="A468" s="4" t="s">
        <v>113</v>
      </c>
      <c r="B468" s="4">
        <v>2024</v>
      </c>
      <c r="C468" s="4" t="s">
        <v>99</v>
      </c>
      <c r="D468" s="5">
        <f t="shared" si="105"/>
        <v>1</v>
      </c>
      <c r="E468" s="4">
        <v>36</v>
      </c>
      <c r="F468" s="4">
        <v>40</v>
      </c>
      <c r="G468" s="4">
        <v>34</v>
      </c>
      <c r="H468" s="4">
        <v>36</v>
      </c>
      <c r="I468" s="4"/>
      <c r="J468" s="4">
        <v>2124.5</v>
      </c>
      <c r="K468" s="4">
        <v>206.2</v>
      </c>
      <c r="L468" s="4">
        <v>10.497999999999999</v>
      </c>
      <c r="M468" s="4">
        <v>45.67</v>
      </c>
      <c r="N468" s="4">
        <v>38</v>
      </c>
      <c r="O468" s="4">
        <v>26.1</v>
      </c>
      <c r="P468" s="4">
        <v>143077.70000000001</v>
      </c>
      <c r="Q468" s="6">
        <f t="shared" si="106"/>
        <v>67.34652859496353</v>
      </c>
      <c r="R468" s="4">
        <v>28</v>
      </c>
      <c r="S468" s="4">
        <v>11</v>
      </c>
      <c r="T468" s="6">
        <f t="shared" si="107"/>
        <v>1.8357260531889856</v>
      </c>
      <c r="U468" s="4">
        <v>15337.7</v>
      </c>
      <c r="V468" s="7">
        <f t="shared" si="108"/>
        <v>3.5835189384561099</v>
      </c>
      <c r="W468" s="7">
        <f t="shared" si="109"/>
        <v>5.3288465715828597</v>
      </c>
      <c r="X468" s="7">
        <f t="shared" si="110"/>
        <v>4.2098513587657651</v>
      </c>
      <c r="Y468" s="7">
        <f t="shared" si="111"/>
        <v>9.6381343255674103</v>
      </c>
      <c r="Z468" s="7">
        <f t="shared" si="97"/>
        <v>5.2208962195794522</v>
      </c>
      <c r="AA468" s="7">
        <f t="shared" si="98"/>
        <v>9.9939999999999998</v>
      </c>
      <c r="AB468" s="7">
        <f t="shared" si="99"/>
        <v>45.63</v>
      </c>
      <c r="AC468" s="7">
        <f t="shared" si="100"/>
        <v>36.5</v>
      </c>
      <c r="AD468" s="7">
        <f t="shared" si="101"/>
        <v>28.3</v>
      </c>
      <c r="AE468" s="7">
        <f t="shared" si="102"/>
        <v>4.1304894126587515</v>
      </c>
      <c r="AF468" s="7">
        <f t="shared" si="103"/>
        <v>1.8527315914489311</v>
      </c>
      <c r="AG468" s="7">
        <f t="shared" si="104"/>
        <v>9.5257567677856638</v>
      </c>
    </row>
    <row r="469" spans="1:33" x14ac:dyDescent="0.25">
      <c r="A469" s="4" t="s">
        <v>114</v>
      </c>
      <c r="B469" s="4">
        <v>2024</v>
      </c>
      <c r="C469" s="4" t="s">
        <v>86</v>
      </c>
      <c r="D469" s="5">
        <f t="shared" si="105"/>
        <v>0</v>
      </c>
      <c r="E469" s="4">
        <v>15</v>
      </c>
      <c r="F469" s="4">
        <v>13</v>
      </c>
      <c r="G469" s="4">
        <v>20</v>
      </c>
      <c r="H469" s="4">
        <v>10</v>
      </c>
      <c r="I469" s="4"/>
      <c r="J469" s="4">
        <v>730</v>
      </c>
      <c r="K469" s="4">
        <v>90.2</v>
      </c>
      <c r="L469" s="4">
        <v>3.9809999999999999</v>
      </c>
      <c r="M469" s="4">
        <v>28.11</v>
      </c>
      <c r="N469" s="4">
        <v>14.1</v>
      </c>
      <c r="O469" s="4">
        <v>21</v>
      </c>
      <c r="P469" s="4">
        <v>2662.4</v>
      </c>
      <c r="Q469" s="6">
        <f t="shared" si="106"/>
        <v>3.6471232876712332</v>
      </c>
      <c r="R469" s="4">
        <v>4</v>
      </c>
      <c r="S469" s="4">
        <v>1</v>
      </c>
      <c r="T469" s="6">
        <f t="shared" si="107"/>
        <v>0.68493150684931503</v>
      </c>
      <c r="U469" s="4">
        <v>1060.7</v>
      </c>
      <c r="V469" s="7">
        <f t="shared" si="108"/>
        <v>2.7080502011022101</v>
      </c>
      <c r="W469" s="7">
        <f t="shared" si="109"/>
        <v>4.5020294270685781</v>
      </c>
      <c r="X469" s="7">
        <f t="shared" si="110"/>
        <v>1.2939387164844527</v>
      </c>
      <c r="Y469" s="7">
        <f t="shared" si="111"/>
        <v>6.9676266760195276</v>
      </c>
      <c r="Z469" s="7">
        <f t="shared" si="97"/>
        <v>4.3757570216602861</v>
      </c>
      <c r="AA469" s="7">
        <f t="shared" si="98"/>
        <v>3.7349999999999999</v>
      </c>
      <c r="AB469" s="7">
        <f t="shared" si="99"/>
        <v>28.11</v>
      </c>
      <c r="AC469" s="7">
        <f t="shared" si="100"/>
        <v>13.7</v>
      </c>
      <c r="AD469" s="7">
        <f t="shared" si="101"/>
        <v>14.8</v>
      </c>
      <c r="AE469" s="7">
        <f t="shared" si="102"/>
        <v>1.4593842792877025</v>
      </c>
      <c r="AF469" s="7">
        <f t="shared" si="103"/>
        <v>0.68653027598517091</v>
      </c>
      <c r="AG469" s="7">
        <f t="shared" si="104"/>
        <v>6.9696966805223202</v>
      </c>
    </row>
    <row r="470" spans="1:33" x14ac:dyDescent="0.25">
      <c r="A470" s="4" t="s">
        <v>115</v>
      </c>
      <c r="B470" s="4">
        <v>2024</v>
      </c>
      <c r="C470" s="4" t="s">
        <v>92</v>
      </c>
      <c r="D470" s="5">
        <f t="shared" si="105"/>
        <v>0</v>
      </c>
      <c r="E470" s="4">
        <v>25</v>
      </c>
      <c r="F470" s="4">
        <v>35</v>
      </c>
      <c r="G470" s="4">
        <v>22</v>
      </c>
      <c r="H470" s="4">
        <v>22</v>
      </c>
      <c r="I470" s="4"/>
      <c r="J470" s="4">
        <v>1269.3</v>
      </c>
      <c r="K470" s="4">
        <v>104.3</v>
      </c>
      <c r="L470" s="4">
        <v>9.0359999999999996</v>
      </c>
      <c r="M470" s="4">
        <v>42.39</v>
      </c>
      <c r="N470" s="4">
        <v>26.2</v>
      </c>
      <c r="O470" s="4">
        <v>24.4</v>
      </c>
      <c r="P470" s="4">
        <v>29757.8</v>
      </c>
      <c r="Q470" s="6">
        <f t="shared" si="106"/>
        <v>23.444260616087607</v>
      </c>
      <c r="R470" s="4">
        <v>12</v>
      </c>
      <c r="S470" s="4">
        <v>10</v>
      </c>
      <c r="T470" s="6">
        <f t="shared" si="107"/>
        <v>1.7332387930355315</v>
      </c>
      <c r="U470" s="4">
        <v>3492.9</v>
      </c>
      <c r="V470" s="7">
        <f t="shared" si="108"/>
        <v>3.2188758248682006</v>
      </c>
      <c r="W470" s="7">
        <f t="shared" si="109"/>
        <v>4.6472713620067267</v>
      </c>
      <c r="X470" s="7">
        <f t="shared" si="110"/>
        <v>3.1546257150891464</v>
      </c>
      <c r="Y470" s="7">
        <f t="shared" si="111"/>
        <v>8.1587738697921548</v>
      </c>
      <c r="Z470" s="7">
        <f t="shared" si="97"/>
        <v>4.4830025520138834</v>
      </c>
      <c r="AA470" s="7">
        <f t="shared" si="98"/>
        <v>9.0820000000000007</v>
      </c>
      <c r="AB470" s="7">
        <f t="shared" si="99"/>
        <v>42.39</v>
      </c>
      <c r="AC470" s="7">
        <f t="shared" si="100"/>
        <v>25.3</v>
      </c>
      <c r="AD470" s="7">
        <f t="shared" si="101"/>
        <v>31.1</v>
      </c>
      <c r="AE470" s="7">
        <f t="shared" si="102"/>
        <v>3.0975907097764734</v>
      </c>
      <c r="AF470" s="7">
        <f t="shared" si="103"/>
        <v>1.8245280025384738</v>
      </c>
      <c r="AG470" s="7">
        <f t="shared" si="104"/>
        <v>8.1603468042105192</v>
      </c>
    </row>
    <row r="471" spans="1:33" x14ac:dyDescent="0.25">
      <c r="A471" s="4" t="s">
        <v>116</v>
      </c>
      <c r="B471" s="4">
        <v>2024</v>
      </c>
      <c r="C471" s="4" t="s">
        <v>86</v>
      </c>
      <c r="D471" s="5">
        <f t="shared" si="105"/>
        <v>0</v>
      </c>
      <c r="E471" s="4">
        <v>17</v>
      </c>
      <c r="F471" s="4">
        <v>15</v>
      </c>
      <c r="G471" s="4">
        <v>24</v>
      </c>
      <c r="H471" s="4">
        <v>12</v>
      </c>
      <c r="I471" s="4"/>
      <c r="J471" s="4">
        <v>1766.7</v>
      </c>
      <c r="K471" s="4">
        <v>81.099999999999994</v>
      </c>
      <c r="L471" s="4">
        <v>4.9249999999999998</v>
      </c>
      <c r="M471" s="4">
        <v>29.85</v>
      </c>
      <c r="N471" s="4">
        <v>17.399999999999999</v>
      </c>
      <c r="O471" s="4">
        <v>19.399999999999999</v>
      </c>
      <c r="P471" s="4">
        <v>3230.8</v>
      </c>
      <c r="Q471" s="6">
        <f t="shared" si="106"/>
        <v>1.8287202128261733</v>
      </c>
      <c r="R471" s="4">
        <v>84</v>
      </c>
      <c r="S471" s="4">
        <v>1</v>
      </c>
      <c r="T471" s="6">
        <f t="shared" si="107"/>
        <v>4.8112299767928901</v>
      </c>
      <c r="U471" s="4">
        <v>2735</v>
      </c>
      <c r="V471" s="7">
        <f t="shared" si="108"/>
        <v>2.8332133440562162</v>
      </c>
      <c r="W471" s="7">
        <f t="shared" si="109"/>
        <v>4.3956829611213672</v>
      </c>
      <c r="X471" s="7">
        <f t="shared" si="110"/>
        <v>0.60361638494950653</v>
      </c>
      <c r="Y471" s="7">
        <f t="shared" si="111"/>
        <v>7.914252278742441</v>
      </c>
      <c r="Z471" s="7">
        <f t="shared" si="97"/>
        <v>4.2835865618606288</v>
      </c>
      <c r="AA471" s="7">
        <f t="shared" si="98"/>
        <v>5.0250000000000004</v>
      </c>
      <c r="AB471" s="7">
        <f t="shared" si="99"/>
        <v>30.12</v>
      </c>
      <c r="AC471" s="7">
        <f t="shared" si="100"/>
        <v>16.8</v>
      </c>
      <c r="AD471" s="7">
        <f t="shared" si="101"/>
        <v>16.3</v>
      </c>
      <c r="AE471" s="7">
        <f t="shared" si="102"/>
        <v>0.57791387397611804</v>
      </c>
      <c r="AF471" s="7">
        <f t="shared" si="103"/>
        <v>5.4691505725517011</v>
      </c>
      <c r="AG471" s="7">
        <f t="shared" si="104"/>
        <v>7.9163334449462655</v>
      </c>
    </row>
    <row r="472" spans="1:33" x14ac:dyDescent="0.25">
      <c r="A472" s="4" t="s">
        <v>117</v>
      </c>
      <c r="B472" s="4">
        <v>2024</v>
      </c>
      <c r="C472" s="4" t="s">
        <v>105</v>
      </c>
      <c r="D472" s="5">
        <f t="shared" si="105"/>
        <v>0</v>
      </c>
      <c r="E472" s="4">
        <v>13</v>
      </c>
      <c r="F472" s="4">
        <v>12</v>
      </c>
      <c r="G472" s="4">
        <v>17</v>
      </c>
      <c r="H472" s="4">
        <v>10</v>
      </c>
      <c r="I472" s="4"/>
      <c r="J472" s="4">
        <v>601.79999999999995</v>
      </c>
      <c r="K472" s="4">
        <v>67.7</v>
      </c>
      <c r="L472" s="4">
        <v>3.6059999999999999</v>
      </c>
      <c r="M472" s="4">
        <v>32.369999999999997</v>
      </c>
      <c r="N472" s="4">
        <v>18.7</v>
      </c>
      <c r="O472" s="4">
        <v>21.7</v>
      </c>
      <c r="P472" s="4">
        <v>9465.2000000000007</v>
      </c>
      <c r="Q472" s="6">
        <f t="shared" si="106"/>
        <v>15.728148886673315</v>
      </c>
      <c r="R472" s="4">
        <v>4</v>
      </c>
      <c r="S472" s="4">
        <v>1</v>
      </c>
      <c r="T472" s="6">
        <f t="shared" si="107"/>
        <v>0.83084081090063144</v>
      </c>
      <c r="U472" s="4">
        <v>404.5</v>
      </c>
      <c r="V472" s="7">
        <f t="shared" si="108"/>
        <v>2.5649493574615367</v>
      </c>
      <c r="W472" s="7">
        <f t="shared" si="109"/>
        <v>4.2150861799182291</v>
      </c>
      <c r="X472" s="7">
        <f t="shared" si="110"/>
        <v>2.7554520297049514</v>
      </c>
      <c r="Y472" s="7">
        <f t="shared" si="111"/>
        <v>6.0051208735554678</v>
      </c>
      <c r="Z472" s="7">
        <f t="shared" si="97"/>
        <v>4.0775374439057197</v>
      </c>
      <c r="AA472" s="7">
        <f t="shared" si="98"/>
        <v>3.6360000000000001</v>
      </c>
      <c r="AB472" s="7">
        <f t="shared" si="99"/>
        <v>32.44</v>
      </c>
      <c r="AC472" s="7">
        <f t="shared" si="100"/>
        <v>17.8</v>
      </c>
      <c r="AD472" s="7">
        <f t="shared" si="101"/>
        <v>23.1</v>
      </c>
      <c r="AE472" s="7">
        <f t="shared" si="102"/>
        <v>2.665450879720793</v>
      </c>
      <c r="AF472" s="7">
        <f t="shared" si="103"/>
        <v>0.84559445290038915</v>
      </c>
      <c r="AG472" s="7">
        <f t="shared" si="104"/>
        <v>6.0224786006371511</v>
      </c>
    </row>
    <row r="473" spans="1:33" x14ac:dyDescent="0.25">
      <c r="A473" s="4" t="s">
        <v>118</v>
      </c>
      <c r="B473" s="4">
        <v>2024</v>
      </c>
      <c r="C473" s="4" t="s">
        <v>96</v>
      </c>
      <c r="D473" s="5">
        <f t="shared" si="105"/>
        <v>0</v>
      </c>
      <c r="E473" s="4"/>
      <c r="F473" s="4"/>
      <c r="G473" s="4"/>
      <c r="H473" s="4"/>
      <c r="I473" s="4"/>
      <c r="J473" s="4">
        <v>495.5</v>
      </c>
      <c r="K473" s="4">
        <v>60.4</v>
      </c>
      <c r="L473" s="4">
        <v>2.6030000000000002</v>
      </c>
      <c r="M473" s="4">
        <v>17.68</v>
      </c>
      <c r="N473" s="4">
        <v>23.8</v>
      </c>
      <c r="O473" s="4">
        <v>9.4</v>
      </c>
      <c r="P473" s="4">
        <v>2474.1</v>
      </c>
      <c r="Q473" s="6">
        <f t="shared" si="106"/>
        <v>4.9931382441977794</v>
      </c>
      <c r="R473" s="4">
        <v>4</v>
      </c>
      <c r="S473" s="4">
        <v>1</v>
      </c>
      <c r="T473" s="6">
        <f t="shared" si="107"/>
        <v>1.0090817356205852</v>
      </c>
      <c r="U473" s="4">
        <v>3</v>
      </c>
      <c r="V473" s="7" t="str">
        <f t="shared" si="108"/>
        <v/>
      </c>
      <c r="W473" s="7">
        <f t="shared" si="109"/>
        <v>4.1009891049407692</v>
      </c>
      <c r="X473" s="7">
        <f t="shared" si="110"/>
        <v>1.6080646187373766</v>
      </c>
      <c r="Y473" s="7">
        <f t="shared" si="111"/>
        <v>1.3862943611198906</v>
      </c>
      <c r="Z473" s="7">
        <f t="shared" si="97"/>
        <v>3.9278963545844361</v>
      </c>
      <c r="AA473" s="7">
        <f t="shared" si="98"/>
        <v>2.5569999999999999</v>
      </c>
      <c r="AB473" s="7">
        <f t="shared" si="99"/>
        <v>17.68</v>
      </c>
      <c r="AC473" s="7">
        <f t="shared" si="100"/>
        <v>23.8</v>
      </c>
      <c r="AD473" s="7">
        <f t="shared" si="101"/>
        <v>17</v>
      </c>
      <c r="AE473" s="7">
        <f t="shared" si="102"/>
        <v>1.5281068215031095</v>
      </c>
      <c r="AF473" s="7">
        <f t="shared" si="103"/>
        <v>1.226241569589209</v>
      </c>
      <c r="AG473" s="7">
        <f t="shared" si="104"/>
        <v>1.410986973710262</v>
      </c>
    </row>
    <row r="474" spans="1:33" x14ac:dyDescent="0.25">
      <c r="A474" s="4" t="s">
        <v>119</v>
      </c>
      <c r="B474" s="4">
        <v>2024</v>
      </c>
      <c r="C474" s="4" t="s">
        <v>86</v>
      </c>
      <c r="D474" s="5">
        <f t="shared" si="105"/>
        <v>0</v>
      </c>
      <c r="E474" s="4">
        <v>22</v>
      </c>
      <c r="F474" s="4">
        <v>26</v>
      </c>
      <c r="G474" s="4">
        <v>22</v>
      </c>
      <c r="H474" s="4">
        <v>20</v>
      </c>
      <c r="I474" s="4"/>
      <c r="J474" s="4">
        <v>1756.2</v>
      </c>
      <c r="K474" s="4">
        <v>103.5</v>
      </c>
      <c r="L474" s="4">
        <v>7.73</v>
      </c>
      <c r="M474" s="4">
        <v>18.61</v>
      </c>
      <c r="N474" s="4">
        <v>17.2</v>
      </c>
      <c r="O474" s="4">
        <v>19</v>
      </c>
      <c r="P474" s="4">
        <v>8796.7000000000007</v>
      </c>
      <c r="Q474" s="6">
        <f t="shared" si="106"/>
        <v>5.0089397562919942</v>
      </c>
      <c r="R474" s="4">
        <v>7</v>
      </c>
      <c r="S474" s="4">
        <v>1</v>
      </c>
      <c r="T474" s="6">
        <f t="shared" si="107"/>
        <v>0.45552898303154543</v>
      </c>
      <c r="U474" s="4">
        <v>8118.4</v>
      </c>
      <c r="V474" s="7">
        <f t="shared" si="108"/>
        <v>3.0910424533583161</v>
      </c>
      <c r="W474" s="7">
        <f t="shared" si="109"/>
        <v>4.6395716127054234</v>
      </c>
      <c r="X474" s="7">
        <f t="shared" si="110"/>
        <v>1.6112242672103196</v>
      </c>
      <c r="Y474" s="7">
        <f t="shared" si="111"/>
        <v>9.0020115387999873</v>
      </c>
      <c r="Z474" s="7">
        <f t="shared" si="97"/>
        <v>4.5390303834835466</v>
      </c>
      <c r="AA474" s="7">
        <f t="shared" si="98"/>
        <v>7.0049999999999999</v>
      </c>
      <c r="AB474" s="7">
        <f t="shared" si="99"/>
        <v>18.399999999999999</v>
      </c>
      <c r="AC474" s="7">
        <f t="shared" si="100"/>
        <v>15.9</v>
      </c>
      <c r="AD474" s="7">
        <f t="shared" si="101"/>
        <v>21.6</v>
      </c>
      <c r="AE474" s="7">
        <f t="shared" si="102"/>
        <v>1.5310142902595101</v>
      </c>
      <c r="AF474" s="7">
        <f t="shared" si="103"/>
        <v>0.45887346564184922</v>
      </c>
      <c r="AG474" s="7">
        <f t="shared" si="104"/>
        <v>8.96078867488567</v>
      </c>
    </row>
    <row r="475" spans="1:33" x14ac:dyDescent="0.25">
      <c r="A475" s="4" t="s">
        <v>120</v>
      </c>
      <c r="B475" s="4">
        <v>2024</v>
      </c>
      <c r="C475" s="4" t="s">
        <v>96</v>
      </c>
      <c r="D475" s="5">
        <f t="shared" si="105"/>
        <v>0</v>
      </c>
      <c r="E475" s="4">
        <v>20</v>
      </c>
      <c r="F475" s="4">
        <v>16</v>
      </c>
      <c r="G475" s="4">
        <v>24</v>
      </c>
      <c r="H475" s="4">
        <v>18</v>
      </c>
      <c r="I475" s="4"/>
      <c r="J475" s="4">
        <v>792.2</v>
      </c>
      <c r="K475" s="4">
        <v>93</v>
      </c>
      <c r="L475" s="4">
        <v>4.7409999999999997</v>
      </c>
      <c r="M475" s="4">
        <v>27.14</v>
      </c>
      <c r="N475" s="4">
        <v>24</v>
      </c>
      <c r="O475" s="4">
        <v>14.1</v>
      </c>
      <c r="P475" s="4">
        <v>8683.4</v>
      </c>
      <c r="Q475" s="6">
        <f t="shared" si="106"/>
        <v>10.961120929058318</v>
      </c>
      <c r="R475" s="4">
        <v>7</v>
      </c>
      <c r="S475" s="4">
        <v>2</v>
      </c>
      <c r="T475" s="6">
        <f t="shared" si="107"/>
        <v>1.1360767482958847</v>
      </c>
      <c r="U475" s="4">
        <v>827.8</v>
      </c>
      <c r="V475" s="7">
        <f t="shared" si="108"/>
        <v>2.9957322735539909</v>
      </c>
      <c r="W475" s="7">
        <f t="shared" si="109"/>
        <v>4.5325994931532563</v>
      </c>
      <c r="X475" s="7">
        <f t="shared" si="110"/>
        <v>2.3943545508393007</v>
      </c>
      <c r="Y475" s="7">
        <f t="shared" si="111"/>
        <v>6.7199788715052184</v>
      </c>
      <c r="Z475" s="7">
        <f t="shared" si="97"/>
        <v>4.4461744544976334</v>
      </c>
      <c r="AA475" s="7">
        <f t="shared" si="98"/>
        <v>4.6020000000000003</v>
      </c>
      <c r="AB475" s="7">
        <f t="shared" si="99"/>
        <v>27.05</v>
      </c>
      <c r="AC475" s="7">
        <f t="shared" si="100"/>
        <v>22.8</v>
      </c>
      <c r="AD475" s="7">
        <f t="shared" si="101"/>
        <v>14.7</v>
      </c>
      <c r="AE475" s="7">
        <f t="shared" si="102"/>
        <v>2.3051078729742289</v>
      </c>
      <c r="AF475" s="7">
        <f t="shared" si="103"/>
        <v>1.1539941018079241</v>
      </c>
      <c r="AG475" s="7">
        <f t="shared" si="104"/>
        <v>6.7356612423436184</v>
      </c>
    </row>
    <row r="476" spans="1:33" x14ac:dyDescent="0.25">
      <c r="A476" s="4" t="s">
        <v>121</v>
      </c>
      <c r="B476" s="4">
        <v>2024</v>
      </c>
      <c r="C476" s="4" t="s">
        <v>105</v>
      </c>
      <c r="D476" s="5">
        <f t="shared" si="105"/>
        <v>0</v>
      </c>
      <c r="E476" s="4">
        <v>26</v>
      </c>
      <c r="F476" s="4">
        <v>28</v>
      </c>
      <c r="G476" s="4">
        <v>24</v>
      </c>
      <c r="H476" s="4">
        <v>26</v>
      </c>
      <c r="I476" s="4"/>
      <c r="J476" s="4">
        <v>1362.5</v>
      </c>
      <c r="K476" s="4">
        <v>99.9</v>
      </c>
      <c r="L476" s="4">
        <v>5.9939999999999998</v>
      </c>
      <c r="M476" s="4">
        <v>39.659999999999997</v>
      </c>
      <c r="N476" s="4">
        <v>23</v>
      </c>
      <c r="O476" s="4">
        <v>30.1</v>
      </c>
      <c r="P476" s="4">
        <v>28954.7</v>
      </c>
      <c r="Q476" s="6">
        <f t="shared" si="106"/>
        <v>21.251155963302754</v>
      </c>
      <c r="R476" s="4">
        <v>5</v>
      </c>
      <c r="S476" s="4">
        <v>1</v>
      </c>
      <c r="T476" s="6">
        <f t="shared" si="107"/>
        <v>0.44036697247706424</v>
      </c>
      <c r="U476" s="4">
        <v>406.5</v>
      </c>
      <c r="V476" s="7">
        <f t="shared" si="108"/>
        <v>3.2580965380214821</v>
      </c>
      <c r="W476" s="7">
        <f t="shared" si="109"/>
        <v>4.604169685654508</v>
      </c>
      <c r="X476" s="7">
        <f t="shared" si="110"/>
        <v>3.0564112921639643</v>
      </c>
      <c r="Y476" s="7">
        <f t="shared" si="111"/>
        <v>6.0100409326809174</v>
      </c>
      <c r="Z476" s="7">
        <f t="shared" si="97"/>
        <v>4.4426512564903167</v>
      </c>
      <c r="AA476" s="7">
        <f t="shared" si="98"/>
        <v>6.1319999999999997</v>
      </c>
      <c r="AB476" s="7">
        <f t="shared" si="99"/>
        <v>39.380000000000003</v>
      </c>
      <c r="AC476" s="7">
        <f t="shared" si="100"/>
        <v>22.7</v>
      </c>
      <c r="AD476" s="7">
        <f t="shared" si="101"/>
        <v>33.200000000000003</v>
      </c>
      <c r="AE476" s="7">
        <f t="shared" si="102"/>
        <v>3.0583893790985237</v>
      </c>
      <c r="AF476" s="7">
        <f t="shared" si="103"/>
        <v>0.59479553903345728</v>
      </c>
      <c r="AG476" s="7">
        <f t="shared" si="104"/>
        <v>6.0287603318516787</v>
      </c>
    </row>
    <row r="477" spans="1:33" x14ac:dyDescent="0.25">
      <c r="A477" s="4" t="s">
        <v>122</v>
      </c>
      <c r="B477" s="4">
        <v>2024</v>
      </c>
      <c r="C477" s="4" t="s">
        <v>96</v>
      </c>
      <c r="D477" s="5">
        <f t="shared" si="105"/>
        <v>0</v>
      </c>
      <c r="E477" s="4">
        <v>13</v>
      </c>
      <c r="F477" s="4">
        <v>12</v>
      </c>
      <c r="G477" s="4">
        <v>17</v>
      </c>
      <c r="H477" s="4">
        <v>9</v>
      </c>
      <c r="I477" s="4"/>
      <c r="J477" s="4">
        <v>814</v>
      </c>
      <c r="K477" s="4">
        <v>62.4</v>
      </c>
      <c r="L477" s="4">
        <v>3.44</v>
      </c>
      <c r="M477" s="4">
        <v>23.62</v>
      </c>
      <c r="N477" s="4">
        <v>29</v>
      </c>
      <c r="O477" s="4">
        <v>12.1</v>
      </c>
      <c r="P477" s="4">
        <v>8106.6</v>
      </c>
      <c r="Q477" s="6">
        <f t="shared" si="106"/>
        <v>9.9589680589680594</v>
      </c>
      <c r="R477" s="4">
        <v>5</v>
      </c>
      <c r="S477" s="4">
        <v>3</v>
      </c>
      <c r="T477" s="6">
        <f t="shared" si="107"/>
        <v>0.98280098280098283</v>
      </c>
      <c r="U477" s="4">
        <v>632.70000000000005</v>
      </c>
      <c r="V477" s="7">
        <f t="shared" si="108"/>
        <v>2.5649493574615367</v>
      </c>
      <c r="W477" s="7">
        <f t="shared" si="109"/>
        <v>4.133565275375382</v>
      </c>
      <c r="X477" s="7">
        <f t="shared" si="110"/>
        <v>2.2984734576914283</v>
      </c>
      <c r="Y477" s="7">
        <f t="shared" si="111"/>
        <v>6.4515756563294717</v>
      </c>
      <c r="Z477" s="7">
        <f t="shared" si="97"/>
        <v>4.0569887756783318</v>
      </c>
      <c r="AA477" s="7">
        <f t="shared" si="98"/>
        <v>3.3919999999999999</v>
      </c>
      <c r="AB477" s="7">
        <f t="shared" si="99"/>
        <v>23.18</v>
      </c>
      <c r="AC477" s="7">
        <f t="shared" si="100"/>
        <v>27.6</v>
      </c>
      <c r="AD477" s="7">
        <f t="shared" si="101"/>
        <v>15.7</v>
      </c>
      <c r="AE477" s="7">
        <f t="shared" si="102"/>
        <v>2.1331566502704176</v>
      </c>
      <c r="AF477" s="7">
        <f t="shared" si="103"/>
        <v>0.99095751269664323</v>
      </c>
      <c r="AG477" s="7">
        <f t="shared" si="104"/>
        <v>6.4597479476082977</v>
      </c>
    </row>
    <row r="478" spans="1:33" x14ac:dyDescent="0.25">
      <c r="A478" s="4" t="s">
        <v>123</v>
      </c>
      <c r="B478" s="4">
        <v>2024</v>
      </c>
      <c r="C478" s="4" t="s">
        <v>99</v>
      </c>
      <c r="D478" s="5">
        <f t="shared" si="105"/>
        <v>1</v>
      </c>
      <c r="E478" s="4">
        <v>26</v>
      </c>
      <c r="F478" s="4">
        <v>29</v>
      </c>
      <c r="G478" s="4">
        <v>31</v>
      </c>
      <c r="H478" s="4">
        <v>19</v>
      </c>
      <c r="I478" s="4"/>
      <c r="J478" s="4">
        <v>1894.2</v>
      </c>
      <c r="K478" s="4">
        <v>58.7</v>
      </c>
      <c r="L478" s="4">
        <v>3.9430000000000001</v>
      </c>
      <c r="M478" s="4">
        <v>20.48</v>
      </c>
      <c r="N478" s="4">
        <v>23.8</v>
      </c>
      <c r="O478" s="4">
        <v>14.8</v>
      </c>
      <c r="P478" s="4">
        <v>20274.900000000001</v>
      </c>
      <c r="Q478" s="6">
        <f t="shared" si="106"/>
        <v>10.703674374406082</v>
      </c>
      <c r="R478" s="4">
        <v>22</v>
      </c>
      <c r="S478" s="4">
        <v>0</v>
      </c>
      <c r="T478" s="6">
        <f t="shared" si="107"/>
        <v>1.1614401858304297</v>
      </c>
      <c r="U478" s="4">
        <v>2307.9</v>
      </c>
      <c r="V478" s="7">
        <f t="shared" si="108"/>
        <v>3.2580965380214821</v>
      </c>
      <c r="W478" s="7">
        <f t="shared" si="109"/>
        <v>4.0724397268340509</v>
      </c>
      <c r="X478" s="7">
        <f t="shared" si="110"/>
        <v>2.3705870819969586</v>
      </c>
      <c r="Y478" s="7">
        <f t="shared" si="111"/>
        <v>7.7445264996249579</v>
      </c>
      <c r="Z478" s="7">
        <f t="shared" si="97"/>
        <v>3.9435216724875173</v>
      </c>
      <c r="AA478" s="7">
        <f t="shared" si="98"/>
        <v>3.7719999999999998</v>
      </c>
      <c r="AB478" s="7">
        <f t="shared" si="99"/>
        <v>20.420000000000002</v>
      </c>
      <c r="AC478" s="7">
        <f t="shared" si="100"/>
        <v>21.7</v>
      </c>
      <c r="AD478" s="7">
        <f t="shared" si="101"/>
        <v>20.5</v>
      </c>
      <c r="AE478" s="7">
        <f t="shared" si="102"/>
        <v>2.2432298019540498</v>
      </c>
      <c r="AF478" s="7">
        <f t="shared" si="103"/>
        <v>1.1128186105664777</v>
      </c>
      <c r="AG478" s="7">
        <f t="shared" si="104"/>
        <v>7.6741993886035393</v>
      </c>
    </row>
    <row r="479" spans="1:33" x14ac:dyDescent="0.25">
      <c r="A479" s="4" t="s">
        <v>124</v>
      </c>
      <c r="B479" s="4">
        <v>2024</v>
      </c>
      <c r="C479" s="4" t="s">
        <v>92</v>
      </c>
      <c r="D479" s="5">
        <f t="shared" si="105"/>
        <v>0</v>
      </c>
      <c r="E479" s="4">
        <v>22</v>
      </c>
      <c r="F479" s="4">
        <v>20</v>
      </c>
      <c r="G479" s="4">
        <v>22</v>
      </c>
      <c r="H479" s="4">
        <v>24</v>
      </c>
      <c r="I479" s="4"/>
      <c r="J479" s="4">
        <v>3472.3</v>
      </c>
      <c r="K479" s="4">
        <v>60.7</v>
      </c>
      <c r="L479" s="4">
        <v>4.1280000000000001</v>
      </c>
      <c r="M479" s="4">
        <v>15.72</v>
      </c>
      <c r="N479" s="4">
        <v>26.5</v>
      </c>
      <c r="O479" s="4">
        <v>17.8</v>
      </c>
      <c r="P479" s="4">
        <v>180570.4</v>
      </c>
      <c r="Q479" s="6">
        <f t="shared" si="106"/>
        <v>52.003110330328596</v>
      </c>
      <c r="R479" s="4">
        <v>96</v>
      </c>
      <c r="S479" s="4">
        <v>27</v>
      </c>
      <c r="T479" s="6">
        <f t="shared" si="107"/>
        <v>3.5423206520173944</v>
      </c>
      <c r="U479" s="4">
        <v>1637.7</v>
      </c>
      <c r="V479" s="7">
        <f t="shared" si="108"/>
        <v>3.0910424533583161</v>
      </c>
      <c r="W479" s="7">
        <f t="shared" si="109"/>
        <v>4.1059436980654525</v>
      </c>
      <c r="X479" s="7">
        <f t="shared" si="110"/>
        <v>3.9513035308374196</v>
      </c>
      <c r="Y479" s="7">
        <f t="shared" si="111"/>
        <v>7.4016585235521788</v>
      </c>
      <c r="Z479" s="7">
        <f t="shared" si="97"/>
        <v>4.0055133485154846</v>
      </c>
      <c r="AA479" s="7">
        <f t="shared" si="98"/>
        <v>3.9649999999999999</v>
      </c>
      <c r="AB479" s="7">
        <f t="shared" si="99"/>
        <v>15.69</v>
      </c>
      <c r="AC479" s="7">
        <f t="shared" si="100"/>
        <v>25.7</v>
      </c>
      <c r="AD479" s="7">
        <f t="shared" si="101"/>
        <v>18.100000000000001</v>
      </c>
      <c r="AE479" s="7">
        <f t="shared" si="102"/>
        <v>3.8512133359859355</v>
      </c>
      <c r="AF479" s="7">
        <f t="shared" si="103"/>
        <v>2.9633933759442184</v>
      </c>
      <c r="AG479" s="7">
        <f t="shared" si="104"/>
        <v>7.1087350175946247</v>
      </c>
    </row>
    <row r="480" spans="1:33" x14ac:dyDescent="0.25">
      <c r="A480" s="4" t="s">
        <v>125</v>
      </c>
      <c r="B480" s="4">
        <v>2024</v>
      </c>
      <c r="C480" s="4" t="s">
        <v>99</v>
      </c>
      <c r="D480" s="5">
        <f t="shared" si="105"/>
        <v>1</v>
      </c>
      <c r="E480" s="4">
        <v>24</v>
      </c>
      <c r="F480" s="4">
        <v>24</v>
      </c>
      <c r="G480" s="4">
        <v>27</v>
      </c>
      <c r="H480" s="4">
        <v>21</v>
      </c>
      <c r="I480" s="4"/>
      <c r="J480" s="4">
        <v>1030.3</v>
      </c>
      <c r="K480" s="4">
        <v>91.4</v>
      </c>
      <c r="L480" s="4">
        <v>5.6769999999999996</v>
      </c>
      <c r="M480" s="4">
        <v>21.81</v>
      </c>
      <c r="N480" s="4">
        <v>33.9</v>
      </c>
      <c r="O480" s="4">
        <v>26</v>
      </c>
      <c r="P480" s="4">
        <v>63154.400000000001</v>
      </c>
      <c r="Q480" s="6">
        <f t="shared" si="106"/>
        <v>61.29709793264098</v>
      </c>
      <c r="R480" s="4">
        <v>33</v>
      </c>
      <c r="S480" s="4">
        <v>2</v>
      </c>
      <c r="T480" s="6">
        <f t="shared" si="107"/>
        <v>3.3970688149082795</v>
      </c>
      <c r="U480" s="4">
        <v>1802.7</v>
      </c>
      <c r="V480" s="7">
        <f t="shared" si="108"/>
        <v>3.1780538303479458</v>
      </c>
      <c r="W480" s="7">
        <f t="shared" si="109"/>
        <v>4.5152454784601046</v>
      </c>
      <c r="X480" s="7">
        <f t="shared" si="110"/>
        <v>4.1157324997764873</v>
      </c>
      <c r="Y480" s="7">
        <f t="shared" si="111"/>
        <v>7.4975953896761531</v>
      </c>
      <c r="Z480" s="7">
        <f t="shared" si="97"/>
        <v>4.4212473478271628</v>
      </c>
      <c r="AA480" s="7">
        <f t="shared" si="98"/>
        <v>5.4859999999999998</v>
      </c>
      <c r="AB480" s="7">
        <f t="shared" si="99"/>
        <v>21.69</v>
      </c>
      <c r="AC480" s="7">
        <f t="shared" si="100"/>
        <v>33.6</v>
      </c>
      <c r="AD480" s="7">
        <f t="shared" si="101"/>
        <v>24.5</v>
      </c>
      <c r="AE480" s="7">
        <f t="shared" si="102"/>
        <v>3.9371821635260744</v>
      </c>
      <c r="AF480" s="7">
        <f t="shared" si="103"/>
        <v>3.4411562284927735</v>
      </c>
      <c r="AG480" s="7">
        <f t="shared" si="104"/>
        <v>7.4516481064523239</v>
      </c>
    </row>
    <row r="481" spans="1:33" x14ac:dyDescent="0.25">
      <c r="A481" s="4" t="s">
        <v>126</v>
      </c>
      <c r="B481" s="4">
        <v>2024</v>
      </c>
      <c r="C481" s="4" t="s">
        <v>92</v>
      </c>
      <c r="D481" s="5">
        <f t="shared" si="105"/>
        <v>0</v>
      </c>
      <c r="E481" s="4">
        <v>17</v>
      </c>
      <c r="F481" s="4">
        <v>20</v>
      </c>
      <c r="G481" s="4">
        <v>18</v>
      </c>
      <c r="H481" s="4">
        <v>13</v>
      </c>
      <c r="I481" s="4"/>
      <c r="J481" s="4">
        <v>612.70000000000005</v>
      </c>
      <c r="K481" s="4">
        <v>94.7</v>
      </c>
      <c r="L481" s="4">
        <v>5.2469999999999999</v>
      </c>
      <c r="M481" s="4">
        <v>36.18</v>
      </c>
      <c r="N481" s="4">
        <v>18.600000000000001</v>
      </c>
      <c r="O481" s="4">
        <v>14.3</v>
      </c>
      <c r="P481" s="4">
        <v>9647.5</v>
      </c>
      <c r="Q481" s="6">
        <f t="shared" si="106"/>
        <v>15.745878896686795</v>
      </c>
      <c r="R481" s="4">
        <v>6</v>
      </c>
      <c r="S481" s="4">
        <v>2</v>
      </c>
      <c r="T481" s="6">
        <f t="shared" si="107"/>
        <v>1.3056960992329034</v>
      </c>
      <c r="U481" s="4">
        <v>4353.8</v>
      </c>
      <c r="V481" s="7">
        <f t="shared" si="108"/>
        <v>2.8332133440562162</v>
      </c>
      <c r="W481" s="7">
        <f t="shared" si="109"/>
        <v>4.5507140001920323</v>
      </c>
      <c r="X481" s="7">
        <f t="shared" si="110"/>
        <v>2.7565786736801647</v>
      </c>
      <c r="Y481" s="7">
        <f t="shared" si="111"/>
        <v>8.379033964007025</v>
      </c>
      <c r="Z481" s="7">
        <f t="shared" si="97"/>
        <v>4.4485163759427149</v>
      </c>
      <c r="AA481" s="7">
        <f t="shared" si="98"/>
        <v>5.16</v>
      </c>
      <c r="AB481" s="7">
        <f t="shared" si="99"/>
        <v>35.5</v>
      </c>
      <c r="AC481" s="7">
        <f t="shared" si="100"/>
        <v>18.600000000000001</v>
      </c>
      <c r="AD481" s="7">
        <f t="shared" si="101"/>
        <v>18.399999999999999</v>
      </c>
      <c r="AE481" s="7">
        <f t="shared" si="102"/>
        <v>2.6536588840470872</v>
      </c>
      <c r="AF481" s="7">
        <f t="shared" si="103"/>
        <v>0.99800399201596801</v>
      </c>
      <c r="AG481" s="7">
        <f t="shared" si="104"/>
        <v>7.9624505105837899</v>
      </c>
    </row>
    <row r="482" spans="1:33" x14ac:dyDescent="0.25">
      <c r="A482" s="4" t="s">
        <v>127</v>
      </c>
      <c r="B482" s="4">
        <v>2024</v>
      </c>
      <c r="C482" s="4" t="s">
        <v>96</v>
      </c>
      <c r="D482" s="5">
        <f t="shared" si="105"/>
        <v>0</v>
      </c>
      <c r="E482" s="4">
        <v>21</v>
      </c>
      <c r="F482" s="4">
        <v>20</v>
      </c>
      <c r="G482" s="4">
        <v>26</v>
      </c>
      <c r="H482" s="4">
        <v>16</v>
      </c>
      <c r="I482" s="4"/>
      <c r="J482" s="4">
        <v>1543.9</v>
      </c>
      <c r="K482" s="4">
        <v>73.099999999999994</v>
      </c>
      <c r="L482" s="4">
        <v>4.4370000000000003</v>
      </c>
      <c r="M482" s="4">
        <v>19.52</v>
      </c>
      <c r="N482" s="4">
        <v>35.200000000000003</v>
      </c>
      <c r="O482" s="4">
        <v>29.3</v>
      </c>
      <c r="P482" s="4">
        <v>37585.599999999999</v>
      </c>
      <c r="Q482" s="6">
        <f t="shared" si="106"/>
        <v>24.344581902972987</v>
      </c>
      <c r="R482" s="4">
        <v>15</v>
      </c>
      <c r="S482" s="4">
        <v>4</v>
      </c>
      <c r="T482" s="6">
        <f t="shared" si="107"/>
        <v>1.230649653474966</v>
      </c>
      <c r="U482" s="4">
        <v>2323.1999999999998</v>
      </c>
      <c r="V482" s="7">
        <f t="shared" si="108"/>
        <v>3.044522437723423</v>
      </c>
      <c r="W482" s="7">
        <f t="shared" si="109"/>
        <v>4.2918283667557331</v>
      </c>
      <c r="X482" s="7">
        <f t="shared" si="110"/>
        <v>3.1923093156516198</v>
      </c>
      <c r="Y482" s="7">
        <f t="shared" si="111"/>
        <v>7.7511311727887735</v>
      </c>
      <c r="Z482" s="7">
        <f t="shared" si="97"/>
        <v>4.1759245492145238</v>
      </c>
      <c r="AA482" s="7">
        <f t="shared" si="98"/>
        <v>4.2779999999999996</v>
      </c>
      <c r="AB482" s="7">
        <f t="shared" si="99"/>
        <v>19.420000000000002</v>
      </c>
      <c r="AC482" s="7">
        <f t="shared" si="100"/>
        <v>34.1</v>
      </c>
      <c r="AD482" s="7">
        <f t="shared" si="101"/>
        <v>24.1</v>
      </c>
      <c r="AE482" s="7">
        <f t="shared" si="102"/>
        <v>3.1316354267149693</v>
      </c>
      <c r="AF482" s="7">
        <f t="shared" si="103"/>
        <v>1.3065064018813692</v>
      </c>
      <c r="AG482" s="7">
        <f t="shared" si="104"/>
        <v>7.6855193052619608</v>
      </c>
    </row>
    <row r="483" spans="1:33" x14ac:dyDescent="0.25">
      <c r="A483" s="4" t="s">
        <v>128</v>
      </c>
      <c r="B483" s="4">
        <v>2024</v>
      </c>
      <c r="C483" s="4" t="s">
        <v>92</v>
      </c>
      <c r="D483" s="5">
        <f t="shared" si="105"/>
        <v>0</v>
      </c>
      <c r="E483" s="4">
        <v>16</v>
      </c>
      <c r="F483" s="4">
        <v>18</v>
      </c>
      <c r="G483" s="4">
        <v>20</v>
      </c>
      <c r="H483" s="4">
        <v>11</v>
      </c>
      <c r="I483" s="4"/>
      <c r="J483" s="4">
        <v>885.2</v>
      </c>
      <c r="K483" s="4">
        <v>68.2</v>
      </c>
      <c r="L483" s="4">
        <v>3.9340000000000002</v>
      </c>
      <c r="M483" s="4">
        <v>33</v>
      </c>
      <c r="N483" s="4">
        <v>23.9</v>
      </c>
      <c r="O483" s="4">
        <v>19.8</v>
      </c>
      <c r="P483" s="4">
        <v>12062.3</v>
      </c>
      <c r="Q483" s="6">
        <f t="shared" si="106"/>
        <v>13.626638047898778</v>
      </c>
      <c r="R483" s="4">
        <v>3</v>
      </c>
      <c r="S483" s="4">
        <v>1</v>
      </c>
      <c r="T483" s="6">
        <f t="shared" si="107"/>
        <v>0.45187528242205149</v>
      </c>
      <c r="U483" s="4">
        <v>2075.4</v>
      </c>
      <c r="V483" s="7">
        <f t="shared" si="108"/>
        <v>2.7725887222397811</v>
      </c>
      <c r="W483" s="7">
        <f t="shared" si="109"/>
        <v>4.2224445648494164</v>
      </c>
      <c r="X483" s="7">
        <f t="shared" si="110"/>
        <v>2.6120265570220109</v>
      </c>
      <c r="Y483" s="7">
        <f t="shared" si="111"/>
        <v>7.6383909039530744</v>
      </c>
      <c r="Z483" s="7">
        <f t="shared" si="97"/>
        <v>4.1447207695471677</v>
      </c>
      <c r="AA483" s="7">
        <f t="shared" si="98"/>
        <v>3.871</v>
      </c>
      <c r="AB483" s="7">
        <f t="shared" si="99"/>
        <v>32.71</v>
      </c>
      <c r="AC483" s="7">
        <f t="shared" si="100"/>
        <v>23.1</v>
      </c>
      <c r="AD483" s="7">
        <f t="shared" si="101"/>
        <v>21</v>
      </c>
      <c r="AE483" s="7">
        <f t="shared" si="102"/>
        <v>2.5767721638564964</v>
      </c>
      <c r="AF483" s="7">
        <f t="shared" si="103"/>
        <v>0.45573658425430102</v>
      </c>
      <c r="AG483" s="7">
        <f t="shared" si="104"/>
        <v>7.7508299485250332</v>
      </c>
    </row>
    <row r="484" spans="1:33" x14ac:dyDescent="0.25">
      <c r="A484" s="4" t="s">
        <v>129</v>
      </c>
      <c r="B484" s="4">
        <v>2024</v>
      </c>
      <c r="C484" s="4" t="s">
        <v>92</v>
      </c>
      <c r="D484" s="5">
        <f t="shared" si="105"/>
        <v>0</v>
      </c>
      <c r="E484" s="4">
        <v>17</v>
      </c>
      <c r="F484" s="4">
        <v>15</v>
      </c>
      <c r="G484" s="4">
        <v>21</v>
      </c>
      <c r="H484" s="4">
        <v>14</v>
      </c>
      <c r="I484" s="4"/>
      <c r="J484" s="4">
        <v>924.8</v>
      </c>
      <c r="K484" s="4">
        <v>64.7</v>
      </c>
      <c r="L484" s="4">
        <v>5.6120000000000001</v>
      </c>
      <c r="M484" s="4">
        <v>23.5</v>
      </c>
      <c r="N484" s="4">
        <v>28.4</v>
      </c>
      <c r="O484" s="4">
        <v>15.4</v>
      </c>
      <c r="P484" s="4">
        <v>33295.1</v>
      </c>
      <c r="Q484" s="6">
        <f t="shared" si="106"/>
        <v>36.002487024221452</v>
      </c>
      <c r="R484" s="4">
        <v>8</v>
      </c>
      <c r="S484" s="4">
        <v>1</v>
      </c>
      <c r="T484" s="6">
        <f t="shared" si="107"/>
        <v>0.97318339100346019</v>
      </c>
      <c r="U484" s="4">
        <v>1207.0999999999999</v>
      </c>
      <c r="V484" s="7">
        <f t="shared" si="108"/>
        <v>2.8332133440562162</v>
      </c>
      <c r="W484" s="7">
        <f t="shared" si="109"/>
        <v>4.169761201506855</v>
      </c>
      <c r="X484" s="7">
        <f t="shared" si="110"/>
        <v>3.5835880200760712</v>
      </c>
      <c r="Y484" s="7">
        <f t="shared" si="111"/>
        <v>7.0968041565255184</v>
      </c>
      <c r="Z484" s="7">
        <f t="shared" si="97"/>
        <v>4.0826093060036799</v>
      </c>
      <c r="AA484" s="7">
        <f t="shared" si="98"/>
        <v>5.6340000000000003</v>
      </c>
      <c r="AB484" s="7">
        <f t="shared" si="99"/>
        <v>23.39</v>
      </c>
      <c r="AC484" s="7">
        <f t="shared" si="100"/>
        <v>27.7</v>
      </c>
      <c r="AD484" s="7">
        <f t="shared" si="101"/>
        <v>20.5</v>
      </c>
      <c r="AE484" s="7">
        <f t="shared" si="102"/>
        <v>3.484044469482082</v>
      </c>
      <c r="AF484" s="7">
        <f t="shared" si="103"/>
        <v>0.87079568956133657</v>
      </c>
      <c r="AG484" s="7">
        <f t="shared" si="104"/>
        <v>7.1034042959869534</v>
      </c>
    </row>
    <row r="485" spans="1:33" x14ac:dyDescent="0.25">
      <c r="A485" s="4" t="s">
        <v>130</v>
      </c>
      <c r="B485" s="4">
        <v>2024</v>
      </c>
      <c r="C485" s="4" t="s">
        <v>92</v>
      </c>
      <c r="D485" s="5">
        <f t="shared" si="105"/>
        <v>0</v>
      </c>
      <c r="E485" s="4">
        <v>20</v>
      </c>
      <c r="F485" s="4">
        <v>25</v>
      </c>
      <c r="G485" s="4">
        <v>23</v>
      </c>
      <c r="H485" s="4">
        <v>15</v>
      </c>
      <c r="I485" s="4"/>
      <c r="J485" s="4">
        <v>1543.9</v>
      </c>
      <c r="K485" s="4">
        <v>83.1</v>
      </c>
      <c r="L485" s="4">
        <v>5.468</v>
      </c>
      <c r="M485" s="4">
        <v>30.75</v>
      </c>
      <c r="N485" s="4">
        <v>28.5</v>
      </c>
      <c r="O485" s="4">
        <v>18</v>
      </c>
      <c r="P485" s="4">
        <v>22907.5</v>
      </c>
      <c r="Q485" s="6">
        <f t="shared" si="106"/>
        <v>14.837424703672516</v>
      </c>
      <c r="R485" s="4">
        <v>3</v>
      </c>
      <c r="S485" s="4">
        <v>0</v>
      </c>
      <c r="T485" s="6">
        <f t="shared" si="107"/>
        <v>0.19431310318025777</v>
      </c>
      <c r="U485" s="4">
        <v>4177</v>
      </c>
      <c r="V485" s="7">
        <f t="shared" si="108"/>
        <v>2.9957322735539909</v>
      </c>
      <c r="W485" s="7">
        <f t="shared" si="109"/>
        <v>4.4200447018614026</v>
      </c>
      <c r="X485" s="7">
        <f t="shared" si="110"/>
        <v>2.6971526851914871</v>
      </c>
      <c r="Y485" s="7">
        <f t="shared" si="111"/>
        <v>8.3375879421165102</v>
      </c>
      <c r="Z485" s="7">
        <f t="shared" si="97"/>
        <v>4.3320482648676402</v>
      </c>
      <c r="AA485" s="7">
        <f t="shared" si="98"/>
        <v>5.4539999999999997</v>
      </c>
      <c r="AB485" s="7">
        <f t="shared" si="99"/>
        <v>30.74</v>
      </c>
      <c r="AC485" s="7">
        <f t="shared" si="100"/>
        <v>27.5</v>
      </c>
      <c r="AD485" s="7">
        <f t="shared" si="101"/>
        <v>15.6</v>
      </c>
      <c r="AE485" s="7">
        <f t="shared" si="102"/>
        <v>2.6152570004470386</v>
      </c>
      <c r="AF485" s="7">
        <f t="shared" si="103"/>
        <v>0.19657951641438962</v>
      </c>
      <c r="AG485" s="7">
        <f t="shared" si="104"/>
        <v>8.3387361577244334</v>
      </c>
    </row>
    <row r="486" spans="1:33" x14ac:dyDescent="0.25">
      <c r="A486" s="4" t="s">
        <v>131</v>
      </c>
      <c r="B486" s="4">
        <v>2024</v>
      </c>
      <c r="C486" s="4" t="s">
        <v>92</v>
      </c>
      <c r="D486" s="5">
        <f t="shared" si="105"/>
        <v>0</v>
      </c>
      <c r="E486" s="4">
        <v>17</v>
      </c>
      <c r="F486" s="4">
        <v>20</v>
      </c>
      <c r="G486" s="4">
        <v>22</v>
      </c>
      <c r="H486" s="4">
        <v>11</v>
      </c>
      <c r="I486" s="4"/>
      <c r="J486" s="4">
        <v>1259.9000000000001</v>
      </c>
      <c r="K486" s="4">
        <v>104.3</v>
      </c>
      <c r="L486" s="4">
        <v>4.4930000000000003</v>
      </c>
      <c r="M486" s="4">
        <v>22.3</v>
      </c>
      <c r="N486" s="4">
        <v>27.4</v>
      </c>
      <c r="O486" s="4">
        <v>21.9</v>
      </c>
      <c r="P486" s="4">
        <v>17092.3</v>
      </c>
      <c r="Q486" s="6">
        <f t="shared" si="106"/>
        <v>13.566394158266528</v>
      </c>
      <c r="R486" s="4">
        <v>8</v>
      </c>
      <c r="S486" s="4">
        <v>2</v>
      </c>
      <c r="T486" s="6">
        <f t="shared" si="107"/>
        <v>0.79371378680847671</v>
      </c>
      <c r="U486" s="4">
        <v>1927.2</v>
      </c>
      <c r="V486" s="7">
        <f t="shared" si="108"/>
        <v>2.8332133440562162</v>
      </c>
      <c r="W486" s="7">
        <f t="shared" si="109"/>
        <v>4.6472713620067267</v>
      </c>
      <c r="X486" s="7">
        <f t="shared" si="110"/>
        <v>2.6075957169644401</v>
      </c>
      <c r="Y486" s="7">
        <f t="shared" si="111"/>
        <v>7.5643422042302797</v>
      </c>
      <c r="Z486" s="7">
        <f t="shared" si="97"/>
        <v>4.6141299273595635</v>
      </c>
      <c r="AA486" s="7">
        <f t="shared" si="98"/>
        <v>4.5919999999999996</v>
      </c>
      <c r="AB486" s="7">
        <f t="shared" si="99"/>
        <v>21.87</v>
      </c>
      <c r="AC486" s="7">
        <f t="shared" si="100"/>
        <v>26.1</v>
      </c>
      <c r="AD486" s="7">
        <f t="shared" si="101"/>
        <v>21.7</v>
      </c>
      <c r="AE486" s="7">
        <f t="shared" si="102"/>
        <v>2.5484130705097932</v>
      </c>
      <c r="AF486" s="7">
        <f t="shared" si="103"/>
        <v>0.72109606602035092</v>
      </c>
      <c r="AG486" s="7">
        <f t="shared" si="104"/>
        <v>7.5147452630909077</v>
      </c>
    </row>
    <row r="487" spans="1:33" x14ac:dyDescent="0.25">
      <c r="A487" s="4" t="s">
        <v>132</v>
      </c>
      <c r="B487" s="4">
        <v>2024</v>
      </c>
      <c r="C487" s="4" t="s">
        <v>99</v>
      </c>
      <c r="D487" s="5">
        <f t="shared" si="105"/>
        <v>1</v>
      </c>
      <c r="E487" s="4">
        <v>26</v>
      </c>
      <c r="F487" s="4">
        <v>27</v>
      </c>
      <c r="G487" s="4">
        <v>29</v>
      </c>
      <c r="H487" s="4">
        <v>23</v>
      </c>
      <c r="I487" s="4"/>
      <c r="J487" s="4">
        <v>1396.5</v>
      </c>
      <c r="K487" s="4">
        <v>234.1</v>
      </c>
      <c r="L487" s="4">
        <v>7.7060000000000004</v>
      </c>
      <c r="M487" s="4">
        <v>69.34</v>
      </c>
      <c r="N487" s="4">
        <v>42.4</v>
      </c>
      <c r="O487" s="4">
        <v>6.7</v>
      </c>
      <c r="P487" s="4">
        <v>95237.3</v>
      </c>
      <c r="Q487" s="6">
        <f t="shared" si="106"/>
        <v>68.197135696383825</v>
      </c>
      <c r="R487" s="4">
        <v>26</v>
      </c>
      <c r="S487" s="4">
        <v>7</v>
      </c>
      <c r="T487" s="6">
        <f t="shared" si="107"/>
        <v>2.3630504833512354</v>
      </c>
      <c r="U487" s="4">
        <v>11602.1</v>
      </c>
      <c r="V487" s="7">
        <f t="shared" si="108"/>
        <v>3.2580965380214821</v>
      </c>
      <c r="W487" s="7">
        <f t="shared" si="109"/>
        <v>5.4557483744968653</v>
      </c>
      <c r="X487" s="7">
        <f t="shared" si="110"/>
        <v>4.2224025653807038</v>
      </c>
      <c r="Y487" s="7">
        <f t="shared" si="111"/>
        <v>9.3590275827711498</v>
      </c>
      <c r="Z487" s="7">
        <f t="shared" si="97"/>
        <v>5.3622306922916891</v>
      </c>
      <c r="AA487" s="7">
        <f t="shared" si="98"/>
        <v>7.4489999999999998</v>
      </c>
      <c r="AB487" s="7">
        <f t="shared" si="99"/>
        <v>67.36</v>
      </c>
      <c r="AC487" s="7">
        <f t="shared" si="100"/>
        <v>41.9</v>
      </c>
      <c r="AD487" s="7">
        <f t="shared" si="101"/>
        <v>17</v>
      </c>
      <c r="AE487" s="7">
        <f t="shared" si="102"/>
        <v>3.9967676005152759</v>
      </c>
      <c r="AF487" s="7">
        <f t="shared" si="103"/>
        <v>2.3892267593397043</v>
      </c>
      <c r="AG487" s="7">
        <f t="shared" si="104"/>
        <v>9.1526265097857102</v>
      </c>
    </row>
    <row r="488" spans="1:33" x14ac:dyDescent="0.25">
      <c r="A488" s="4" t="s">
        <v>133</v>
      </c>
      <c r="B488" s="4">
        <v>2024</v>
      </c>
      <c r="C488" s="4" t="s">
        <v>92</v>
      </c>
      <c r="D488" s="5">
        <f t="shared" si="105"/>
        <v>0</v>
      </c>
      <c r="E488" s="4">
        <v>17</v>
      </c>
      <c r="F488" s="4">
        <v>15</v>
      </c>
      <c r="G488" s="4">
        <v>21</v>
      </c>
      <c r="H488" s="4">
        <v>14</v>
      </c>
      <c r="I488" s="4"/>
      <c r="J488" s="4">
        <v>659.2</v>
      </c>
      <c r="K488" s="4">
        <v>77</v>
      </c>
      <c r="L488" s="4">
        <v>5.0620000000000003</v>
      </c>
      <c r="M488" s="4">
        <v>32.770000000000003</v>
      </c>
      <c r="N488" s="4">
        <v>30</v>
      </c>
      <c r="O488" s="4">
        <v>24.5</v>
      </c>
      <c r="P488" s="4">
        <v>14126.7</v>
      </c>
      <c r="Q488" s="6">
        <f t="shared" si="106"/>
        <v>21.430066747572816</v>
      </c>
      <c r="R488" s="4">
        <v>39</v>
      </c>
      <c r="S488" s="4">
        <v>2</v>
      </c>
      <c r="T488" s="6">
        <f t="shared" si="107"/>
        <v>6.2196601941747565</v>
      </c>
      <c r="U488" s="4">
        <v>3980.7</v>
      </c>
      <c r="V488" s="7">
        <f t="shared" si="108"/>
        <v>2.8332133440562162</v>
      </c>
      <c r="W488" s="7">
        <f t="shared" si="109"/>
        <v>4.3438054218536841</v>
      </c>
      <c r="X488" s="7">
        <f t="shared" si="110"/>
        <v>3.0647949241597212</v>
      </c>
      <c r="Y488" s="7">
        <f t="shared" si="111"/>
        <v>8.2894641427603997</v>
      </c>
      <c r="Z488" s="7">
        <f t="shared" si="97"/>
        <v>4.2612704335380815</v>
      </c>
      <c r="AA488" s="7">
        <f t="shared" si="98"/>
        <v>5.1349999999999998</v>
      </c>
      <c r="AB488" s="7">
        <f t="shared" si="99"/>
        <v>32.76</v>
      </c>
      <c r="AC488" s="7">
        <f t="shared" si="100"/>
        <v>28</v>
      </c>
      <c r="AD488" s="7">
        <f t="shared" si="101"/>
        <v>28</v>
      </c>
      <c r="AE488" s="7">
        <f t="shared" si="102"/>
        <v>3.0069198408392999</v>
      </c>
      <c r="AF488" s="7">
        <f t="shared" si="103"/>
        <v>6.1143381228981957</v>
      </c>
      <c r="AG488" s="7">
        <f t="shared" si="104"/>
        <v>8.2586037931677296</v>
      </c>
    </row>
    <row r="489" spans="1:33" x14ac:dyDescent="0.25">
      <c r="A489" s="4" t="s">
        <v>134</v>
      </c>
      <c r="B489" s="4">
        <v>2024</v>
      </c>
      <c r="C489" s="4" t="s">
        <v>86</v>
      </c>
      <c r="D489" s="5">
        <f t="shared" si="105"/>
        <v>0</v>
      </c>
      <c r="E489" s="4">
        <v>14</v>
      </c>
      <c r="F489" s="4">
        <v>11</v>
      </c>
      <c r="G489" s="4">
        <v>22</v>
      </c>
      <c r="H489" s="4">
        <v>8</v>
      </c>
      <c r="I489" s="4"/>
      <c r="J489" s="4">
        <v>1205.3</v>
      </c>
      <c r="K489" s="4">
        <v>65.599999999999994</v>
      </c>
      <c r="L489" s="4">
        <v>2.452</v>
      </c>
      <c r="M489" s="4">
        <v>34.11</v>
      </c>
      <c r="N489" s="4">
        <v>12.9</v>
      </c>
      <c r="O489" s="4">
        <v>10.5</v>
      </c>
      <c r="P489" s="4">
        <v>8147.4</v>
      </c>
      <c r="Q489" s="6">
        <f t="shared" si="106"/>
        <v>6.7596449016842284</v>
      </c>
      <c r="R489" s="4">
        <v>45</v>
      </c>
      <c r="S489" s="4">
        <v>2</v>
      </c>
      <c r="T489" s="6">
        <f t="shared" si="107"/>
        <v>3.8994441217954035</v>
      </c>
      <c r="U489" s="4">
        <v>372</v>
      </c>
      <c r="V489" s="7">
        <f t="shared" si="108"/>
        <v>2.6390573296152584</v>
      </c>
      <c r="W489" s="7">
        <f t="shared" si="109"/>
        <v>4.1835756959500436</v>
      </c>
      <c r="X489" s="7">
        <f t="shared" si="110"/>
        <v>1.9109703593385061</v>
      </c>
      <c r="Y489" s="7">
        <f t="shared" si="111"/>
        <v>5.9215784196438159</v>
      </c>
      <c r="Z489" s="7">
        <f t="shared" si="97"/>
        <v>4.0926765051214034</v>
      </c>
      <c r="AA489" s="7">
        <f t="shared" si="98"/>
        <v>2.387</v>
      </c>
      <c r="AB489" s="7">
        <f t="shared" si="99"/>
        <v>33.869999999999997</v>
      </c>
      <c r="AC489" s="7">
        <f t="shared" si="100"/>
        <v>12.2</v>
      </c>
      <c r="AD489" s="7">
        <f t="shared" si="101"/>
        <v>15</v>
      </c>
      <c r="AE489" s="7">
        <f t="shared" si="102"/>
        <v>1.7353662339180389</v>
      </c>
      <c r="AF489" s="7">
        <f t="shared" si="103"/>
        <v>3.9205872539205879</v>
      </c>
      <c r="AG489" s="7">
        <f t="shared" si="104"/>
        <v>5.8897086381535946</v>
      </c>
    </row>
    <row r="490" spans="1:33" x14ac:dyDescent="0.25">
      <c r="A490" s="4" t="s">
        <v>135</v>
      </c>
      <c r="B490" s="4">
        <v>2024</v>
      </c>
      <c r="C490" s="4" t="s">
        <v>96</v>
      </c>
      <c r="D490" s="5">
        <f t="shared" si="105"/>
        <v>0</v>
      </c>
      <c r="E490" s="4"/>
      <c r="F490" s="4"/>
      <c r="G490" s="4"/>
      <c r="H490" s="4"/>
      <c r="I490" s="4"/>
      <c r="J490" s="4">
        <v>1330.6</v>
      </c>
      <c r="K490" s="4">
        <v>57.4</v>
      </c>
      <c r="L490" s="4">
        <v>1.7110000000000001</v>
      </c>
      <c r="M490" s="4">
        <v>14.41</v>
      </c>
      <c r="N490" s="4">
        <v>19.2</v>
      </c>
      <c r="O490" s="4">
        <v>13.8</v>
      </c>
      <c r="P490" s="4">
        <v>7662.6</v>
      </c>
      <c r="Q490" s="6">
        <f t="shared" si="106"/>
        <v>5.7587554486697741</v>
      </c>
      <c r="R490" s="4">
        <v>4</v>
      </c>
      <c r="S490" s="4">
        <v>1</v>
      </c>
      <c r="T490" s="6">
        <f t="shared" si="107"/>
        <v>0.3757703291748084</v>
      </c>
      <c r="U490" s="4">
        <v>102</v>
      </c>
      <c r="V490" s="7" t="str">
        <f t="shared" si="108"/>
        <v/>
      </c>
      <c r="W490" s="7">
        <f t="shared" si="109"/>
        <v>4.0500443033255209</v>
      </c>
      <c r="X490" s="7">
        <f t="shared" si="110"/>
        <v>1.7507213834224844</v>
      </c>
      <c r="Y490" s="7">
        <f t="shared" si="111"/>
        <v>4.6347289882296359</v>
      </c>
      <c r="Z490" s="7">
        <f t="shared" si="97"/>
        <v>3.9278963545844361</v>
      </c>
      <c r="AA490" s="7">
        <f t="shared" si="98"/>
        <v>1.667</v>
      </c>
      <c r="AB490" s="7">
        <f t="shared" si="99"/>
        <v>14.13</v>
      </c>
      <c r="AC490" s="7">
        <f t="shared" si="100"/>
        <v>19</v>
      </c>
      <c r="AD490" s="7">
        <f t="shared" si="101"/>
        <v>15.3</v>
      </c>
      <c r="AE490" s="7">
        <f t="shared" si="102"/>
        <v>1.6575570585714956</v>
      </c>
      <c r="AF490" s="7">
        <f t="shared" si="103"/>
        <v>0.38072032285083379</v>
      </c>
      <c r="AG490" s="7">
        <f t="shared" si="104"/>
        <v>4.6472713620067267</v>
      </c>
    </row>
    <row r="491" spans="1:33" x14ac:dyDescent="0.25">
      <c r="A491" s="4" t="s">
        <v>136</v>
      </c>
      <c r="B491" s="4">
        <v>2024</v>
      </c>
      <c r="C491" s="4" t="s">
        <v>88</v>
      </c>
      <c r="D491" s="5">
        <f t="shared" si="105"/>
        <v>1</v>
      </c>
      <c r="E491" s="4">
        <v>87</v>
      </c>
      <c r="F491" s="4">
        <v>98</v>
      </c>
      <c r="G491" s="4">
        <v>73</v>
      </c>
      <c r="H491" s="4">
        <v>96</v>
      </c>
      <c r="I491" s="4"/>
      <c r="J491" s="4">
        <v>9543.6</v>
      </c>
      <c r="K491" s="4">
        <v>184.7</v>
      </c>
      <c r="L491" s="4">
        <v>28.277999999999999</v>
      </c>
      <c r="M491" s="4">
        <v>77.84</v>
      </c>
      <c r="N491" s="4">
        <v>37.5</v>
      </c>
      <c r="O491" s="4">
        <v>40.4</v>
      </c>
      <c r="P491" s="4">
        <v>146629.6</v>
      </c>
      <c r="Q491" s="6">
        <f t="shared" si="106"/>
        <v>15.364181231401149</v>
      </c>
      <c r="R491" s="4">
        <v>273</v>
      </c>
      <c r="S491" s="4">
        <v>52</v>
      </c>
      <c r="T491" s="6">
        <f t="shared" si="107"/>
        <v>3.4054235299048572</v>
      </c>
      <c r="U491" s="4">
        <v>6177.6</v>
      </c>
      <c r="V491" s="7">
        <f t="shared" si="108"/>
        <v>4.4659081186545837</v>
      </c>
      <c r="W491" s="7">
        <f t="shared" si="109"/>
        <v>5.2187328872051939</v>
      </c>
      <c r="X491" s="7">
        <f t="shared" si="110"/>
        <v>2.7320389062615984</v>
      </c>
      <c r="Y491" s="7">
        <f t="shared" si="111"/>
        <v>8.728846987571476</v>
      </c>
      <c r="Z491" s="7">
        <f t="shared" si="97"/>
        <v>5.1293068238137547</v>
      </c>
      <c r="AA491" s="7">
        <f t="shared" si="98"/>
        <v>28.876000000000001</v>
      </c>
      <c r="AB491" s="7">
        <f t="shared" si="99"/>
        <v>77.66</v>
      </c>
      <c r="AC491" s="7">
        <f t="shared" si="100"/>
        <v>36</v>
      </c>
      <c r="AD491" s="7">
        <f t="shared" si="101"/>
        <v>52.4</v>
      </c>
      <c r="AE491" s="7">
        <f t="shared" si="102"/>
        <v>2.5606313407704517</v>
      </c>
      <c r="AF491" s="7">
        <f t="shared" si="103"/>
        <v>3.330971692027874</v>
      </c>
      <c r="AG491" s="7">
        <f t="shared" si="104"/>
        <v>8.7140256210606033</v>
      </c>
    </row>
    <row r="492" spans="1:33" x14ac:dyDescent="0.25">
      <c r="A492" s="4" t="s">
        <v>137</v>
      </c>
      <c r="B492" s="4">
        <v>2024</v>
      </c>
      <c r="C492" s="4" t="s">
        <v>92</v>
      </c>
      <c r="D492" s="5">
        <f t="shared" si="105"/>
        <v>0</v>
      </c>
      <c r="E492" s="4">
        <v>23</v>
      </c>
      <c r="F492" s="4">
        <v>21</v>
      </c>
      <c r="G492" s="4">
        <v>26</v>
      </c>
      <c r="H492" s="4">
        <v>22</v>
      </c>
      <c r="I492" s="4"/>
      <c r="J492" s="4">
        <v>3764.2</v>
      </c>
      <c r="K492" s="4">
        <v>81.3</v>
      </c>
      <c r="L492" s="4">
        <v>4.4729999999999999</v>
      </c>
      <c r="M492" s="4">
        <v>28.11</v>
      </c>
      <c r="N492" s="4">
        <v>27.9</v>
      </c>
      <c r="O492" s="4">
        <v>14.8</v>
      </c>
      <c r="P492" s="4">
        <v>78029.5</v>
      </c>
      <c r="Q492" s="6">
        <f t="shared" si="106"/>
        <v>20.729371446788164</v>
      </c>
      <c r="R492" s="4">
        <v>27</v>
      </c>
      <c r="S492" s="4">
        <v>2</v>
      </c>
      <c r="T492" s="6">
        <f t="shared" si="107"/>
        <v>0.77041602465331283</v>
      </c>
      <c r="U492" s="4">
        <v>4132.3</v>
      </c>
      <c r="V492" s="7">
        <f t="shared" si="108"/>
        <v>3.1354942159291497</v>
      </c>
      <c r="W492" s="7">
        <f t="shared" si="109"/>
        <v>4.3981460165537651</v>
      </c>
      <c r="X492" s="7">
        <f t="shared" si="110"/>
        <v>3.0315516050419387</v>
      </c>
      <c r="Y492" s="7">
        <f t="shared" si="111"/>
        <v>8.3268313983763704</v>
      </c>
      <c r="Z492" s="7">
        <f t="shared" si="97"/>
        <v>4.28496492183075</v>
      </c>
      <c r="AA492" s="7">
        <f t="shared" si="98"/>
        <v>4.4429999999999996</v>
      </c>
      <c r="AB492" s="7">
        <f t="shared" si="99"/>
        <v>27.71</v>
      </c>
      <c r="AC492" s="7">
        <f t="shared" si="100"/>
        <v>27.6</v>
      </c>
      <c r="AD492" s="7">
        <f t="shared" si="101"/>
        <v>16.2</v>
      </c>
      <c r="AE492" s="7">
        <f t="shared" si="102"/>
        <v>2.8583173541466627</v>
      </c>
      <c r="AF492" s="7">
        <f t="shared" si="103"/>
        <v>0.77550474662388025</v>
      </c>
      <c r="AG492" s="7">
        <f t="shared" si="104"/>
        <v>8.302959826231783</v>
      </c>
    </row>
    <row r="493" spans="1:33" x14ac:dyDescent="0.25">
      <c r="A493" s="4" t="s">
        <v>138</v>
      </c>
      <c r="B493" s="4">
        <v>2024</v>
      </c>
      <c r="C493" s="4" t="s">
        <v>99</v>
      </c>
      <c r="D493" s="5">
        <f t="shared" si="105"/>
        <v>1</v>
      </c>
      <c r="E493" s="4">
        <v>22</v>
      </c>
      <c r="F493" s="4">
        <v>26</v>
      </c>
      <c r="G493" s="4">
        <v>26</v>
      </c>
      <c r="H493" s="4">
        <v>15</v>
      </c>
      <c r="I493" s="4"/>
      <c r="J493" s="4">
        <v>1890.4</v>
      </c>
      <c r="K493" s="4">
        <v>68.900000000000006</v>
      </c>
      <c r="L493" s="4">
        <v>3.673</v>
      </c>
      <c r="M493" s="4">
        <v>11.88</v>
      </c>
      <c r="N493" s="4">
        <v>23.9</v>
      </c>
      <c r="O493" s="4">
        <v>20.3</v>
      </c>
      <c r="P493" s="4">
        <v>15114.8</v>
      </c>
      <c r="Q493" s="6">
        <f t="shared" si="106"/>
        <v>7.9955564959796863</v>
      </c>
      <c r="R493" s="4">
        <v>15</v>
      </c>
      <c r="S493" s="4">
        <v>2</v>
      </c>
      <c r="T493" s="6">
        <f t="shared" si="107"/>
        <v>0.89928057553956831</v>
      </c>
      <c r="U493" s="4">
        <v>3111.7</v>
      </c>
      <c r="V493" s="7">
        <f t="shared" si="108"/>
        <v>3.0910424533583161</v>
      </c>
      <c r="W493" s="7">
        <f t="shared" si="109"/>
        <v>4.2326561780196128</v>
      </c>
      <c r="X493" s="7">
        <f t="shared" si="110"/>
        <v>2.0788859493644658</v>
      </c>
      <c r="Y493" s="7">
        <f t="shared" si="111"/>
        <v>8.0432457957366807</v>
      </c>
      <c r="Z493" s="7">
        <f t="shared" si="97"/>
        <v>4.1367652781060524</v>
      </c>
      <c r="AA493" s="7">
        <f t="shared" si="98"/>
        <v>3.44</v>
      </c>
      <c r="AB493" s="7">
        <f t="shared" si="99"/>
        <v>11.78</v>
      </c>
      <c r="AC493" s="7">
        <f t="shared" si="100"/>
        <v>22.9</v>
      </c>
      <c r="AD493" s="7">
        <f t="shared" si="101"/>
        <v>22</v>
      </c>
      <c r="AE493" s="7">
        <f t="shared" si="102"/>
        <v>1.9910358300052735</v>
      </c>
      <c r="AF493" s="7">
        <f t="shared" si="103"/>
        <v>0.90315040110503109</v>
      </c>
      <c r="AG493" s="7">
        <f t="shared" si="104"/>
        <v>7.8277192562225881</v>
      </c>
    </row>
    <row r="494" spans="1:33" x14ac:dyDescent="0.25">
      <c r="A494" s="4" t="s">
        <v>139</v>
      </c>
      <c r="B494" s="4">
        <v>2024</v>
      </c>
      <c r="C494" s="4" t="s">
        <v>96</v>
      </c>
      <c r="D494" s="5">
        <f t="shared" si="105"/>
        <v>0</v>
      </c>
      <c r="E494" s="4">
        <v>20</v>
      </c>
      <c r="F494" s="4">
        <v>21</v>
      </c>
      <c r="G494" s="4">
        <v>26</v>
      </c>
      <c r="H494" s="4">
        <v>14</v>
      </c>
      <c r="I494" s="4"/>
      <c r="J494" s="4">
        <v>1365.2</v>
      </c>
      <c r="K494" s="4">
        <v>114.5</v>
      </c>
      <c r="L494" s="4">
        <v>4.4560000000000004</v>
      </c>
      <c r="M494" s="4">
        <v>40.729999999999997</v>
      </c>
      <c r="N494" s="4">
        <v>38.1</v>
      </c>
      <c r="O494" s="4">
        <v>17.7</v>
      </c>
      <c r="P494" s="4">
        <v>60450.1</v>
      </c>
      <c r="Q494" s="6">
        <f t="shared" si="106"/>
        <v>44.27929973630237</v>
      </c>
      <c r="R494" s="4">
        <v>12</v>
      </c>
      <c r="S494" s="4">
        <v>4</v>
      </c>
      <c r="T494" s="6">
        <f t="shared" si="107"/>
        <v>1.1719894520949312</v>
      </c>
      <c r="U494" s="4">
        <v>8088.3</v>
      </c>
      <c r="V494" s="7">
        <f t="shared" si="108"/>
        <v>2.9957322735539909</v>
      </c>
      <c r="W494" s="7">
        <f t="shared" si="109"/>
        <v>4.7405748229942946</v>
      </c>
      <c r="X494" s="7">
        <f t="shared" si="110"/>
        <v>3.7905172932687372</v>
      </c>
      <c r="Y494" s="7">
        <f t="shared" si="111"/>
        <v>8.9982974797328783</v>
      </c>
      <c r="Z494" s="7">
        <f t="shared" si="97"/>
        <v>4.7041101338429954</v>
      </c>
      <c r="AA494" s="7">
        <f t="shared" si="98"/>
        <v>4.2539999999999996</v>
      </c>
      <c r="AB494" s="7">
        <f t="shared" si="99"/>
        <v>40.65</v>
      </c>
      <c r="AC494" s="7">
        <f t="shared" si="100"/>
        <v>36.6</v>
      </c>
      <c r="AD494" s="7">
        <f t="shared" si="101"/>
        <v>28.2</v>
      </c>
      <c r="AE494" s="7">
        <f t="shared" si="102"/>
        <v>3.7041660015095488</v>
      </c>
      <c r="AF494" s="7">
        <f t="shared" si="103"/>
        <v>1.2589794860401393</v>
      </c>
      <c r="AG494" s="7">
        <f t="shared" si="104"/>
        <v>8.9949045397301752</v>
      </c>
    </row>
    <row r="495" spans="1:33" x14ac:dyDescent="0.25">
      <c r="A495" s="4" t="s">
        <v>140</v>
      </c>
      <c r="B495" s="4">
        <v>2024</v>
      </c>
      <c r="C495" s="4" t="s">
        <v>92</v>
      </c>
      <c r="D495" s="5">
        <f t="shared" si="105"/>
        <v>0</v>
      </c>
      <c r="E495" s="4">
        <v>22</v>
      </c>
      <c r="F495" s="4">
        <v>35</v>
      </c>
      <c r="G495" s="4">
        <v>25</v>
      </c>
      <c r="H495" s="4">
        <v>13</v>
      </c>
      <c r="I495" s="4"/>
      <c r="J495" s="4">
        <v>1178.5999999999999</v>
      </c>
      <c r="K495" s="4">
        <v>67.7</v>
      </c>
      <c r="L495" s="4">
        <v>4.5780000000000003</v>
      </c>
      <c r="M495" s="4">
        <v>52.83</v>
      </c>
      <c r="N495" s="4">
        <v>31.3</v>
      </c>
      <c r="O495" s="4">
        <v>23.2</v>
      </c>
      <c r="P495" s="4"/>
      <c r="Q495" s="6" t="str">
        <f t="shared" si="106"/>
        <v/>
      </c>
      <c r="R495" s="4">
        <v>0</v>
      </c>
      <c r="S495" s="4">
        <v>0</v>
      </c>
      <c r="T495" s="6">
        <f t="shared" si="107"/>
        <v>0</v>
      </c>
      <c r="U495" s="4">
        <v>3524.9</v>
      </c>
      <c r="V495" s="7">
        <f t="shared" si="108"/>
        <v>3.0910424533583161</v>
      </c>
      <c r="W495" s="7">
        <f t="shared" si="109"/>
        <v>4.2150861799182291</v>
      </c>
      <c r="X495" s="7" t="str">
        <f t="shared" si="110"/>
        <v/>
      </c>
      <c r="Y495" s="7">
        <f t="shared" si="111"/>
        <v>8.1678910018069182</v>
      </c>
      <c r="Z495" s="7">
        <f t="shared" si="97"/>
        <v>4.1271343850450917</v>
      </c>
      <c r="AA495" s="7">
        <f t="shared" si="98"/>
        <v>4.5439999999999996</v>
      </c>
      <c r="AB495" s="7">
        <f t="shared" si="99"/>
        <v>52.82</v>
      </c>
      <c r="AC495" s="7">
        <f t="shared" si="100"/>
        <v>30.1</v>
      </c>
      <c r="AD495" s="7">
        <f t="shared" si="101"/>
        <v>27.3</v>
      </c>
      <c r="AE495" s="7" t="str">
        <f t="shared" si="102"/>
        <v/>
      </c>
      <c r="AF495" s="7">
        <f t="shared" si="103"/>
        <v>0</v>
      </c>
      <c r="AG495" s="7">
        <f t="shared" si="104"/>
        <v>8.2087368197479798</v>
      </c>
    </row>
    <row r="496" spans="1:33" x14ac:dyDescent="0.25">
      <c r="A496" s="4" t="s">
        <v>141</v>
      </c>
      <c r="B496" s="4">
        <v>2024</v>
      </c>
      <c r="C496" s="4" t="s">
        <v>86</v>
      </c>
      <c r="D496" s="5">
        <f t="shared" si="105"/>
        <v>0</v>
      </c>
      <c r="E496" s="4">
        <v>17</v>
      </c>
      <c r="F496" s="4">
        <v>16</v>
      </c>
      <c r="G496" s="4">
        <v>23</v>
      </c>
      <c r="H496" s="4">
        <v>11</v>
      </c>
      <c r="I496" s="4"/>
      <c r="J496" s="4">
        <v>1796.1</v>
      </c>
      <c r="K496" s="4">
        <v>76.8</v>
      </c>
      <c r="L496" s="4">
        <v>3.3769999999999998</v>
      </c>
      <c r="M496" s="4">
        <v>16.850000000000001</v>
      </c>
      <c r="N496" s="4">
        <v>15.3</v>
      </c>
      <c r="O496" s="4">
        <v>18.7</v>
      </c>
      <c r="P496" s="4">
        <v>3703.8</v>
      </c>
      <c r="Q496" s="6">
        <f t="shared" si="106"/>
        <v>2.062134625020879</v>
      </c>
      <c r="R496" s="4">
        <v>13</v>
      </c>
      <c r="S496" s="4">
        <v>3</v>
      </c>
      <c r="T496" s="6">
        <f t="shared" si="107"/>
        <v>0.890818996715105</v>
      </c>
      <c r="U496" s="4">
        <v>1672.5</v>
      </c>
      <c r="V496" s="7">
        <f t="shared" si="108"/>
        <v>2.8332133440562162</v>
      </c>
      <c r="W496" s="7">
        <f t="shared" si="109"/>
        <v>4.3412046401536264</v>
      </c>
      <c r="X496" s="7">
        <f t="shared" si="110"/>
        <v>0.72374167202848938</v>
      </c>
      <c r="Y496" s="7">
        <f t="shared" si="111"/>
        <v>7.4226725206513811</v>
      </c>
      <c r="Z496" s="7">
        <f t="shared" si="97"/>
        <v>4.2355547307736243</v>
      </c>
      <c r="AA496" s="7">
        <f t="shared" si="98"/>
        <v>3.2749999999999999</v>
      </c>
      <c r="AB496" s="7">
        <f t="shared" si="99"/>
        <v>15.28</v>
      </c>
      <c r="AC496" s="7">
        <f t="shared" si="100"/>
        <v>14.2</v>
      </c>
      <c r="AD496" s="7">
        <f t="shared" si="101"/>
        <v>14.7</v>
      </c>
      <c r="AE496" s="7">
        <f t="shared" si="102"/>
        <v>0.53717991903893936</v>
      </c>
      <c r="AF496" s="7">
        <f t="shared" si="103"/>
        <v>0.94934941642932924</v>
      </c>
      <c r="AG496" s="7">
        <f t="shared" si="104"/>
        <v>7.3317804126112112</v>
      </c>
    </row>
    <row r="497" spans="1:33" x14ac:dyDescent="0.25">
      <c r="A497" s="4" t="s">
        <v>142</v>
      </c>
      <c r="B497" s="4">
        <v>2024</v>
      </c>
      <c r="C497" s="4" t="s">
        <v>86</v>
      </c>
      <c r="D497" s="5">
        <f t="shared" si="105"/>
        <v>0</v>
      </c>
      <c r="E497" s="4">
        <v>14</v>
      </c>
      <c r="F497" s="4">
        <v>10</v>
      </c>
      <c r="G497" s="4">
        <v>22</v>
      </c>
      <c r="H497" s="4">
        <v>9</v>
      </c>
      <c r="I497" s="4"/>
      <c r="J497" s="4">
        <v>1023.9</v>
      </c>
      <c r="K497" s="4">
        <v>95</v>
      </c>
      <c r="L497" s="4">
        <v>2.7360000000000002</v>
      </c>
      <c r="M497" s="4">
        <v>18.46</v>
      </c>
      <c r="N497" s="4">
        <v>17.399999999999999</v>
      </c>
      <c r="O497" s="4">
        <v>4.3</v>
      </c>
      <c r="P497" s="4">
        <v>8525.7999999999993</v>
      </c>
      <c r="Q497" s="6">
        <f t="shared" si="106"/>
        <v>8.3267897255591361</v>
      </c>
      <c r="R497" s="4">
        <v>7</v>
      </c>
      <c r="S497" s="4">
        <v>2</v>
      </c>
      <c r="T497" s="6">
        <f t="shared" si="107"/>
        <v>0.8789920890711983</v>
      </c>
      <c r="U497" s="4">
        <v>3123.5</v>
      </c>
      <c r="V497" s="7">
        <f t="shared" si="108"/>
        <v>2.6390573296152584</v>
      </c>
      <c r="W497" s="7">
        <f t="shared" si="109"/>
        <v>4.5538768916005408</v>
      </c>
      <c r="X497" s="7">
        <f t="shared" si="110"/>
        <v>2.1194779948103237</v>
      </c>
      <c r="Y497" s="7">
        <f t="shared" si="111"/>
        <v>8.0470295493691371</v>
      </c>
      <c r="Z497" s="7">
        <f t="shared" si="97"/>
        <v>4.4115854369154262</v>
      </c>
      <c r="AA497" s="7">
        <f t="shared" si="98"/>
        <v>2.7429999999999999</v>
      </c>
      <c r="AB497" s="7">
        <f t="shared" si="99"/>
        <v>18.329999999999998</v>
      </c>
      <c r="AC497" s="7">
        <f t="shared" si="100"/>
        <v>16.8</v>
      </c>
      <c r="AD497" s="7">
        <f t="shared" si="101"/>
        <v>7.4</v>
      </c>
      <c r="AE497" s="7">
        <f t="shared" si="102"/>
        <v>1.8352487534496564</v>
      </c>
      <c r="AF497" s="7">
        <f t="shared" si="103"/>
        <v>0.8824394548485146</v>
      </c>
      <c r="AG497" s="7">
        <f t="shared" si="104"/>
        <v>8.0516595568419529</v>
      </c>
    </row>
    <row r="498" spans="1:33" x14ac:dyDescent="0.25">
      <c r="A498" s="4" t="s">
        <v>143</v>
      </c>
      <c r="B498" s="4">
        <v>2024</v>
      </c>
      <c r="C498" s="4" t="s">
        <v>96</v>
      </c>
      <c r="D498" s="5">
        <f t="shared" si="105"/>
        <v>0</v>
      </c>
      <c r="E498" s="4">
        <v>13</v>
      </c>
      <c r="F498" s="4">
        <v>16</v>
      </c>
      <c r="G498" s="4">
        <v>18</v>
      </c>
      <c r="H498" s="4">
        <v>7</v>
      </c>
      <c r="I498" s="4"/>
      <c r="J498" s="4">
        <v>820.3</v>
      </c>
      <c r="K498" s="4">
        <v>60</v>
      </c>
      <c r="L498" s="4">
        <v>2.3330000000000002</v>
      </c>
      <c r="M498" s="4">
        <v>19.41</v>
      </c>
      <c r="N498" s="4">
        <v>22.5</v>
      </c>
      <c r="O498" s="4">
        <v>16</v>
      </c>
      <c r="P498" s="4">
        <v>27437.1</v>
      </c>
      <c r="Q498" s="6">
        <f t="shared" si="106"/>
        <v>33.447641106912108</v>
      </c>
      <c r="R498" s="4">
        <v>5</v>
      </c>
      <c r="S498" s="4">
        <v>1</v>
      </c>
      <c r="T498" s="6">
        <f t="shared" si="107"/>
        <v>0.7314397171766428</v>
      </c>
      <c r="U498" s="4">
        <v>300</v>
      </c>
      <c r="V498" s="7">
        <f t="shared" si="108"/>
        <v>2.5649493574615367</v>
      </c>
      <c r="W498" s="7">
        <f t="shared" si="109"/>
        <v>4.0943445622221004</v>
      </c>
      <c r="X498" s="7">
        <f t="shared" si="110"/>
        <v>3.5099812641148551</v>
      </c>
      <c r="Y498" s="7">
        <f t="shared" si="111"/>
        <v>5.7071102647488754</v>
      </c>
      <c r="Z498" s="7">
        <f t="shared" si="97"/>
        <v>3.9852734671677386</v>
      </c>
      <c r="AA498" s="7">
        <f t="shared" si="98"/>
        <v>2.3149999999999999</v>
      </c>
      <c r="AB498" s="7">
        <f t="shared" si="99"/>
        <v>15.12</v>
      </c>
      <c r="AC498" s="7">
        <f t="shared" si="100"/>
        <v>21.8</v>
      </c>
      <c r="AD498" s="7">
        <f t="shared" si="101"/>
        <v>12.6</v>
      </c>
      <c r="AE498" s="7">
        <f t="shared" si="102"/>
        <v>3.3430375540206008</v>
      </c>
      <c r="AF498" s="7">
        <f t="shared" si="103"/>
        <v>0.73873430189608469</v>
      </c>
      <c r="AG498" s="7">
        <f t="shared" si="104"/>
        <v>5.6517871795378207</v>
      </c>
    </row>
    <row r="499" spans="1:33" x14ac:dyDescent="0.25">
      <c r="A499" s="4" t="s">
        <v>144</v>
      </c>
      <c r="B499" s="4">
        <v>2024</v>
      </c>
      <c r="C499" s="4" t="s">
        <v>88</v>
      </c>
      <c r="D499" s="5">
        <f t="shared" si="105"/>
        <v>1</v>
      </c>
      <c r="E499" s="4">
        <v>19</v>
      </c>
      <c r="F499" s="4">
        <v>17</v>
      </c>
      <c r="G499" s="4">
        <v>26</v>
      </c>
      <c r="H499" s="4">
        <v>13</v>
      </c>
      <c r="I499" s="4"/>
      <c r="J499" s="4">
        <v>1202.8</v>
      </c>
      <c r="K499" s="4">
        <v>103.6</v>
      </c>
      <c r="L499" s="4">
        <v>4.3609999999999998</v>
      </c>
      <c r="M499" s="4">
        <v>32.57</v>
      </c>
      <c r="N499" s="4">
        <v>20.100000000000001</v>
      </c>
      <c r="O499" s="4">
        <v>13.8</v>
      </c>
      <c r="P499" s="4">
        <v>20444.099999999999</v>
      </c>
      <c r="Q499" s="6">
        <f t="shared" si="106"/>
        <v>16.997090123046224</v>
      </c>
      <c r="R499" s="4">
        <v>13</v>
      </c>
      <c r="S499" s="4">
        <v>1</v>
      </c>
      <c r="T499" s="6">
        <f t="shared" si="107"/>
        <v>1.1639507815098105</v>
      </c>
      <c r="U499" s="4">
        <v>8386.2000000000007</v>
      </c>
      <c r="V499" s="7">
        <f t="shared" si="108"/>
        <v>2.9444389791664403</v>
      </c>
      <c r="W499" s="7">
        <f t="shared" si="109"/>
        <v>4.6405373298253823</v>
      </c>
      <c r="X499" s="7">
        <f t="shared" si="110"/>
        <v>2.833042160172516</v>
      </c>
      <c r="Y499" s="7">
        <f t="shared" si="111"/>
        <v>9.0344620131290867</v>
      </c>
      <c r="Z499" s="7">
        <f t="shared" si="97"/>
        <v>4.5347477216915459</v>
      </c>
      <c r="AA499" s="7">
        <f t="shared" si="98"/>
        <v>4.3029999999999999</v>
      </c>
      <c r="AB499" s="7">
        <f t="shared" si="99"/>
        <v>32.57</v>
      </c>
      <c r="AC499" s="7">
        <f t="shared" si="100"/>
        <v>18.2</v>
      </c>
      <c r="AD499" s="7">
        <f t="shared" si="101"/>
        <v>17.3</v>
      </c>
      <c r="AE499" s="7">
        <f t="shared" si="102"/>
        <v>2.7450291859298734</v>
      </c>
      <c r="AF499" s="7">
        <f t="shared" si="103"/>
        <v>1.2553351744915893</v>
      </c>
      <c r="AG499" s="7">
        <f t="shared" si="104"/>
        <v>9.0023070834663255</v>
      </c>
    </row>
    <row r="500" spans="1:33" x14ac:dyDescent="0.25">
      <c r="A500" s="4" t="s">
        <v>145</v>
      </c>
      <c r="B500" s="4">
        <v>2024</v>
      </c>
      <c r="C500" s="4" t="s">
        <v>86</v>
      </c>
      <c r="D500" s="5">
        <f t="shared" si="105"/>
        <v>0</v>
      </c>
      <c r="E500" s="4">
        <v>14</v>
      </c>
      <c r="F500" s="4">
        <v>13</v>
      </c>
      <c r="G500" s="4">
        <v>20</v>
      </c>
      <c r="H500" s="4">
        <v>8</v>
      </c>
      <c r="I500" s="4"/>
      <c r="J500" s="4">
        <v>1037.3</v>
      </c>
      <c r="K500" s="4">
        <v>80.900000000000006</v>
      </c>
      <c r="L500" s="4">
        <v>3.0339999999999998</v>
      </c>
      <c r="M500" s="4">
        <v>22.92</v>
      </c>
      <c r="N500" s="4">
        <v>17.100000000000001</v>
      </c>
      <c r="O500" s="4">
        <v>16.600000000000001</v>
      </c>
      <c r="P500" s="4">
        <v>2166.8000000000002</v>
      </c>
      <c r="Q500" s="6">
        <f t="shared" si="106"/>
        <v>2.0888846042610627</v>
      </c>
      <c r="R500" s="4">
        <v>5</v>
      </c>
      <c r="S500" s="4">
        <v>2</v>
      </c>
      <c r="T500" s="6">
        <f t="shared" si="107"/>
        <v>0.67482888267617858</v>
      </c>
      <c r="U500" s="4">
        <v>1071.3</v>
      </c>
      <c r="V500" s="7">
        <f t="shared" si="108"/>
        <v>2.6390573296152584</v>
      </c>
      <c r="W500" s="7">
        <f t="shared" si="109"/>
        <v>4.3932138240644463</v>
      </c>
      <c r="X500" s="7">
        <f t="shared" si="110"/>
        <v>0.73663024134596156</v>
      </c>
      <c r="Y500" s="7">
        <f t="shared" si="111"/>
        <v>6.9775611532260999</v>
      </c>
      <c r="Z500" s="7">
        <f t="shared" si="97"/>
        <v>4.2931954209672663</v>
      </c>
      <c r="AA500" s="7">
        <f t="shared" si="98"/>
        <v>2.968</v>
      </c>
      <c r="AB500" s="7">
        <f t="shared" si="99"/>
        <v>22.87</v>
      </c>
      <c r="AC500" s="7">
        <f t="shared" si="100"/>
        <v>15.9</v>
      </c>
      <c r="AD500" s="7">
        <f t="shared" si="101"/>
        <v>20.8</v>
      </c>
      <c r="AE500" s="7">
        <f t="shared" si="102"/>
        <v>0.6333113889492803</v>
      </c>
      <c r="AF500" s="7">
        <f t="shared" si="103"/>
        <v>0.67987567987567987</v>
      </c>
      <c r="AG500" s="7">
        <f t="shared" si="104"/>
        <v>6.9693206346402921</v>
      </c>
    </row>
    <row r="501" spans="1:33" x14ac:dyDescent="0.25">
      <c r="A501" s="4" t="s">
        <v>146</v>
      </c>
      <c r="B501" s="4">
        <v>2024</v>
      </c>
      <c r="C501" s="4" t="s">
        <v>99</v>
      </c>
      <c r="D501" s="5">
        <f t="shared" si="105"/>
        <v>1</v>
      </c>
      <c r="E501" s="4">
        <v>24</v>
      </c>
      <c r="F501" s="4">
        <v>24</v>
      </c>
      <c r="G501" s="4">
        <v>29</v>
      </c>
      <c r="H501" s="4">
        <v>19</v>
      </c>
      <c r="I501" s="4"/>
      <c r="J501" s="4">
        <v>1225.3</v>
      </c>
      <c r="K501" s="4">
        <v>141.1</v>
      </c>
      <c r="L501" s="4">
        <v>8.3569999999999993</v>
      </c>
      <c r="M501" s="4">
        <v>34</v>
      </c>
      <c r="N501" s="4">
        <v>37.299999999999997</v>
      </c>
      <c r="O501" s="4">
        <v>37.200000000000003</v>
      </c>
      <c r="P501" s="4">
        <v>29539.7</v>
      </c>
      <c r="Q501" s="6">
        <f t="shared" si="106"/>
        <v>24.108136782828698</v>
      </c>
      <c r="R501" s="4">
        <v>7</v>
      </c>
      <c r="S501" s="4">
        <v>2</v>
      </c>
      <c r="T501" s="6">
        <f t="shared" si="107"/>
        <v>0.73451399657226801</v>
      </c>
      <c r="U501" s="4">
        <v>6022.9</v>
      </c>
      <c r="V501" s="7">
        <f t="shared" si="108"/>
        <v>3.1780538303479458</v>
      </c>
      <c r="W501" s="7">
        <f t="shared" si="109"/>
        <v>4.9494688588587685</v>
      </c>
      <c r="X501" s="7">
        <f t="shared" si="110"/>
        <v>3.1825494093573443</v>
      </c>
      <c r="Y501" s="7">
        <f t="shared" si="111"/>
        <v>8.7034901690763391</v>
      </c>
      <c r="Z501" s="7">
        <f t="shared" si="97"/>
        <v>4.8652240913223981</v>
      </c>
      <c r="AA501" s="7">
        <f t="shared" si="98"/>
        <v>8.0709999999999997</v>
      </c>
      <c r="AB501" s="7">
        <f t="shared" si="99"/>
        <v>33.93</v>
      </c>
      <c r="AC501" s="7">
        <f t="shared" si="100"/>
        <v>35.799999999999997</v>
      </c>
      <c r="AD501" s="7">
        <f t="shared" si="101"/>
        <v>33.9</v>
      </c>
      <c r="AE501" s="7">
        <f t="shared" si="102"/>
        <v>3.0987317940675676</v>
      </c>
      <c r="AF501" s="7">
        <f t="shared" si="103"/>
        <v>0.7430033847931975</v>
      </c>
      <c r="AG501" s="7">
        <f t="shared" si="104"/>
        <v>8.6696739061991703</v>
      </c>
    </row>
    <row r="502" spans="1:33" x14ac:dyDescent="0.25">
      <c r="A502" s="4" t="s">
        <v>147</v>
      </c>
      <c r="B502" s="4">
        <v>2024</v>
      </c>
      <c r="C502" s="4" t="s">
        <v>96</v>
      </c>
      <c r="D502" s="5">
        <f t="shared" si="105"/>
        <v>0</v>
      </c>
      <c r="E502" s="4">
        <v>14</v>
      </c>
      <c r="F502" s="4">
        <v>14</v>
      </c>
      <c r="G502" s="4">
        <v>16</v>
      </c>
      <c r="H502" s="4">
        <v>13</v>
      </c>
      <c r="I502" s="4"/>
      <c r="J502" s="4">
        <v>864.4</v>
      </c>
      <c r="K502" s="4">
        <v>55.3</v>
      </c>
      <c r="L502" s="4">
        <v>2.66</v>
      </c>
      <c r="M502" s="4">
        <v>20.97</v>
      </c>
      <c r="N502" s="4">
        <v>24.2</v>
      </c>
      <c r="O502" s="4">
        <v>19.600000000000001</v>
      </c>
      <c r="P502" s="4">
        <v>17164.599999999999</v>
      </c>
      <c r="Q502" s="6">
        <f t="shared" si="106"/>
        <v>19.857242017584451</v>
      </c>
      <c r="R502" s="4">
        <v>1</v>
      </c>
      <c r="S502" s="4">
        <v>1</v>
      </c>
      <c r="T502" s="6">
        <f t="shared" si="107"/>
        <v>0.23137436372049977</v>
      </c>
      <c r="U502" s="4">
        <v>471.9</v>
      </c>
      <c r="V502" s="7">
        <f t="shared" si="108"/>
        <v>2.6390573296152584</v>
      </c>
      <c r="W502" s="7">
        <f t="shared" si="109"/>
        <v>4.0127729085282891</v>
      </c>
      <c r="X502" s="7">
        <f t="shared" si="110"/>
        <v>2.9885687777542134</v>
      </c>
      <c r="Y502" s="7">
        <f t="shared" si="111"/>
        <v>6.1588839496498302</v>
      </c>
      <c r="Z502" s="7">
        <f t="shared" si="97"/>
        <v>3.9140210080908191</v>
      </c>
      <c r="AA502" s="7">
        <f t="shared" si="98"/>
        <v>2.56</v>
      </c>
      <c r="AB502" s="7">
        <f t="shared" si="99"/>
        <v>20.95</v>
      </c>
      <c r="AC502" s="7">
        <f t="shared" si="100"/>
        <v>23.2</v>
      </c>
      <c r="AD502" s="7">
        <f t="shared" si="101"/>
        <v>18.2</v>
      </c>
      <c r="AE502" s="7">
        <f t="shared" si="102"/>
        <v>2.758077157298735</v>
      </c>
      <c r="AF502" s="7">
        <f t="shared" si="103"/>
        <v>0.23378141437755698</v>
      </c>
      <c r="AG502" s="7">
        <f t="shared" si="104"/>
        <v>5.7104270173748697</v>
      </c>
    </row>
    <row r="503" spans="1:33" x14ac:dyDescent="0.25">
      <c r="A503" s="4" t="s">
        <v>148</v>
      </c>
      <c r="B503" s="4">
        <v>2024</v>
      </c>
      <c r="C503" s="4" t="s">
        <v>96</v>
      </c>
      <c r="D503" s="5">
        <f t="shared" si="105"/>
        <v>0</v>
      </c>
      <c r="E503" s="4"/>
      <c r="F503" s="4"/>
      <c r="G503" s="4"/>
      <c r="H503" s="4"/>
      <c r="I503" s="4"/>
      <c r="J503" s="4">
        <v>656.7</v>
      </c>
      <c r="K503" s="4">
        <v>47.7</v>
      </c>
      <c r="L503" s="4">
        <v>1.762</v>
      </c>
      <c r="M503" s="4">
        <v>15.2</v>
      </c>
      <c r="N503" s="4">
        <v>18.399999999999999</v>
      </c>
      <c r="O503" s="4">
        <v>15.1</v>
      </c>
      <c r="P503" s="4">
        <v>5577.6</v>
      </c>
      <c r="Q503" s="6">
        <f t="shared" si="106"/>
        <v>8.4933759707629051</v>
      </c>
      <c r="R503" s="4">
        <v>3</v>
      </c>
      <c r="S503" s="4">
        <v>3</v>
      </c>
      <c r="T503" s="6">
        <f t="shared" si="107"/>
        <v>0.91365920511649146</v>
      </c>
      <c r="U503" s="4">
        <v>4.5999999999999996</v>
      </c>
      <c r="V503" s="7" t="str">
        <f t="shared" si="108"/>
        <v/>
      </c>
      <c r="W503" s="7">
        <f t="shared" si="109"/>
        <v>3.8649313978942956</v>
      </c>
      <c r="X503" s="7">
        <f t="shared" si="110"/>
        <v>2.1392865621287749</v>
      </c>
      <c r="Y503" s="7">
        <f t="shared" si="111"/>
        <v>1.7227665977411035</v>
      </c>
      <c r="Z503" s="7">
        <f t="shared" si="97"/>
        <v>3.7658404952500648</v>
      </c>
      <c r="AA503" s="7">
        <f t="shared" si="98"/>
        <v>1.78</v>
      </c>
      <c r="AB503" s="7">
        <f t="shared" si="99"/>
        <v>15.2</v>
      </c>
      <c r="AC503" s="7">
        <f t="shared" si="100"/>
        <v>18.2</v>
      </c>
      <c r="AD503" s="7">
        <f t="shared" si="101"/>
        <v>15.3</v>
      </c>
      <c r="AE503" s="7">
        <f t="shared" si="102"/>
        <v>1.9865251981686198</v>
      </c>
      <c r="AF503" s="7">
        <f t="shared" si="103"/>
        <v>0.77375425564840605</v>
      </c>
      <c r="AG503" s="7">
        <f t="shared" si="104"/>
        <v>1.7227665977411035</v>
      </c>
    </row>
    <row r="504" spans="1:33" x14ac:dyDescent="0.25">
      <c r="A504" s="4" t="s">
        <v>149</v>
      </c>
      <c r="B504" s="4">
        <v>2024</v>
      </c>
      <c r="C504" s="4" t="s">
        <v>92</v>
      </c>
      <c r="D504" s="5">
        <f t="shared" si="105"/>
        <v>0</v>
      </c>
      <c r="E504" s="4">
        <v>47</v>
      </c>
      <c r="F504" s="4">
        <v>70</v>
      </c>
      <c r="G504" s="4">
        <v>31</v>
      </c>
      <c r="H504" s="4">
        <v>52</v>
      </c>
      <c r="I504" s="4"/>
      <c r="J504" s="4">
        <v>1276</v>
      </c>
      <c r="K504" s="4">
        <v>119.3</v>
      </c>
      <c r="L504" s="4">
        <v>19.88</v>
      </c>
      <c r="M504" s="4">
        <v>87.81</v>
      </c>
      <c r="N504" s="4">
        <v>51.3</v>
      </c>
      <c r="O504" s="4">
        <v>46.3</v>
      </c>
      <c r="P504" s="4">
        <v>53615.7</v>
      </c>
      <c r="Q504" s="6">
        <f t="shared" si="106"/>
        <v>42.0185736677116</v>
      </c>
      <c r="R504" s="4">
        <v>71</v>
      </c>
      <c r="S504" s="4">
        <v>8</v>
      </c>
      <c r="T504" s="6">
        <f t="shared" si="107"/>
        <v>6.1912225705329149</v>
      </c>
      <c r="U504" s="4">
        <v>5312</v>
      </c>
      <c r="V504" s="7">
        <f t="shared" si="108"/>
        <v>3.8501476017100584</v>
      </c>
      <c r="W504" s="7">
        <f t="shared" si="109"/>
        <v>4.78164132910387</v>
      </c>
      <c r="X504" s="7">
        <f t="shared" si="110"/>
        <v>3.7381117507120294</v>
      </c>
      <c r="Y504" s="7">
        <f t="shared" si="111"/>
        <v>8.5779119264509429</v>
      </c>
      <c r="Z504" s="7">
        <f t="shared" si="97"/>
        <v>4.6849051540069446</v>
      </c>
      <c r="AA504" s="7">
        <f t="shared" si="98"/>
        <v>20.716999999999999</v>
      </c>
      <c r="AB504" s="7">
        <f t="shared" si="99"/>
        <v>87.64</v>
      </c>
      <c r="AC504" s="7">
        <f t="shared" si="100"/>
        <v>49.7</v>
      </c>
      <c r="AD504" s="7">
        <f t="shared" si="101"/>
        <v>53.4</v>
      </c>
      <c r="AE504" s="7">
        <f t="shared" si="102"/>
        <v>3.6083664972247567</v>
      </c>
      <c r="AF504" s="7">
        <f t="shared" si="103"/>
        <v>6.4246707356247992</v>
      </c>
      <c r="AG504" s="7">
        <f t="shared" si="104"/>
        <v>8.5604250798082386</v>
      </c>
    </row>
    <row r="505" spans="1:33" x14ac:dyDescent="0.25">
      <c r="A505" s="4" t="s">
        <v>150</v>
      </c>
      <c r="B505" s="4">
        <v>2024</v>
      </c>
      <c r="C505" s="4" t="s">
        <v>105</v>
      </c>
      <c r="D505" s="5">
        <f t="shared" si="105"/>
        <v>0</v>
      </c>
      <c r="E505" s="4">
        <v>23</v>
      </c>
      <c r="F505" s="4">
        <v>22</v>
      </c>
      <c r="G505" s="4">
        <v>22</v>
      </c>
      <c r="H505" s="4">
        <v>24</v>
      </c>
      <c r="I505" s="4"/>
      <c r="J505" s="4">
        <v>1946.2</v>
      </c>
      <c r="K505" s="4">
        <v>72.5</v>
      </c>
      <c r="L505" s="4">
        <v>4.2039999999999997</v>
      </c>
      <c r="M505" s="4">
        <v>26.09</v>
      </c>
      <c r="N505" s="4">
        <v>19.600000000000001</v>
      </c>
      <c r="O505" s="4">
        <v>21.8</v>
      </c>
      <c r="P505" s="4">
        <v>22162.7</v>
      </c>
      <c r="Q505" s="6">
        <f t="shared" si="106"/>
        <v>11.387678553077793</v>
      </c>
      <c r="R505" s="4">
        <v>8</v>
      </c>
      <c r="S505" s="4">
        <v>3</v>
      </c>
      <c r="T505" s="6">
        <f t="shared" si="107"/>
        <v>0.56520398725721921</v>
      </c>
      <c r="U505" s="4">
        <v>371.1</v>
      </c>
      <c r="V505" s="7">
        <f t="shared" si="108"/>
        <v>3.1354942159291497</v>
      </c>
      <c r="W505" s="7">
        <f t="shared" si="109"/>
        <v>4.2835865618606288</v>
      </c>
      <c r="X505" s="7">
        <f t="shared" si="110"/>
        <v>2.4325319422065355</v>
      </c>
      <c r="Y505" s="7">
        <f t="shared" si="111"/>
        <v>5.9191626353525768</v>
      </c>
      <c r="Z505" s="7">
        <f t="shared" si="97"/>
        <v>4.1026433650367959</v>
      </c>
      <c r="AA505" s="7">
        <f t="shared" si="98"/>
        <v>4.016</v>
      </c>
      <c r="AB505" s="7">
        <f t="shared" si="99"/>
        <v>26.01</v>
      </c>
      <c r="AC505" s="7">
        <f t="shared" si="100"/>
        <v>18.3</v>
      </c>
      <c r="AD505" s="7">
        <f t="shared" si="101"/>
        <v>18.7</v>
      </c>
      <c r="AE505" s="7">
        <f t="shared" si="102"/>
        <v>2.5524177094632949</v>
      </c>
      <c r="AF505" s="7">
        <f t="shared" si="103"/>
        <v>0.56950556562257315</v>
      </c>
      <c r="AG505" s="7">
        <f t="shared" si="104"/>
        <v>5.9050893313612365</v>
      </c>
    </row>
    <row r="506" spans="1:33" x14ac:dyDescent="0.25">
      <c r="A506" s="4" t="s">
        <v>151</v>
      </c>
      <c r="B506" s="4">
        <v>2024</v>
      </c>
      <c r="C506" s="4" t="s">
        <v>105</v>
      </c>
      <c r="D506" s="5">
        <f t="shared" si="105"/>
        <v>0</v>
      </c>
      <c r="E506" s="4">
        <v>13</v>
      </c>
      <c r="F506" s="4">
        <v>12</v>
      </c>
      <c r="G506" s="4">
        <v>15</v>
      </c>
      <c r="H506" s="4">
        <v>11</v>
      </c>
      <c r="I506" s="4"/>
      <c r="J506" s="4">
        <v>695.7</v>
      </c>
      <c r="K506" s="4">
        <v>83.3</v>
      </c>
      <c r="L506" s="4">
        <v>3.9870000000000001</v>
      </c>
      <c r="M506" s="4">
        <v>17.25</v>
      </c>
      <c r="N506" s="4">
        <v>17.899999999999999</v>
      </c>
      <c r="O506" s="4">
        <v>23.2</v>
      </c>
      <c r="P506" s="4">
        <v>2319.9</v>
      </c>
      <c r="Q506" s="6">
        <f t="shared" si="106"/>
        <v>3.3346269943941351</v>
      </c>
      <c r="R506" s="4">
        <v>2</v>
      </c>
      <c r="S506" s="4">
        <v>1</v>
      </c>
      <c r="T506" s="6">
        <f t="shared" si="107"/>
        <v>0.43122035360068989</v>
      </c>
      <c r="U506" s="4">
        <v>460.3</v>
      </c>
      <c r="V506" s="7">
        <f t="shared" si="108"/>
        <v>2.5649493574615367</v>
      </c>
      <c r="W506" s="7">
        <f t="shared" si="109"/>
        <v>4.4224485491727972</v>
      </c>
      <c r="X506" s="7">
        <f t="shared" si="110"/>
        <v>1.2043608273535038</v>
      </c>
      <c r="Y506" s="7">
        <f t="shared" si="111"/>
        <v>6.1340485905637747</v>
      </c>
      <c r="Z506" s="7">
        <f t="shared" si="97"/>
        <v>4.180522258463153</v>
      </c>
      <c r="AA506" s="7">
        <f t="shared" si="98"/>
        <v>3.883</v>
      </c>
      <c r="AB506" s="7">
        <f t="shared" si="99"/>
        <v>16.940000000000001</v>
      </c>
      <c r="AC506" s="7">
        <f t="shared" si="100"/>
        <v>16.7</v>
      </c>
      <c r="AD506" s="7">
        <f t="shared" si="101"/>
        <v>21.1</v>
      </c>
      <c r="AE506" s="7">
        <f t="shared" si="102"/>
        <v>1.2401345948674423</v>
      </c>
      <c r="AF506" s="7">
        <f t="shared" si="103"/>
        <v>0.43994720633523976</v>
      </c>
      <c r="AG506" s="7">
        <f t="shared" si="104"/>
        <v>6.1277421654005302</v>
      </c>
    </row>
    <row r="507" spans="1:33" x14ac:dyDescent="0.25">
      <c r="A507" s="4" t="s">
        <v>152</v>
      </c>
      <c r="B507" s="4">
        <v>2024</v>
      </c>
      <c r="C507" s="4" t="s">
        <v>88</v>
      </c>
      <c r="D507" s="5">
        <f t="shared" si="105"/>
        <v>1</v>
      </c>
      <c r="E507" s="4">
        <v>30</v>
      </c>
      <c r="F507" s="4">
        <v>30</v>
      </c>
      <c r="G507" s="4">
        <v>35</v>
      </c>
      <c r="H507" s="4">
        <v>25</v>
      </c>
      <c r="I507" s="4"/>
      <c r="J507" s="4">
        <v>3365.4</v>
      </c>
      <c r="K507" s="4">
        <v>142.30000000000001</v>
      </c>
      <c r="L507" s="4">
        <v>8.23</v>
      </c>
      <c r="M507" s="4">
        <v>45.36</v>
      </c>
      <c r="N507" s="4">
        <v>23.7</v>
      </c>
      <c r="O507" s="4">
        <v>25.8</v>
      </c>
      <c r="P507" s="4">
        <v>68743.399999999994</v>
      </c>
      <c r="Q507" s="6">
        <f t="shared" si="106"/>
        <v>20.426516907351278</v>
      </c>
      <c r="R507" s="4">
        <v>12</v>
      </c>
      <c r="S507" s="4">
        <v>5</v>
      </c>
      <c r="T507" s="6">
        <f t="shared" si="107"/>
        <v>0.50514054792892382</v>
      </c>
      <c r="U507" s="4">
        <v>11159.1</v>
      </c>
      <c r="V507" s="7">
        <f t="shared" si="108"/>
        <v>3.4011973816621555</v>
      </c>
      <c r="W507" s="7">
        <f t="shared" si="109"/>
        <v>4.9579375050958063</v>
      </c>
      <c r="X507" s="7">
        <f t="shared" si="110"/>
        <v>3.0168339051781765</v>
      </c>
      <c r="Y507" s="7">
        <f t="shared" si="111"/>
        <v>9.3201001964686334</v>
      </c>
      <c r="Z507" s="7">
        <f t="shared" si="97"/>
        <v>4.8895969657191998</v>
      </c>
      <c r="AA507" s="7">
        <f t="shared" si="98"/>
        <v>8.048</v>
      </c>
      <c r="AB507" s="7">
        <f t="shared" si="99"/>
        <v>45.26</v>
      </c>
      <c r="AC507" s="7">
        <f t="shared" si="100"/>
        <v>22.8</v>
      </c>
      <c r="AD507" s="7">
        <f t="shared" si="101"/>
        <v>28.4</v>
      </c>
      <c r="AE507" s="7">
        <f t="shared" si="102"/>
        <v>2.9083693785797728</v>
      </c>
      <c r="AF507" s="7">
        <f t="shared" si="103"/>
        <v>0.5436588238847444</v>
      </c>
      <c r="AG507" s="7">
        <f t="shared" si="104"/>
        <v>9.2919295755159954</v>
      </c>
    </row>
    <row r="508" spans="1:33" x14ac:dyDescent="0.25">
      <c r="A508" s="4" t="s">
        <v>153</v>
      </c>
      <c r="B508" s="4">
        <v>2024</v>
      </c>
      <c r="C508" s="4" t="s">
        <v>86</v>
      </c>
      <c r="D508" s="5">
        <f t="shared" si="105"/>
        <v>0</v>
      </c>
      <c r="E508" s="4">
        <v>19</v>
      </c>
      <c r="F508" s="4">
        <v>15</v>
      </c>
      <c r="G508" s="4">
        <v>28</v>
      </c>
      <c r="H508" s="4">
        <v>11</v>
      </c>
      <c r="I508" s="4"/>
      <c r="J508" s="4">
        <v>1601.1</v>
      </c>
      <c r="K508" s="4">
        <v>76.8</v>
      </c>
      <c r="L508" s="4">
        <v>2.698</v>
      </c>
      <c r="M508" s="4">
        <v>20.52</v>
      </c>
      <c r="N508" s="4">
        <v>16.3</v>
      </c>
      <c r="O508" s="4">
        <v>12.1</v>
      </c>
      <c r="P508" s="4">
        <v>4390.8999999999996</v>
      </c>
      <c r="Q508" s="6">
        <f t="shared" si="106"/>
        <v>2.7424270813815501</v>
      </c>
      <c r="R508" s="4">
        <v>12</v>
      </c>
      <c r="S508" s="4">
        <v>1</v>
      </c>
      <c r="T508" s="6">
        <f t="shared" si="107"/>
        <v>0.81194179001936173</v>
      </c>
      <c r="U508" s="4">
        <v>144.69999999999999</v>
      </c>
      <c r="V508" s="7">
        <f t="shared" si="108"/>
        <v>2.9444389791664403</v>
      </c>
      <c r="W508" s="7">
        <f t="shared" si="109"/>
        <v>4.3412046401536264</v>
      </c>
      <c r="X508" s="7">
        <f t="shared" si="110"/>
        <v>1.0088433244387667</v>
      </c>
      <c r="Y508" s="7">
        <f t="shared" si="111"/>
        <v>4.9815497132011588</v>
      </c>
      <c r="Z508" s="7">
        <f t="shared" si="97"/>
        <v>4.2312037449392976</v>
      </c>
      <c r="AA508" s="7">
        <f t="shared" si="98"/>
        <v>2.605</v>
      </c>
      <c r="AB508" s="7">
        <f t="shared" si="99"/>
        <v>20.36</v>
      </c>
      <c r="AC508" s="7">
        <f t="shared" si="100"/>
        <v>14.6</v>
      </c>
      <c r="AD508" s="7">
        <f t="shared" si="101"/>
        <v>14.6</v>
      </c>
      <c r="AE508" s="7">
        <f t="shared" si="102"/>
        <v>0.85303955406626408</v>
      </c>
      <c r="AF508" s="7">
        <f t="shared" si="103"/>
        <v>0.68741407324084491</v>
      </c>
      <c r="AG508" s="7">
        <f t="shared" si="104"/>
        <v>4.9815497132011588</v>
      </c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5" x14ac:dyDescent="0.25"/>
  <cols>
    <col min="1" max="1" width="40" customWidth="1"/>
    <col min="2" max="2" width="12" customWidth="1"/>
    <col min="3" max="3" width="8" customWidth="1"/>
    <col min="4" max="4" width="12" customWidth="1"/>
    <col min="5" max="5" width="14" customWidth="1"/>
    <col min="6" max="7" width="10" customWidth="1"/>
  </cols>
  <sheetData>
    <row r="1" spans="1:7" ht="17.25" x14ac:dyDescent="0.3">
      <c r="A1" s="1" t="s">
        <v>154</v>
      </c>
    </row>
    <row r="3" spans="1:7" ht="32.1" customHeight="1" x14ac:dyDescent="0.25">
      <c r="A3" s="3" t="s">
        <v>155</v>
      </c>
      <c r="B3" s="3" t="s">
        <v>156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161</v>
      </c>
    </row>
    <row r="4" spans="1:7" x14ac:dyDescent="0.25">
      <c r="A4" t="s">
        <v>162</v>
      </c>
      <c r="B4" t="s">
        <v>163</v>
      </c>
      <c r="C4" s="5">
        <f>COUNT('1_Du_lieu'!$E$5:$E$508)</f>
        <v>445</v>
      </c>
      <c r="D4" s="6">
        <f>AVERAGE('1_Du_lieu'!$E$5:$E$508)</f>
        <v>27.527887640449435</v>
      </c>
      <c r="E4" s="6">
        <f>_xlfn.STDEV.S('1_Du_lieu'!$E$5:$E$508)</f>
        <v>16.561870107986991</v>
      </c>
      <c r="F4" s="6">
        <f>MIN('1_Du_lieu'!$E$5:$E$508)</f>
        <v>3.98</v>
      </c>
      <c r="G4" s="6">
        <f>MAX('1_Du_lieu'!$E$5:$E$508)</f>
        <v>90.6</v>
      </c>
    </row>
    <row r="5" spans="1:7" x14ac:dyDescent="0.25">
      <c r="A5" t="s">
        <v>164</v>
      </c>
      <c r="B5" t="s">
        <v>165</v>
      </c>
      <c r="C5" s="5">
        <f>COUNT('1_Du_lieu'!$F$5:$F$508)</f>
        <v>445</v>
      </c>
      <c r="D5" s="6">
        <f>AVERAGE('1_Du_lieu'!$F$5:$F$508)</f>
        <v>25.856719101123616</v>
      </c>
      <c r="E5" s="6">
        <f>_xlfn.STDEV.S('1_Du_lieu'!$F$5:$F$508)</f>
        <v>15.78547690452678</v>
      </c>
      <c r="F5" s="6">
        <f>MIN('1_Du_lieu'!$F$5:$F$508)</f>
        <v>8.5</v>
      </c>
      <c r="G5" s="6">
        <f>MAX('1_Du_lieu'!$F$5:$F$508)</f>
        <v>98.5</v>
      </c>
    </row>
    <row r="6" spans="1:7" x14ac:dyDescent="0.25">
      <c r="A6" t="s">
        <v>166</v>
      </c>
      <c r="B6" t="s">
        <v>167</v>
      </c>
      <c r="C6" s="5">
        <f>COUNT('1_Du_lieu'!$G$5:$G$508)</f>
        <v>445</v>
      </c>
      <c r="D6" s="6">
        <f>AVERAGE('1_Du_lieu'!$G$5:$G$508)</f>
        <v>30.158449438202265</v>
      </c>
      <c r="E6" s="6">
        <f>_xlfn.STDEV.S('1_Du_lieu'!$G$5:$G$508)</f>
        <v>19.247671874549958</v>
      </c>
      <c r="F6" s="6">
        <f>MIN('1_Du_lieu'!$G$5:$G$508)</f>
        <v>2.04</v>
      </c>
      <c r="G6" s="6">
        <f>MAX('1_Du_lieu'!$G$5:$G$508)</f>
        <v>89.8</v>
      </c>
    </row>
    <row r="7" spans="1:7" x14ac:dyDescent="0.25">
      <c r="A7" t="s">
        <v>168</v>
      </c>
      <c r="B7" t="s">
        <v>169</v>
      </c>
      <c r="C7" s="5">
        <f>COUNT('1_Du_lieu'!$H$5:$H$508)</f>
        <v>445</v>
      </c>
      <c r="D7" s="6">
        <f>AVERAGE('1_Du_lieu'!$H$5:$H$508)</f>
        <v>22.825370786516856</v>
      </c>
      <c r="E7" s="6">
        <f>_xlfn.STDEV.S('1_Du_lieu'!$H$5:$H$508)</f>
        <v>15.540943762417443</v>
      </c>
      <c r="F7" s="6">
        <f>MIN('1_Du_lieu'!$H$5:$H$508)</f>
        <v>1.86</v>
      </c>
      <c r="G7" s="6">
        <f>MAX('1_Du_lieu'!$H$5:$H$508)</f>
        <v>96</v>
      </c>
    </row>
    <row r="8" spans="1:7" x14ac:dyDescent="0.25">
      <c r="A8" t="s">
        <v>170</v>
      </c>
      <c r="B8" t="s">
        <v>171</v>
      </c>
      <c r="C8" s="5">
        <f>COUNT('1_Du_lieu'!$I$5:$I$508)</f>
        <v>217</v>
      </c>
      <c r="D8" s="6">
        <f>AVERAGE('1_Du_lieu'!$I$5:$I$508)</f>
        <v>64.20276497695852</v>
      </c>
      <c r="E8" s="6">
        <f>_xlfn.STDEV.S('1_Du_lieu'!$I$5:$I$508)</f>
        <v>8.8390228901638768</v>
      </c>
      <c r="F8" s="6">
        <f>MIN('1_Du_lieu'!$I$5:$I$508)</f>
        <v>43</v>
      </c>
      <c r="G8" s="6">
        <f>MAX('1_Du_lieu'!$I$5:$I$508)</f>
        <v>86</v>
      </c>
    </row>
    <row r="9" spans="1:7" x14ac:dyDescent="0.25">
      <c r="A9" t="s">
        <v>172</v>
      </c>
      <c r="B9" t="s">
        <v>173</v>
      </c>
      <c r="C9" s="5">
        <f>COUNT('1_Du_lieu'!$K$5:$K$508)</f>
        <v>441</v>
      </c>
      <c r="D9" s="6">
        <f>AVERAGE('1_Du_lieu'!$K$5:$K$508)</f>
        <v>76.918820861678057</v>
      </c>
      <c r="E9" s="6">
        <f>_xlfn.STDEV.S('1_Du_lieu'!$K$5:$K$508)</f>
        <v>46.280389863085546</v>
      </c>
      <c r="F9" s="6">
        <f>MIN('1_Du_lieu'!$K$5:$K$508)</f>
        <v>26.1</v>
      </c>
      <c r="G9" s="6">
        <f>MAX('1_Du_lieu'!$K$5:$K$508)</f>
        <v>372.1</v>
      </c>
    </row>
    <row r="10" spans="1:7" x14ac:dyDescent="0.25">
      <c r="A10" t="s">
        <v>174</v>
      </c>
      <c r="B10" t="s">
        <v>175</v>
      </c>
      <c r="C10" s="5">
        <f>COUNT('1_Du_lieu'!$L$5:$L$508)</f>
        <v>504</v>
      </c>
      <c r="D10" s="6">
        <f>AVERAGE('1_Du_lieu'!$L$5:$L$508)</f>
        <v>5.1940416666666716</v>
      </c>
      <c r="E10" s="6">
        <f>_xlfn.STDEV.S('1_Du_lieu'!$L$5:$L$508)</f>
        <v>4.609113881821143</v>
      </c>
      <c r="F10" s="6">
        <f>MIN('1_Du_lieu'!$L$5:$L$508)</f>
        <v>1.3440000000000001</v>
      </c>
      <c r="G10" s="6">
        <f>MAX('1_Du_lieu'!$L$5:$L$508)</f>
        <v>29.286999999999999</v>
      </c>
    </row>
    <row r="11" spans="1:7" x14ac:dyDescent="0.25">
      <c r="A11" t="s">
        <v>176</v>
      </c>
      <c r="B11" t="s">
        <v>177</v>
      </c>
      <c r="C11" s="5">
        <f>COUNT('1_Du_lieu'!$M$5:$M$508)</f>
        <v>504</v>
      </c>
      <c r="D11" s="6">
        <f>AVERAGE('1_Du_lieu'!$M$5:$M$508)</f>
        <v>30.363591269841301</v>
      </c>
      <c r="E11" s="6">
        <f>_xlfn.STDEV.S('1_Du_lieu'!$M$5:$M$508)</f>
        <v>17.251925008548959</v>
      </c>
      <c r="F11" s="6">
        <f>MIN('1_Du_lieu'!$M$5:$M$508)</f>
        <v>9.8000000000000007</v>
      </c>
      <c r="G11" s="6">
        <f>MAX('1_Du_lieu'!$M$5:$M$508)</f>
        <v>87.81</v>
      </c>
    </row>
    <row r="12" spans="1:7" x14ac:dyDescent="0.25">
      <c r="A12" t="s">
        <v>178</v>
      </c>
      <c r="B12" t="s">
        <v>157</v>
      </c>
      <c r="C12" s="5">
        <f>COUNT('1_Du_lieu'!$N$5:$N$508)</f>
        <v>504</v>
      </c>
      <c r="D12" s="6">
        <f>AVERAGE('1_Du_lieu'!$N$5:$N$508)</f>
        <v>22.06845238095239</v>
      </c>
      <c r="E12" s="6">
        <f>_xlfn.STDEV.S('1_Du_lieu'!$N$5:$N$508)</f>
        <v>8.3342222923559657</v>
      </c>
      <c r="F12" s="6">
        <f>MIN('1_Du_lieu'!$N$5:$N$508)</f>
        <v>8.1999999999999993</v>
      </c>
      <c r="G12" s="6">
        <f>MAX('1_Du_lieu'!$N$5:$N$508)</f>
        <v>53.9</v>
      </c>
    </row>
    <row r="13" spans="1:7" x14ac:dyDescent="0.25">
      <c r="A13" t="s">
        <v>179</v>
      </c>
      <c r="B13" t="s">
        <v>180</v>
      </c>
      <c r="C13" s="5">
        <f>COUNT('1_Du_lieu'!$O$5:$O$508)</f>
        <v>378</v>
      </c>
      <c r="D13" s="6">
        <f>AVERAGE('1_Du_lieu'!$O$5:$O$508)</f>
        <v>21.265343915343916</v>
      </c>
      <c r="E13" s="6">
        <f>_xlfn.STDEV.S('1_Du_lieu'!$O$5:$O$508)</f>
        <v>8.8983198135800059</v>
      </c>
      <c r="F13" s="6">
        <f>MIN('1_Du_lieu'!$O$5:$O$508)</f>
        <v>4.3</v>
      </c>
      <c r="G13" s="6">
        <f>MAX('1_Du_lieu'!$O$5:$O$508)</f>
        <v>58.1</v>
      </c>
    </row>
    <row r="14" spans="1:7" x14ac:dyDescent="0.25">
      <c r="A14" t="s">
        <v>181</v>
      </c>
      <c r="B14" t="s">
        <v>182</v>
      </c>
      <c r="C14" s="5">
        <f>COUNT('1_Du_lieu'!$Q$5:$Q$508)</f>
        <v>496</v>
      </c>
      <c r="D14" s="6">
        <f>AVERAGE('1_Du_lieu'!$Q$5:$Q$508)</f>
        <v>13.229175454095358</v>
      </c>
      <c r="E14" s="6">
        <f>_xlfn.STDEV.S('1_Du_lieu'!$Q$5:$Q$508)</f>
        <v>11.423691440622738</v>
      </c>
      <c r="F14" s="6">
        <f>MIN('1_Du_lieu'!$Q$5:$Q$508)</f>
        <v>0.379030910609858</v>
      </c>
      <c r="G14" s="6">
        <f>MAX('1_Du_lieu'!$Q$5:$Q$508)</f>
        <v>68.197135696383825</v>
      </c>
    </row>
    <row r="15" spans="1:7" x14ac:dyDescent="0.25">
      <c r="A15" t="s">
        <v>183</v>
      </c>
      <c r="B15" t="s">
        <v>184</v>
      </c>
      <c r="C15" s="5">
        <f>COUNT('1_Du_lieu'!$T$5:$T$508)</f>
        <v>504</v>
      </c>
      <c r="D15" s="6">
        <f>AVERAGE('1_Du_lieu'!$T$5:$T$508)</f>
        <v>1.2049828282128294</v>
      </c>
      <c r="E15" s="6">
        <f>_xlfn.STDEV.S('1_Du_lieu'!$T$5:$T$508)</f>
        <v>1.1632725315123433</v>
      </c>
      <c r="F15" s="6">
        <f>MIN('1_Du_lieu'!$T$5:$T$508)</f>
        <v>0</v>
      </c>
      <c r="G15" s="6">
        <f>MAX('1_Du_lieu'!$T$5:$T$508)</f>
        <v>6.9992821249102652</v>
      </c>
    </row>
    <row r="16" spans="1:7" x14ac:dyDescent="0.25">
      <c r="A16" t="s">
        <v>72</v>
      </c>
      <c r="B16" t="s">
        <v>185</v>
      </c>
      <c r="C16" s="5">
        <f>COUNT('1_Du_lieu'!$U$5:$U$508)</f>
        <v>504</v>
      </c>
      <c r="D16" s="6">
        <f>AVERAGE('1_Du_lieu'!$U$5:$U$508)</f>
        <v>3354.3440476190467</v>
      </c>
      <c r="E16" s="6">
        <f>_xlfn.STDEV.S('1_Du_lieu'!$U$5:$U$508)</f>
        <v>4640.2111335949212</v>
      </c>
      <c r="F16" s="6">
        <f>MIN('1_Du_lieu'!$U$5:$U$508)</f>
        <v>3</v>
      </c>
      <c r="G16" s="6">
        <f>MAX('1_Du_lieu'!$U$5:$U$508)</f>
        <v>30546.5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7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6" customWidth="1"/>
    <col min="3" max="4" width="11" customWidth="1"/>
    <col min="5" max="5" width="8" customWidth="1"/>
    <col min="6" max="6" width="14" customWidth="1"/>
    <col min="7" max="10" width="12" customWidth="1"/>
    <col min="11" max="11" width="6" customWidth="1"/>
  </cols>
  <sheetData>
    <row r="1" spans="1:12" ht="17.25" x14ac:dyDescent="0.3">
      <c r="A1" s="1" t="s">
        <v>186</v>
      </c>
    </row>
    <row r="2" spans="1:12" ht="44.1" customHeight="1" x14ac:dyDescent="0.25">
      <c r="A2" s="26" t="s">
        <v>187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ht="32.1" customHeight="1" x14ac:dyDescent="0.25">
      <c r="A4" s="3" t="s">
        <v>52</v>
      </c>
      <c r="B4" s="3" t="s">
        <v>53</v>
      </c>
      <c r="C4" s="3" t="s">
        <v>188</v>
      </c>
      <c r="D4" s="3" t="s">
        <v>189</v>
      </c>
      <c r="E4" s="3" t="s">
        <v>56</v>
      </c>
      <c r="F4" s="3" t="s">
        <v>190</v>
      </c>
      <c r="G4" s="3" t="s">
        <v>191</v>
      </c>
      <c r="H4" s="3" t="s">
        <v>192</v>
      </c>
      <c r="I4" s="3" t="s">
        <v>193</v>
      </c>
      <c r="J4" s="3" t="s">
        <v>194</v>
      </c>
      <c r="K4" s="3" t="s">
        <v>195</v>
      </c>
    </row>
    <row r="5" spans="1:12" x14ac:dyDescent="0.25">
      <c r="A5" t="s">
        <v>85</v>
      </c>
      <c r="B5">
        <v>2017</v>
      </c>
      <c r="C5" s="5" t="str">
        <f>'1_Du_lieu'!C5</f>
        <v>ĐBSCL</v>
      </c>
      <c r="D5" s="5" t="str">
        <f t="shared" ref="D5:D68" si="0">IF(B5&lt;=2020,"2017–2020","2021–2024")</f>
        <v>2017–2020</v>
      </c>
      <c r="E5" s="8">
        <f>'1_Du_lieu'!E5</f>
        <v>27.2</v>
      </c>
      <c r="F5" s="9">
        <f>AVERAGE('1_Du_lieu'!$E$5:$E$67)</f>
        <v>31.157407407407412</v>
      </c>
      <c r="G5" s="8">
        <f t="shared" ref="G5:G68" si="1">E5/F5*100</f>
        <v>87.298662704309052</v>
      </c>
      <c r="H5" s="8">
        <f>'1_Du_lieu'!F5/AVERAGE('1_Du_lieu'!$F$5:$F$67)*100</f>
        <v>70.210758100031455</v>
      </c>
      <c r="I5" s="8">
        <f>'1_Du_lieu'!G5/AVERAGE('1_Du_lieu'!$G$5:$G$67)*100</f>
        <v>98.563296286256445</v>
      </c>
      <c r="J5" s="8">
        <f>'1_Du_lieu'!H5/AVERAGE('1_Du_lieu'!$H$5:$H$67)*100</f>
        <v>59.844084377866061</v>
      </c>
      <c r="K5" s="5">
        <f>'1_Du_lieu'!D5</f>
        <v>0</v>
      </c>
    </row>
    <row r="6" spans="1:12" x14ac:dyDescent="0.25">
      <c r="A6" t="s">
        <v>87</v>
      </c>
      <c r="B6">
        <v>2017</v>
      </c>
      <c r="C6" s="5" t="str">
        <f>'1_Du_lieu'!C6</f>
        <v>ĐNB</v>
      </c>
      <c r="D6" s="5" t="str">
        <f t="shared" si="0"/>
        <v>2017–2020</v>
      </c>
      <c r="E6" s="8">
        <f>'1_Du_lieu'!E6</f>
        <v>37.799999999999997</v>
      </c>
      <c r="F6" s="9">
        <f>AVERAGE('1_Du_lieu'!$E$5:$E$67)</f>
        <v>31.157407407407412</v>
      </c>
      <c r="G6" s="8">
        <f t="shared" si="1"/>
        <v>121.31946508172359</v>
      </c>
      <c r="H6" s="8">
        <f>'1_Du_lieu'!F6/AVERAGE('1_Du_lieu'!$F$5:$F$67)*100</f>
        <v>120.60396351053791</v>
      </c>
      <c r="I6" s="8">
        <f>'1_Du_lieu'!G6/AVERAGE('1_Du_lieu'!$G$5:$G$67)*100</f>
        <v>139.06207644348063</v>
      </c>
      <c r="J6" s="8">
        <f>'1_Du_lieu'!H6/AVERAGE('1_Du_lieu'!$H$5:$H$67)*100</f>
        <v>118.0372974625496</v>
      </c>
      <c r="K6" s="5">
        <f>'1_Du_lieu'!D6</f>
        <v>1</v>
      </c>
    </row>
    <row r="7" spans="1:12" x14ac:dyDescent="0.25">
      <c r="A7" t="s">
        <v>89</v>
      </c>
      <c r="B7">
        <v>2017</v>
      </c>
      <c r="C7" s="5" t="str">
        <f>'1_Du_lieu'!C7</f>
        <v>ĐNB</v>
      </c>
      <c r="D7" s="5" t="str">
        <f t="shared" si="0"/>
        <v>2017–2020</v>
      </c>
      <c r="E7" s="8">
        <f>'1_Du_lieu'!E7</f>
        <v>43</v>
      </c>
      <c r="F7" s="9">
        <f>AVERAGE('1_Du_lieu'!$E$5:$E$67)</f>
        <v>31.157407407407412</v>
      </c>
      <c r="G7" s="8">
        <f t="shared" si="1"/>
        <v>138.00891530460621</v>
      </c>
      <c r="H7" s="8">
        <f>'1_Du_lieu'!F7/AVERAGE('1_Du_lieu'!$F$5:$F$67)*100</f>
        <v>120.0377477194086</v>
      </c>
      <c r="I7" s="8">
        <f>'1_Du_lieu'!G7/AVERAGE('1_Du_lieu'!$G$5:$G$67)*100</f>
        <v>151.50447275684468</v>
      </c>
      <c r="J7" s="8">
        <f>'1_Du_lieu'!H7/AVERAGE('1_Du_lieu'!$H$5:$H$67)*100</f>
        <v>151.46744114949547</v>
      </c>
      <c r="K7" s="5">
        <f>'1_Du_lieu'!D7</f>
        <v>1</v>
      </c>
    </row>
    <row r="8" spans="1:12" x14ac:dyDescent="0.25">
      <c r="A8" t="s">
        <v>90</v>
      </c>
      <c r="B8">
        <v>2017</v>
      </c>
      <c r="C8" s="5" t="str">
        <f>'1_Du_lieu'!C8</f>
        <v>ĐNB</v>
      </c>
      <c r="D8" s="5" t="str">
        <f t="shared" si="0"/>
        <v>2017–2020</v>
      </c>
      <c r="E8" s="8">
        <f>'1_Du_lieu'!E8</f>
        <v>24</v>
      </c>
      <c r="F8" s="9">
        <f>AVERAGE('1_Du_lieu'!$E$5:$E$67)</f>
        <v>31.157407407407412</v>
      </c>
      <c r="G8" s="8">
        <f t="shared" si="1"/>
        <v>77.028231797919759</v>
      </c>
      <c r="H8" s="8">
        <f>'1_Du_lieu'!F8/AVERAGE('1_Du_lieu'!$F$5:$F$67)*100</f>
        <v>62.283737024221452</v>
      </c>
      <c r="I8" s="8">
        <f>'1_Du_lieu'!G8/AVERAGE('1_Du_lieu'!$G$5:$G$67)*100</f>
        <v>85.388994307400381</v>
      </c>
      <c r="J8" s="8">
        <f>'1_Du_lieu'!H8/AVERAGE('1_Du_lieu'!$H$5:$H$67)*100</f>
        <v>73.463772546621783</v>
      </c>
      <c r="K8" s="5">
        <f>'1_Du_lieu'!D8</f>
        <v>1</v>
      </c>
    </row>
    <row r="9" spans="1:12" x14ac:dyDescent="0.25">
      <c r="A9" t="s">
        <v>91</v>
      </c>
      <c r="B9">
        <v>2017</v>
      </c>
      <c r="C9" s="5" t="str">
        <f>'1_Du_lieu'!C9</f>
        <v>BTB&amp;DHMT</v>
      </c>
      <c r="D9" s="5" t="str">
        <f t="shared" si="0"/>
        <v>2017–2020</v>
      </c>
      <c r="E9" s="8">
        <f>'1_Du_lieu'!E9</f>
        <v>29.5</v>
      </c>
      <c r="F9" s="9">
        <f>AVERAGE('1_Du_lieu'!$E$5:$E$67)</f>
        <v>31.157407407407412</v>
      </c>
      <c r="G9" s="8">
        <f t="shared" si="1"/>
        <v>94.680534918276365</v>
      </c>
      <c r="H9" s="8">
        <f>'1_Du_lieu'!F9/AVERAGE('1_Du_lieu'!$F$5:$F$67)*100</f>
        <v>82.101289713746468</v>
      </c>
      <c r="I9" s="8">
        <f>'1_Du_lieu'!G9/AVERAGE('1_Du_lieu'!$G$5:$G$67)*100</f>
        <v>101.24695039306046</v>
      </c>
      <c r="J9" s="8">
        <f>'1_Du_lieu'!H9/AVERAGE('1_Du_lieu'!$H$5:$H$67)*100</f>
        <v>90.385203301742521</v>
      </c>
      <c r="K9" s="5">
        <f>'1_Du_lieu'!D9</f>
        <v>0</v>
      </c>
    </row>
    <row r="10" spans="1:12" x14ac:dyDescent="0.25">
      <c r="A10" t="s">
        <v>93</v>
      </c>
      <c r="B10">
        <v>2017</v>
      </c>
      <c r="C10" s="5" t="str">
        <f>'1_Du_lieu'!C10</f>
        <v>BTB&amp;DHMT</v>
      </c>
      <c r="D10" s="5" t="str">
        <f t="shared" si="0"/>
        <v>2017–2020</v>
      </c>
      <c r="E10" s="8">
        <f>'1_Du_lieu'!E10</f>
        <v>29.9</v>
      </c>
      <c r="F10" s="9">
        <f>AVERAGE('1_Du_lieu'!$E$5:$E$67)</f>
        <v>31.157407407407412</v>
      </c>
      <c r="G10" s="8">
        <f t="shared" si="1"/>
        <v>95.964338781575023</v>
      </c>
      <c r="H10" s="8">
        <f>'1_Du_lieu'!F10/AVERAGE('1_Du_lieu'!$F$5:$F$67)*100</f>
        <v>87.763447625039319</v>
      </c>
      <c r="I10" s="8">
        <f>'1_Du_lieu'!G10/AVERAGE('1_Du_lieu'!$G$5:$G$67)*100</f>
        <v>100.02710761724045</v>
      </c>
      <c r="J10" s="8">
        <f>'1_Du_lieu'!H10/AVERAGE('1_Du_lieu'!$H$5:$H$67)*100</f>
        <v>100.70314888413323</v>
      </c>
      <c r="K10" s="5">
        <f>'1_Du_lieu'!D10</f>
        <v>0</v>
      </c>
    </row>
    <row r="11" spans="1:12" x14ac:dyDescent="0.25">
      <c r="A11" t="s">
        <v>95</v>
      </c>
      <c r="B11">
        <v>2017</v>
      </c>
      <c r="C11" s="5" t="str">
        <f>'1_Du_lieu'!C12</f>
        <v>TDMNPB</v>
      </c>
      <c r="D11" s="5" t="str">
        <f t="shared" si="0"/>
        <v>2017–2020</v>
      </c>
      <c r="E11" s="8">
        <f>'1_Du_lieu'!E12</f>
        <v>30</v>
      </c>
      <c r="F11" s="9">
        <f>AVERAGE('1_Du_lieu'!$E$5:$E$67)</f>
        <v>31.157407407407412</v>
      </c>
      <c r="G11" s="8">
        <f t="shared" si="1"/>
        <v>96.285289747399688</v>
      </c>
      <c r="H11" s="8">
        <f>'1_Du_lieu'!F12/AVERAGE('1_Du_lieu'!$F$5:$F$67)*100</f>
        <v>65.681031770997166</v>
      </c>
      <c r="I11" s="8">
        <f>'1_Du_lieu'!G12/AVERAGE('1_Du_lieu'!$G$5:$G$67)*100</f>
        <v>98.807264841420434</v>
      </c>
      <c r="J11" s="8">
        <f>'1_Du_lieu'!H12/AVERAGE('1_Du_lieu'!$H$5:$H$67)*100</f>
        <v>103.17945582390699</v>
      </c>
      <c r="K11" s="5">
        <f>'1_Du_lieu'!D12</f>
        <v>0</v>
      </c>
    </row>
    <row r="12" spans="1:12" x14ac:dyDescent="0.25">
      <c r="A12" t="s">
        <v>97</v>
      </c>
      <c r="B12">
        <v>2017</v>
      </c>
      <c r="C12" s="5" t="str">
        <f>'1_Du_lieu'!C13</f>
        <v>TDMNPB</v>
      </c>
      <c r="D12" s="5" t="str">
        <f t="shared" si="0"/>
        <v>2017–2020</v>
      </c>
      <c r="E12" s="8">
        <f>'1_Du_lieu'!E13</f>
        <v>22.6</v>
      </c>
      <c r="F12" s="9">
        <f>AVERAGE('1_Du_lieu'!$E$5:$E$67)</f>
        <v>31.157407407407412</v>
      </c>
      <c r="G12" s="8">
        <f t="shared" si="1"/>
        <v>72.534918276374441</v>
      </c>
      <c r="H12" s="8">
        <f>'1_Du_lieu'!F13/AVERAGE('1_Du_lieu'!$F$5:$F$67)*100</f>
        <v>78.137779175841459</v>
      </c>
      <c r="I12" s="8">
        <f>'1_Du_lieu'!G13/AVERAGE('1_Du_lieu'!$G$5:$G$67)*100</f>
        <v>65.383572783952289</v>
      </c>
      <c r="J12" s="8">
        <f>'1_Du_lieu'!H13/AVERAGE('1_Du_lieu'!$H$5:$H$67)*100</f>
        <v>76.352797309691184</v>
      </c>
      <c r="K12" s="5">
        <f>'1_Du_lieu'!D13</f>
        <v>0</v>
      </c>
    </row>
    <row r="13" spans="1:12" x14ac:dyDescent="0.25">
      <c r="A13" t="s">
        <v>98</v>
      </c>
      <c r="B13">
        <v>2017</v>
      </c>
      <c r="C13" s="5" t="str">
        <f>'1_Du_lieu'!C14</f>
        <v>ĐBSH</v>
      </c>
      <c r="D13" s="5" t="str">
        <f t="shared" si="0"/>
        <v>2017–2020</v>
      </c>
      <c r="E13" s="8">
        <f>'1_Du_lieu'!E14</f>
        <v>38.9</v>
      </c>
      <c r="F13" s="9">
        <f>AVERAGE('1_Du_lieu'!$E$5:$E$67)</f>
        <v>31.157407407407412</v>
      </c>
      <c r="G13" s="8">
        <f t="shared" si="1"/>
        <v>124.84992570579492</v>
      </c>
      <c r="H13" s="8">
        <f>'1_Du_lieu'!F14/AVERAGE('1_Du_lieu'!$F$5:$F$67)*100</f>
        <v>112.11072664359862</v>
      </c>
      <c r="I13" s="8">
        <f>'1_Du_lieu'!G14/AVERAGE('1_Du_lieu'!$G$5:$G$67)*100</f>
        <v>141.01382488479263</v>
      </c>
      <c r="J13" s="8">
        <f>'1_Du_lieu'!H14/AVERAGE('1_Du_lieu'!$H$5:$H$67)*100</f>
        <v>125.05350045857529</v>
      </c>
      <c r="K13" s="5">
        <f>'1_Du_lieu'!D14</f>
        <v>1</v>
      </c>
    </row>
    <row r="14" spans="1:12" x14ac:dyDescent="0.25">
      <c r="A14" t="s">
        <v>100</v>
      </c>
      <c r="B14">
        <v>2017</v>
      </c>
      <c r="C14" s="5" t="str">
        <f>'1_Du_lieu'!C15</f>
        <v>ĐBSCL</v>
      </c>
      <c r="D14" s="5" t="str">
        <f t="shared" si="0"/>
        <v>2017–2020</v>
      </c>
      <c r="E14" s="8">
        <f>'1_Du_lieu'!E15</f>
        <v>28.1</v>
      </c>
      <c r="F14" s="9">
        <f>AVERAGE('1_Du_lieu'!$E$5:$E$67)</f>
        <v>31.157407407407412</v>
      </c>
      <c r="G14" s="8">
        <f t="shared" si="1"/>
        <v>90.187221396731047</v>
      </c>
      <c r="H14" s="8">
        <f>'1_Du_lieu'!F15/AVERAGE('1_Du_lieu'!$F$5:$F$67)*100</f>
        <v>89.462094998427176</v>
      </c>
      <c r="I14" s="8">
        <f>'1_Du_lieu'!G15/AVERAGE('1_Du_lieu'!$G$5:$G$67)*100</f>
        <v>89.04852263486039</v>
      </c>
      <c r="J14" s="8">
        <f>'1_Du_lieu'!H15/AVERAGE('1_Du_lieu'!$H$5:$H$67)*100</f>
        <v>80.479975542647452</v>
      </c>
      <c r="K14" s="5">
        <f>'1_Du_lieu'!D15</f>
        <v>0</v>
      </c>
    </row>
    <row r="15" spans="1:12" x14ac:dyDescent="0.25">
      <c r="A15" t="s">
        <v>102</v>
      </c>
      <c r="B15">
        <v>2017</v>
      </c>
      <c r="C15" s="5" t="str">
        <f>'1_Du_lieu'!C17</f>
        <v>ĐBSCL</v>
      </c>
      <c r="D15" s="5" t="str">
        <f t="shared" si="0"/>
        <v>2017–2020</v>
      </c>
      <c r="E15" s="8">
        <f>'1_Du_lieu'!E17</f>
        <v>21.2</v>
      </c>
      <c r="F15" s="9">
        <f>AVERAGE('1_Du_lieu'!$E$5:$E$67)</f>
        <v>31.157407407407412</v>
      </c>
      <c r="G15" s="8">
        <f t="shared" si="1"/>
        <v>68.041604754829109</v>
      </c>
      <c r="H15" s="8">
        <f>'1_Du_lieu'!F17/AVERAGE('1_Du_lieu'!$F$5:$F$67)*100</f>
        <v>62.84995281535074</v>
      </c>
      <c r="I15" s="8">
        <f>'1_Du_lieu'!G17/AVERAGE('1_Du_lieu'!$G$5:$G$67)*100</f>
        <v>58.552453239360261</v>
      </c>
      <c r="J15" s="8">
        <f>'1_Du_lieu'!H17/AVERAGE('1_Du_lieu'!$H$5:$H$67)*100</f>
        <v>76.765515132986806</v>
      </c>
      <c r="K15" s="5">
        <f>'1_Du_lieu'!D17</f>
        <v>0</v>
      </c>
    </row>
    <row r="16" spans="1:12" x14ac:dyDescent="0.25">
      <c r="A16" t="s">
        <v>103</v>
      </c>
      <c r="B16">
        <v>2017</v>
      </c>
      <c r="C16" s="5" t="str">
        <f>'1_Du_lieu'!C18</f>
        <v>ĐBSCL</v>
      </c>
      <c r="D16" s="5" t="str">
        <f t="shared" si="0"/>
        <v>2017–2020</v>
      </c>
      <c r="E16" s="8">
        <f>'1_Du_lieu'!E18</f>
        <v>37.200000000000003</v>
      </c>
      <c r="F16" s="9">
        <f>AVERAGE('1_Du_lieu'!$E$5:$E$67)</f>
        <v>31.157407407407412</v>
      </c>
      <c r="G16" s="8">
        <f t="shared" si="1"/>
        <v>119.39375928677562</v>
      </c>
      <c r="H16" s="8">
        <f>'1_Du_lieu'!F18/AVERAGE('1_Du_lieu'!$F$5:$F$67)*100</f>
        <v>97.955331865366475</v>
      </c>
      <c r="I16" s="8">
        <f>'1_Du_lieu'!G18/AVERAGE('1_Du_lieu'!$G$5:$G$67)*100</f>
        <v>135.40254811602063</v>
      </c>
      <c r="J16" s="8">
        <f>'1_Du_lieu'!H18/AVERAGE('1_Du_lieu'!$H$5:$H$67)*100</f>
        <v>108.13206970345452</v>
      </c>
      <c r="K16" s="5">
        <f>'1_Du_lieu'!D18</f>
        <v>0</v>
      </c>
    </row>
    <row r="17" spans="1:11" x14ac:dyDescent="0.25">
      <c r="A17" t="s">
        <v>104</v>
      </c>
      <c r="B17">
        <v>2017</v>
      </c>
      <c r="C17" s="5" t="str">
        <f>'1_Du_lieu'!C19</f>
        <v>TN</v>
      </c>
      <c r="D17" s="5" t="str">
        <f t="shared" si="0"/>
        <v>2017–2020</v>
      </c>
      <c r="E17" s="8">
        <f>'1_Du_lieu'!E19</f>
        <v>23.7</v>
      </c>
      <c r="F17" s="9">
        <f>AVERAGE('1_Du_lieu'!$E$5:$E$67)</f>
        <v>31.157407407407412</v>
      </c>
      <c r="G17" s="8">
        <f t="shared" si="1"/>
        <v>76.065378900445751</v>
      </c>
      <c r="H17" s="8">
        <f>'1_Du_lieu'!F19/AVERAGE('1_Du_lieu'!$F$5:$F$67)*100</f>
        <v>56.621579112928586</v>
      </c>
      <c r="I17" s="8">
        <f>'1_Du_lieu'!G19/AVERAGE('1_Du_lieu'!$G$5:$G$67)*100</f>
        <v>80.509623204120359</v>
      </c>
      <c r="J17" s="8">
        <f>'1_Du_lieu'!H19/AVERAGE('1_Du_lieu'!$H$5:$H$67)*100</f>
        <v>86.670742892081876</v>
      </c>
      <c r="K17" s="5">
        <f>'1_Du_lieu'!D19</f>
        <v>0</v>
      </c>
    </row>
    <row r="18" spans="1:11" x14ac:dyDescent="0.25">
      <c r="A18" t="s">
        <v>107</v>
      </c>
      <c r="B18">
        <v>2017</v>
      </c>
      <c r="C18" s="5" t="str">
        <f>'1_Du_lieu'!C21</f>
        <v>ĐBSH</v>
      </c>
      <c r="D18" s="5" t="str">
        <f t="shared" si="0"/>
        <v>2017–2020</v>
      </c>
      <c r="E18" s="8">
        <f>'1_Du_lieu'!E21</f>
        <v>29.3</v>
      </c>
      <c r="F18" s="9">
        <f>AVERAGE('1_Du_lieu'!$E$5:$E$67)</f>
        <v>31.157407407407412</v>
      </c>
      <c r="G18" s="8">
        <f t="shared" si="1"/>
        <v>94.038632986627036</v>
      </c>
      <c r="H18" s="8">
        <f>'1_Du_lieu'!F21/AVERAGE('1_Du_lieu'!$F$5:$F$67)*100</f>
        <v>89.462094998427176</v>
      </c>
      <c r="I18" s="8">
        <f>'1_Du_lieu'!G21/AVERAGE('1_Du_lieu'!$G$5:$G$67)*100</f>
        <v>98.563296286256445</v>
      </c>
      <c r="J18" s="8">
        <f>'1_Du_lieu'!H21/AVERAGE('1_Du_lieu'!$H$5:$H$67)*100</f>
        <v>85.845307245490616</v>
      </c>
      <c r="K18" s="5">
        <f>'1_Du_lieu'!D21</f>
        <v>1</v>
      </c>
    </row>
    <row r="19" spans="1:11" x14ac:dyDescent="0.25">
      <c r="A19" t="s">
        <v>108</v>
      </c>
      <c r="B19">
        <v>2017</v>
      </c>
      <c r="C19" s="5" t="str">
        <f>'1_Du_lieu'!C22</f>
        <v>ĐBSH</v>
      </c>
      <c r="D19" s="5" t="str">
        <f t="shared" si="0"/>
        <v>2017–2020</v>
      </c>
      <c r="E19" s="8">
        <f>'1_Du_lieu'!E22</f>
        <v>75.8</v>
      </c>
      <c r="F19" s="9">
        <f>AVERAGE('1_Du_lieu'!$E$5:$E$67)</f>
        <v>31.157407407407412</v>
      </c>
      <c r="G19" s="8">
        <f t="shared" si="1"/>
        <v>243.28083209509654</v>
      </c>
      <c r="H19" s="8">
        <f>'1_Du_lieu'!F22/AVERAGE('1_Du_lieu'!$F$5:$F$67)*100</f>
        <v>530.54419628814094</v>
      </c>
      <c r="I19" s="8">
        <f>'1_Du_lieu'!G22/AVERAGE('1_Du_lieu'!$G$5:$G$67)*100</f>
        <v>168.82624017348877</v>
      </c>
      <c r="J19" s="8">
        <f>'1_Du_lieu'!H22/AVERAGE('1_Du_lieu'!$H$5:$H$67)*100</f>
        <v>265.79027820238446</v>
      </c>
      <c r="K19" s="5">
        <f>'1_Du_lieu'!D22</f>
        <v>1</v>
      </c>
    </row>
    <row r="20" spans="1:11" x14ac:dyDescent="0.25">
      <c r="A20" t="s">
        <v>109</v>
      </c>
      <c r="B20">
        <v>2017</v>
      </c>
      <c r="C20" s="5" t="str">
        <f>'1_Du_lieu'!C23</f>
        <v>BTB&amp;DHMT</v>
      </c>
      <c r="D20" s="5" t="str">
        <f t="shared" si="0"/>
        <v>2017–2020</v>
      </c>
      <c r="E20" s="8">
        <f>'1_Du_lieu'!E23</f>
        <v>27.1</v>
      </c>
      <c r="F20" s="9">
        <f>AVERAGE('1_Du_lieu'!$E$5:$E$67)</f>
        <v>31.157407407407412</v>
      </c>
      <c r="G20" s="8">
        <f t="shared" si="1"/>
        <v>86.977711738484388</v>
      </c>
      <c r="H20" s="8">
        <f>'1_Du_lieu'!F23/AVERAGE('1_Du_lieu'!$F$5:$F$67)*100</f>
        <v>67.379679144385022</v>
      </c>
      <c r="I20" s="8">
        <f>'1_Du_lieu'!G23/AVERAGE('1_Du_lieu'!$G$5:$G$67)*100</f>
        <v>80.997560314448364</v>
      </c>
      <c r="J20" s="8">
        <f>'1_Du_lieu'!H23/AVERAGE('1_Du_lieu'!$H$5:$H$67)*100</f>
        <v>103.17945582390699</v>
      </c>
      <c r="K20" s="5">
        <f>'1_Du_lieu'!D23</f>
        <v>0</v>
      </c>
    </row>
    <row r="21" spans="1:11" x14ac:dyDescent="0.25">
      <c r="A21" t="s">
        <v>110</v>
      </c>
      <c r="B21">
        <v>2017</v>
      </c>
      <c r="C21" s="5" t="str">
        <f>'1_Du_lieu'!C24</f>
        <v>TDMNPB</v>
      </c>
      <c r="D21" s="5" t="str">
        <f t="shared" si="0"/>
        <v>2017–2020</v>
      </c>
      <c r="E21" s="8">
        <f>'1_Du_lieu'!E24</f>
        <v>25.1</v>
      </c>
      <c r="F21" s="9">
        <f>AVERAGE('1_Du_lieu'!$E$5:$E$67)</f>
        <v>31.157407407407412</v>
      </c>
      <c r="G21" s="8">
        <f t="shared" si="1"/>
        <v>80.558692421991068</v>
      </c>
      <c r="H21" s="8">
        <f>'1_Du_lieu'!F24/AVERAGE('1_Du_lieu'!$F$5:$F$67)*100</f>
        <v>61.15130544196289</v>
      </c>
      <c r="I21" s="8">
        <f>'1_Du_lieu'!G24/AVERAGE('1_Du_lieu'!$G$5:$G$67)*100</f>
        <v>73.434535104364329</v>
      </c>
      <c r="J21" s="8">
        <f>'1_Du_lieu'!H24/AVERAGE('1_Du_lieu'!$H$5:$H$67)*100</f>
        <v>92.03607459492504</v>
      </c>
      <c r="K21" s="5">
        <f>'1_Du_lieu'!D24</f>
        <v>0</v>
      </c>
    </row>
    <row r="22" spans="1:11" x14ac:dyDescent="0.25">
      <c r="A22" t="s">
        <v>111</v>
      </c>
      <c r="B22">
        <v>2017</v>
      </c>
      <c r="C22" s="5" t="str">
        <f>'1_Du_lieu'!C25</f>
        <v>ĐBSH</v>
      </c>
      <c r="D22" s="5" t="str">
        <f t="shared" si="0"/>
        <v>2017–2020</v>
      </c>
      <c r="E22" s="8">
        <f>'1_Du_lieu'!E25</f>
        <v>28</v>
      </c>
      <c r="F22" s="9">
        <f>AVERAGE('1_Du_lieu'!$E$5:$E$67)</f>
        <v>31.157407407407412</v>
      </c>
      <c r="G22" s="8">
        <f t="shared" si="1"/>
        <v>89.866270430906383</v>
      </c>
      <c r="H22" s="8">
        <f>'1_Du_lieu'!F25/AVERAGE('1_Du_lieu'!$F$5:$F$67)*100</f>
        <v>80.402642340358597</v>
      </c>
      <c r="I22" s="8">
        <f>'1_Du_lieu'!G25/AVERAGE('1_Du_lieu'!$G$5:$G$67)*100</f>
        <v>88.560585524532385</v>
      </c>
      <c r="J22" s="8">
        <f>'1_Du_lieu'!H25/AVERAGE('1_Du_lieu'!$H$5:$H$67)*100</f>
        <v>86.670742892081876</v>
      </c>
      <c r="K22" s="5">
        <f>'1_Du_lieu'!D25</f>
        <v>1</v>
      </c>
    </row>
    <row r="23" spans="1:11" x14ac:dyDescent="0.25">
      <c r="A23" t="s">
        <v>112</v>
      </c>
      <c r="B23">
        <v>2017</v>
      </c>
      <c r="C23" s="5" t="str">
        <f>'1_Du_lieu'!C26</f>
        <v>ĐBSH</v>
      </c>
      <c r="D23" s="5" t="str">
        <f t="shared" si="0"/>
        <v>2017–2020</v>
      </c>
      <c r="E23" s="8">
        <f>'1_Du_lieu'!E26</f>
        <v>34.6</v>
      </c>
      <c r="F23" s="9">
        <f>AVERAGE('1_Du_lieu'!$E$5:$E$67)</f>
        <v>31.157407407407412</v>
      </c>
      <c r="G23" s="8">
        <f t="shared" si="1"/>
        <v>111.04903417533431</v>
      </c>
      <c r="H23" s="8">
        <f>'1_Du_lieu'!F26/AVERAGE('1_Du_lieu'!$F$5:$F$67)*100</f>
        <v>86.631016042780757</v>
      </c>
      <c r="I23" s="8">
        <f>'1_Du_lieu'!G26/AVERAGE('1_Du_lieu'!$G$5:$G$67)*100</f>
        <v>133.93873678503661</v>
      </c>
      <c r="J23" s="8">
        <f>'1_Du_lieu'!H26/AVERAGE('1_Du_lieu'!$H$5:$H$67)*100</f>
        <v>87.496178538673135</v>
      </c>
      <c r="K23" s="5">
        <f>'1_Du_lieu'!D26</f>
        <v>1</v>
      </c>
    </row>
    <row r="24" spans="1:11" x14ac:dyDescent="0.25">
      <c r="A24" t="s">
        <v>113</v>
      </c>
      <c r="B24">
        <v>2017</v>
      </c>
      <c r="C24" s="5" t="str">
        <f>'1_Du_lieu'!C27</f>
        <v>ĐBSH</v>
      </c>
      <c r="D24" s="5" t="str">
        <f t="shared" si="0"/>
        <v>2017–2020</v>
      </c>
      <c r="E24" s="8">
        <f>'1_Du_lieu'!E27</f>
        <v>42.2</v>
      </c>
      <c r="F24" s="9">
        <f>AVERAGE('1_Du_lieu'!$E$5:$E$67)</f>
        <v>31.157407407407412</v>
      </c>
      <c r="G24" s="8">
        <f t="shared" si="1"/>
        <v>135.44130757800889</v>
      </c>
      <c r="H24" s="8">
        <f>'1_Du_lieu'!F27/AVERAGE('1_Du_lieu'!$F$5:$F$67)*100</f>
        <v>125.1336898395722</v>
      </c>
      <c r="I24" s="8">
        <f>'1_Du_lieu'!G27/AVERAGE('1_Du_lieu'!$G$5:$G$67)*100</f>
        <v>150.28462998102466</v>
      </c>
      <c r="J24" s="8">
        <f>'1_Du_lieu'!H27/AVERAGE('1_Du_lieu'!$H$5:$H$67)*100</f>
        <v>133.30785692448782</v>
      </c>
      <c r="K24" s="5">
        <f>'1_Du_lieu'!D27</f>
        <v>1</v>
      </c>
    </row>
    <row r="25" spans="1:11" x14ac:dyDescent="0.25">
      <c r="A25" t="s">
        <v>115</v>
      </c>
      <c r="B25">
        <v>2017</v>
      </c>
      <c r="C25" s="5" t="str">
        <f>'1_Du_lieu'!C29</f>
        <v>BTB&amp;DHMT</v>
      </c>
      <c r="D25" s="5" t="str">
        <f t="shared" si="0"/>
        <v>2017–2020</v>
      </c>
      <c r="E25" s="8">
        <f>'1_Du_lieu'!E29</f>
        <v>34.6</v>
      </c>
      <c r="F25" s="9">
        <f>AVERAGE('1_Du_lieu'!$E$5:$E$67)</f>
        <v>31.157407407407412</v>
      </c>
      <c r="G25" s="8">
        <f t="shared" si="1"/>
        <v>111.04903417533431</v>
      </c>
      <c r="H25" s="8">
        <f>'1_Du_lieu'!F29/AVERAGE('1_Du_lieu'!$F$5:$F$67)*100</f>
        <v>121.73639509279649</v>
      </c>
      <c r="I25" s="8">
        <f>'1_Du_lieu'!G29/AVERAGE('1_Du_lieu'!$G$5:$G$67)*100</f>
        <v>115.3971265925725</v>
      </c>
      <c r="J25" s="8">
        <f>'1_Du_lieu'!H29/AVERAGE('1_Du_lieu'!$H$5:$H$67)*100</f>
        <v>106.89391623356764</v>
      </c>
      <c r="K25" s="5">
        <f>'1_Du_lieu'!D29</f>
        <v>0</v>
      </c>
    </row>
    <row r="26" spans="1:11" x14ac:dyDescent="0.25">
      <c r="A26" t="s">
        <v>116</v>
      </c>
      <c r="B26">
        <v>2017</v>
      </c>
      <c r="C26" s="5" t="str">
        <f>'1_Du_lieu'!C30</f>
        <v>ĐBSCL</v>
      </c>
      <c r="D26" s="5" t="str">
        <f t="shared" si="0"/>
        <v>2017–2020</v>
      </c>
      <c r="E26" s="8">
        <f>'1_Du_lieu'!E30</f>
        <v>27.5</v>
      </c>
      <c r="F26" s="9">
        <f>AVERAGE('1_Du_lieu'!$E$5:$E$67)</f>
        <v>31.157407407407412</v>
      </c>
      <c r="G26" s="8">
        <f t="shared" si="1"/>
        <v>88.261515601783046</v>
      </c>
      <c r="H26" s="8">
        <f>'1_Du_lieu'!F30/AVERAGE('1_Du_lieu'!$F$5:$F$67)*100</f>
        <v>84.366152878263605</v>
      </c>
      <c r="I26" s="8">
        <f>'1_Du_lieu'!G30/AVERAGE('1_Du_lieu'!$G$5:$G$67)*100</f>
        <v>85.388994307400381</v>
      </c>
      <c r="J26" s="8">
        <f>'1_Du_lieu'!H30/AVERAGE('1_Du_lieu'!$H$5:$H$67)*100</f>
        <v>88.32161418526438</v>
      </c>
      <c r="K26" s="5">
        <f>'1_Du_lieu'!D30</f>
        <v>0</v>
      </c>
    </row>
    <row r="27" spans="1:11" x14ac:dyDescent="0.25">
      <c r="A27" t="s">
        <v>117</v>
      </c>
      <c r="B27">
        <v>2017</v>
      </c>
      <c r="C27" s="5" t="str">
        <f>'1_Du_lieu'!C31</f>
        <v>TN</v>
      </c>
      <c r="D27" s="5" t="str">
        <f t="shared" si="0"/>
        <v>2017–2020</v>
      </c>
      <c r="E27" s="8">
        <f>'1_Du_lieu'!E31</f>
        <v>24.2</v>
      </c>
      <c r="F27" s="9">
        <f>AVERAGE('1_Du_lieu'!$E$5:$E$67)</f>
        <v>31.157407407407412</v>
      </c>
      <c r="G27" s="8">
        <f t="shared" si="1"/>
        <v>77.670133729569073</v>
      </c>
      <c r="H27" s="8">
        <f>'1_Du_lieu'!F31/AVERAGE('1_Du_lieu'!$F$5:$F$67)*100</f>
        <v>87.763447625039319</v>
      </c>
      <c r="I27" s="8">
        <f>'1_Du_lieu'!G31/AVERAGE('1_Du_lieu'!$G$5:$G$67)*100</f>
        <v>65.383572783952289</v>
      </c>
      <c r="J27" s="8">
        <f>'1_Du_lieu'!H31/AVERAGE('1_Du_lieu'!$H$5:$H$67)*100</f>
        <v>85.019871598899371</v>
      </c>
      <c r="K27" s="5">
        <f>'1_Du_lieu'!D31</f>
        <v>0</v>
      </c>
    </row>
    <row r="28" spans="1:11" x14ac:dyDescent="0.25">
      <c r="A28" t="s">
        <v>119</v>
      </c>
      <c r="B28">
        <v>2017</v>
      </c>
      <c r="C28" s="5" t="str">
        <f>'1_Du_lieu'!C33</f>
        <v>ĐBSCL</v>
      </c>
      <c r="D28" s="5" t="str">
        <f t="shared" si="0"/>
        <v>2017–2020</v>
      </c>
      <c r="E28" s="8">
        <f>'1_Du_lieu'!E33</f>
        <v>27.9</v>
      </c>
      <c r="F28" s="9">
        <f>AVERAGE('1_Du_lieu'!$E$5:$E$67)</f>
        <v>31.157407407407412</v>
      </c>
      <c r="G28" s="8">
        <f t="shared" si="1"/>
        <v>89.545319465081704</v>
      </c>
      <c r="H28" s="8">
        <f>'1_Du_lieu'!F33/AVERAGE('1_Du_lieu'!$F$5:$F$67)*100</f>
        <v>83.799937087134325</v>
      </c>
      <c r="I28" s="8">
        <f>'1_Du_lieu'!G33/AVERAGE('1_Du_lieu'!$G$5:$G$67)*100</f>
        <v>85.388994307400381</v>
      </c>
      <c r="J28" s="8">
        <f>'1_Du_lieu'!H33/AVERAGE('1_Du_lieu'!$H$5:$H$67)*100</f>
        <v>95.750535004585686</v>
      </c>
      <c r="K28" s="5">
        <f>'1_Du_lieu'!D33</f>
        <v>0</v>
      </c>
    </row>
    <row r="29" spans="1:11" x14ac:dyDescent="0.25">
      <c r="A29" t="s">
        <v>120</v>
      </c>
      <c r="B29">
        <v>2017</v>
      </c>
      <c r="C29" s="5" t="str">
        <f>'1_Du_lieu'!C34</f>
        <v>TDMNPB</v>
      </c>
      <c r="D29" s="5" t="str">
        <f t="shared" si="0"/>
        <v>2017–2020</v>
      </c>
      <c r="E29" s="8">
        <f>'1_Du_lieu'!E34</f>
        <v>26.6</v>
      </c>
      <c r="F29" s="9">
        <f>AVERAGE('1_Du_lieu'!$E$5:$E$67)</f>
        <v>31.157407407407412</v>
      </c>
      <c r="G29" s="8">
        <f t="shared" si="1"/>
        <v>85.372956909361065</v>
      </c>
      <c r="H29" s="8">
        <f>'1_Du_lieu'!F34/AVERAGE('1_Du_lieu'!$F$5:$F$67)*100</f>
        <v>69.644542308902174</v>
      </c>
      <c r="I29" s="8">
        <f>'1_Du_lieu'!G34/AVERAGE('1_Du_lieu'!$G$5:$G$67)*100</f>
        <v>85.388994307400381</v>
      </c>
      <c r="J29" s="8">
        <f>'1_Du_lieu'!H34/AVERAGE('1_Du_lieu'!$H$5:$H$67)*100</f>
        <v>76.765515132986806</v>
      </c>
      <c r="K29" s="5">
        <f>'1_Du_lieu'!D34</f>
        <v>0</v>
      </c>
    </row>
    <row r="30" spans="1:11" x14ac:dyDescent="0.25">
      <c r="A30" t="s">
        <v>121</v>
      </c>
      <c r="B30">
        <v>2017</v>
      </c>
      <c r="C30" s="5" t="str">
        <f>'1_Du_lieu'!C35</f>
        <v>TN</v>
      </c>
      <c r="D30" s="5" t="str">
        <f t="shared" si="0"/>
        <v>2017–2020</v>
      </c>
      <c r="E30" s="8">
        <f>'1_Du_lieu'!E35</f>
        <v>27.2</v>
      </c>
      <c r="F30" s="9">
        <f>AVERAGE('1_Du_lieu'!$E$5:$E$67)</f>
        <v>31.157407407407412</v>
      </c>
      <c r="G30" s="8">
        <f t="shared" si="1"/>
        <v>87.298662704309052</v>
      </c>
      <c r="H30" s="8">
        <f>'1_Du_lieu'!F35/AVERAGE('1_Du_lieu'!$F$5:$F$67)*100</f>
        <v>93.99182132746148</v>
      </c>
      <c r="I30" s="8">
        <f>'1_Du_lieu'!G35/AVERAGE('1_Du_lieu'!$G$5:$G$67)*100</f>
        <v>73.190566549200327</v>
      </c>
      <c r="J30" s="8">
        <f>'1_Du_lieu'!H35/AVERAGE('1_Du_lieu'!$H$5:$H$67)*100</f>
        <v>99.877713237541968</v>
      </c>
      <c r="K30" s="5">
        <f>'1_Du_lieu'!D35</f>
        <v>0</v>
      </c>
    </row>
    <row r="31" spans="1:11" x14ac:dyDescent="0.25">
      <c r="A31" t="s">
        <v>122</v>
      </c>
      <c r="B31">
        <v>2017</v>
      </c>
      <c r="C31" s="5" t="str">
        <f>'1_Du_lieu'!C36</f>
        <v>TDMNPB</v>
      </c>
      <c r="D31" s="5" t="str">
        <f t="shared" si="0"/>
        <v>2017–2020</v>
      </c>
      <c r="E31" s="8">
        <f>'1_Du_lieu'!E36</f>
        <v>21.2</v>
      </c>
      <c r="F31" s="9">
        <f>AVERAGE('1_Du_lieu'!$E$5:$E$67)</f>
        <v>31.157407407407412</v>
      </c>
      <c r="G31" s="8">
        <f t="shared" si="1"/>
        <v>68.041604754829109</v>
      </c>
      <c r="H31" s="8">
        <f>'1_Du_lieu'!F36/AVERAGE('1_Du_lieu'!$F$5:$F$67)*100</f>
        <v>75.872916011324321</v>
      </c>
      <c r="I31" s="8">
        <f>'1_Du_lieu'!G36/AVERAGE('1_Du_lieu'!$G$5:$G$67)*100</f>
        <v>67.335321225264309</v>
      </c>
      <c r="J31" s="8">
        <f>'1_Du_lieu'!H36/AVERAGE('1_Du_lieu'!$H$5:$H$67)*100</f>
        <v>52.415163558544755</v>
      </c>
      <c r="K31" s="5">
        <f>'1_Du_lieu'!D36</f>
        <v>0</v>
      </c>
    </row>
    <row r="32" spans="1:11" x14ac:dyDescent="0.25">
      <c r="A32" t="s">
        <v>123</v>
      </c>
      <c r="B32">
        <v>2017</v>
      </c>
      <c r="C32" s="5" t="str">
        <f>'1_Du_lieu'!C37</f>
        <v>ĐBSH</v>
      </c>
      <c r="D32" s="5" t="str">
        <f t="shared" si="0"/>
        <v>2017–2020</v>
      </c>
      <c r="E32" s="8">
        <f>'1_Du_lieu'!E37</f>
        <v>33.299999999999997</v>
      </c>
      <c r="F32" s="9">
        <f>AVERAGE('1_Du_lieu'!$E$5:$E$67)</f>
        <v>31.157407407407412</v>
      </c>
      <c r="G32" s="8">
        <f t="shared" si="1"/>
        <v>106.87667161961365</v>
      </c>
      <c r="H32" s="8">
        <f>'1_Du_lieu'!F37/AVERAGE('1_Du_lieu'!$F$5:$F$67)*100</f>
        <v>103.61748977665933</v>
      </c>
      <c r="I32" s="8">
        <f>'1_Du_lieu'!G37/AVERAGE('1_Du_lieu'!$G$5:$G$67)*100</f>
        <v>117.83681214421253</v>
      </c>
      <c r="J32" s="8">
        <f>'1_Du_lieu'!H37/AVERAGE('1_Du_lieu'!$H$5:$H$67)*100</f>
        <v>80.892693365943089</v>
      </c>
      <c r="K32" s="5">
        <f>'1_Du_lieu'!D37</f>
        <v>1</v>
      </c>
    </row>
    <row r="33" spans="1:11" x14ac:dyDescent="0.25">
      <c r="A33" t="s">
        <v>124</v>
      </c>
      <c r="B33">
        <v>2017</v>
      </c>
      <c r="C33" s="5" t="str">
        <f>'1_Du_lieu'!C38</f>
        <v>BTB&amp;DHMT</v>
      </c>
      <c r="D33" s="5" t="str">
        <f t="shared" si="0"/>
        <v>2017–2020</v>
      </c>
      <c r="E33" s="8">
        <f>'1_Du_lieu'!E38</f>
        <v>30.7</v>
      </c>
      <c r="F33" s="9">
        <f>AVERAGE('1_Du_lieu'!$E$5:$E$67)</f>
        <v>31.157407407407412</v>
      </c>
      <c r="G33" s="8">
        <f t="shared" si="1"/>
        <v>98.531946508172339</v>
      </c>
      <c r="H33" s="8">
        <f>'1_Du_lieu'!F38/AVERAGE('1_Du_lieu'!$F$5:$F$67)*100</f>
        <v>83.799937087134325</v>
      </c>
      <c r="I33" s="8">
        <f>'1_Du_lieu'!G38/AVERAGE('1_Du_lieu'!$G$5:$G$67)*100</f>
        <v>88.560585524532385</v>
      </c>
      <c r="J33" s="8">
        <f>'1_Du_lieu'!H38/AVERAGE('1_Du_lieu'!$H$5:$H$67)*100</f>
        <v>110.60837664322831</v>
      </c>
      <c r="K33" s="5">
        <f>'1_Du_lieu'!D38</f>
        <v>0</v>
      </c>
    </row>
    <row r="34" spans="1:11" x14ac:dyDescent="0.25">
      <c r="A34" t="s">
        <v>125</v>
      </c>
      <c r="B34">
        <v>2017</v>
      </c>
      <c r="C34" s="5" t="str">
        <f>'1_Du_lieu'!C39</f>
        <v>ĐBSH</v>
      </c>
      <c r="D34" s="5" t="str">
        <f t="shared" si="0"/>
        <v>2017–2020</v>
      </c>
      <c r="E34" s="8">
        <f>'1_Du_lieu'!E39</f>
        <v>29.6</v>
      </c>
      <c r="F34" s="9">
        <f>AVERAGE('1_Du_lieu'!$E$5:$E$67)</f>
        <v>31.157407407407412</v>
      </c>
      <c r="G34" s="8">
        <f t="shared" si="1"/>
        <v>95.001485884101029</v>
      </c>
      <c r="H34" s="8">
        <f>'1_Du_lieu'!F39/AVERAGE('1_Du_lieu'!$F$5:$F$67)*100</f>
        <v>75.30670022019504</v>
      </c>
      <c r="I34" s="8">
        <f>'1_Du_lieu'!G39/AVERAGE('1_Du_lieu'!$G$5:$G$67)*100</f>
        <v>98.319327731092429</v>
      </c>
      <c r="J34" s="8">
        <f>'1_Du_lieu'!H39/AVERAGE('1_Du_lieu'!$H$5:$H$67)*100</f>
        <v>91.210638948333795</v>
      </c>
      <c r="K34" s="5">
        <f>'1_Du_lieu'!D39</f>
        <v>1</v>
      </c>
    </row>
    <row r="35" spans="1:11" x14ac:dyDescent="0.25">
      <c r="A35" t="s">
        <v>126</v>
      </c>
      <c r="B35">
        <v>2017</v>
      </c>
      <c r="C35" s="5" t="str">
        <f>'1_Du_lieu'!C40</f>
        <v>BTB&amp;DHMT</v>
      </c>
      <c r="D35" s="5" t="str">
        <f t="shared" si="0"/>
        <v>2017–2020</v>
      </c>
      <c r="E35" s="8">
        <f>'1_Du_lieu'!E40</f>
        <v>25.3</v>
      </c>
      <c r="F35" s="9">
        <f>AVERAGE('1_Du_lieu'!$E$5:$E$67)</f>
        <v>31.157407407407412</v>
      </c>
      <c r="G35" s="8">
        <f t="shared" si="1"/>
        <v>81.200594353640412</v>
      </c>
      <c r="H35" s="8">
        <f>'1_Du_lieu'!F40/AVERAGE('1_Du_lieu'!$F$5:$F$67)*100</f>
        <v>61.15130544196289</v>
      </c>
      <c r="I35" s="8">
        <f>'1_Du_lieu'!G40/AVERAGE('1_Du_lieu'!$G$5:$G$67)*100</f>
        <v>95.63567362428843</v>
      </c>
      <c r="J35" s="8">
        <f>'1_Du_lieu'!H40/AVERAGE('1_Du_lieu'!$H$5:$H$67)*100</f>
        <v>78.003668602873674</v>
      </c>
      <c r="K35" s="5">
        <f>'1_Du_lieu'!D40</f>
        <v>0</v>
      </c>
    </row>
    <row r="36" spans="1:11" x14ac:dyDescent="0.25">
      <c r="A36" t="s">
        <v>127</v>
      </c>
      <c r="B36">
        <v>2017</v>
      </c>
      <c r="C36" s="5" t="str">
        <f>'1_Du_lieu'!C41</f>
        <v>TDMNPB</v>
      </c>
      <c r="D36" s="5" t="str">
        <f t="shared" si="0"/>
        <v>2017–2020</v>
      </c>
      <c r="E36" s="8">
        <f>'1_Du_lieu'!E41</f>
        <v>28.5</v>
      </c>
      <c r="F36" s="9">
        <f>AVERAGE('1_Du_lieu'!$E$5:$E$67)</f>
        <v>31.157407407407412</v>
      </c>
      <c r="G36" s="8">
        <f t="shared" si="1"/>
        <v>91.471025260029705</v>
      </c>
      <c r="H36" s="8">
        <f>'1_Du_lieu'!F41/AVERAGE('1_Du_lieu'!$F$5:$F$67)*100</f>
        <v>74.740484429065731</v>
      </c>
      <c r="I36" s="8">
        <f>'1_Du_lieu'!G41/AVERAGE('1_Du_lieu'!$G$5:$G$67)*100</f>
        <v>93.195988072648433</v>
      </c>
      <c r="J36" s="8">
        <f>'1_Du_lieu'!H41/AVERAGE('1_Du_lieu'!$H$5:$H$67)*100</f>
        <v>97.814124121063827</v>
      </c>
      <c r="K36" s="5">
        <f>'1_Du_lieu'!D41</f>
        <v>0</v>
      </c>
    </row>
    <row r="37" spans="1:11" x14ac:dyDescent="0.25">
      <c r="A37" t="s">
        <v>128</v>
      </c>
      <c r="B37">
        <v>2017</v>
      </c>
      <c r="C37" s="5" t="str">
        <f>'1_Du_lieu'!C42</f>
        <v>BTB&amp;DHMT</v>
      </c>
      <c r="D37" s="5" t="str">
        <f t="shared" si="0"/>
        <v>2017–2020</v>
      </c>
      <c r="E37" s="8">
        <f>'1_Du_lieu'!E42</f>
        <v>25.4</v>
      </c>
      <c r="F37" s="9">
        <f>AVERAGE('1_Du_lieu'!$E$5:$E$67)</f>
        <v>31.157407407407412</v>
      </c>
      <c r="G37" s="8">
        <f t="shared" si="1"/>
        <v>81.521545319465062</v>
      </c>
      <c r="H37" s="8">
        <f>'1_Du_lieu'!F42/AVERAGE('1_Du_lieu'!$F$5:$F$67)*100</f>
        <v>70.77697389116075</v>
      </c>
      <c r="I37" s="8">
        <f>'1_Du_lieu'!G42/AVERAGE('1_Du_lieu'!$G$5:$G$67)*100</f>
        <v>90.268365410680403</v>
      </c>
      <c r="J37" s="8">
        <f>'1_Du_lieu'!H42/AVERAGE('1_Du_lieu'!$H$5:$H$67)*100</f>
        <v>76.765515132986806</v>
      </c>
      <c r="K37" s="5">
        <f>'1_Du_lieu'!D42</f>
        <v>0</v>
      </c>
    </row>
    <row r="38" spans="1:11" x14ac:dyDescent="0.25">
      <c r="A38" t="s">
        <v>129</v>
      </c>
      <c r="B38">
        <v>2017</v>
      </c>
      <c r="C38" s="5" t="str">
        <f>'1_Du_lieu'!C43</f>
        <v>BTB&amp;DHMT</v>
      </c>
      <c r="D38" s="5" t="str">
        <f t="shared" si="0"/>
        <v>2017–2020</v>
      </c>
      <c r="E38" s="8">
        <f>'1_Du_lieu'!E43</f>
        <v>25.3</v>
      </c>
      <c r="F38" s="9">
        <f>AVERAGE('1_Du_lieu'!$E$5:$E$67)</f>
        <v>31.157407407407412</v>
      </c>
      <c r="G38" s="8">
        <f t="shared" si="1"/>
        <v>81.200594353640412</v>
      </c>
      <c r="H38" s="8">
        <f>'1_Du_lieu'!F43/AVERAGE('1_Du_lieu'!$F$5:$F$67)*100</f>
        <v>82.101289713746468</v>
      </c>
      <c r="I38" s="8">
        <f>'1_Du_lieu'!G43/AVERAGE('1_Du_lieu'!$G$5:$G$67)*100</f>
        <v>79.289780428300361</v>
      </c>
      <c r="J38" s="8">
        <f>'1_Du_lieu'!H43/AVERAGE('1_Du_lieu'!$H$5:$H$67)*100</f>
        <v>85.019871598899371</v>
      </c>
      <c r="K38" s="5">
        <f>'1_Du_lieu'!D43</f>
        <v>0</v>
      </c>
    </row>
    <row r="39" spans="1:11" x14ac:dyDescent="0.25">
      <c r="A39" t="s">
        <v>130</v>
      </c>
      <c r="B39">
        <v>2017</v>
      </c>
      <c r="C39" s="5" t="str">
        <f>'1_Du_lieu'!C44</f>
        <v>BTB&amp;DHMT</v>
      </c>
      <c r="D39" s="5" t="str">
        <f t="shared" si="0"/>
        <v>2017–2020</v>
      </c>
      <c r="E39" s="8">
        <f>'1_Du_lieu'!E44</f>
        <v>29.2</v>
      </c>
      <c r="F39" s="9">
        <f>AVERAGE('1_Du_lieu'!$E$5:$E$67)</f>
        <v>31.157407407407412</v>
      </c>
      <c r="G39" s="8">
        <f t="shared" si="1"/>
        <v>93.717682020802357</v>
      </c>
      <c r="H39" s="8">
        <f>'1_Du_lieu'!F44/AVERAGE('1_Du_lieu'!$F$5:$F$67)*100</f>
        <v>95.690468700849323</v>
      </c>
      <c r="I39" s="8">
        <f>'1_Du_lieu'!G44/AVERAGE('1_Du_lieu'!$G$5:$G$67)*100</f>
        <v>89.536459745188409</v>
      </c>
      <c r="J39" s="8">
        <f>'1_Du_lieu'!H44/AVERAGE('1_Du_lieu'!$H$5:$H$67)*100</f>
        <v>96.988688474472568</v>
      </c>
      <c r="K39" s="5">
        <f>'1_Du_lieu'!D44</f>
        <v>0</v>
      </c>
    </row>
    <row r="40" spans="1:11" x14ac:dyDescent="0.25">
      <c r="A40" t="s">
        <v>131</v>
      </c>
      <c r="B40">
        <v>2017</v>
      </c>
      <c r="C40" s="5" t="str">
        <f>'1_Du_lieu'!C45</f>
        <v>BTB&amp;DHMT</v>
      </c>
      <c r="D40" s="5" t="str">
        <f t="shared" si="0"/>
        <v>2017–2020</v>
      </c>
      <c r="E40" s="8">
        <f>'1_Du_lieu'!E45</f>
        <v>25.6</v>
      </c>
      <c r="F40" s="9">
        <f>AVERAGE('1_Du_lieu'!$E$5:$E$67)</f>
        <v>31.157407407407412</v>
      </c>
      <c r="G40" s="8">
        <f t="shared" si="1"/>
        <v>82.163447251114405</v>
      </c>
      <c r="H40" s="8">
        <f>'1_Du_lieu'!F45/AVERAGE('1_Du_lieu'!$F$5:$F$67)*100</f>
        <v>88.895879207297895</v>
      </c>
      <c r="I40" s="8">
        <f>'1_Du_lieu'!G45/AVERAGE('1_Du_lieu'!$G$5:$G$67)*100</f>
        <v>73.434535104364329</v>
      </c>
      <c r="J40" s="8">
        <f>'1_Du_lieu'!H45/AVERAGE('1_Du_lieu'!$H$5:$H$67)*100</f>
        <v>80.892693365943089</v>
      </c>
      <c r="K40" s="5">
        <f>'1_Du_lieu'!D45</f>
        <v>0</v>
      </c>
    </row>
    <row r="41" spans="1:11" x14ac:dyDescent="0.25">
      <c r="A41" t="s">
        <v>132</v>
      </c>
      <c r="B41">
        <v>2017</v>
      </c>
      <c r="C41" s="5" t="str">
        <f>'1_Du_lieu'!C46</f>
        <v>ĐBSH</v>
      </c>
      <c r="D41" s="5" t="str">
        <f t="shared" si="0"/>
        <v>2017–2020</v>
      </c>
      <c r="E41" s="8">
        <f>'1_Du_lieu'!E46</f>
        <v>32.700000000000003</v>
      </c>
      <c r="F41" s="9">
        <f>AVERAGE('1_Du_lieu'!$E$5:$E$67)</f>
        <v>31.157407407407412</v>
      </c>
      <c r="G41" s="8">
        <f t="shared" si="1"/>
        <v>104.95096582466567</v>
      </c>
      <c r="H41" s="8">
        <f>'1_Du_lieu'!F46/AVERAGE('1_Du_lieu'!$F$5:$F$67)*100</f>
        <v>74.740484429065731</v>
      </c>
      <c r="I41" s="8">
        <f>'1_Du_lieu'!G46/AVERAGE('1_Du_lieu'!$G$5:$G$67)*100</f>
        <v>114.66522092708051</v>
      </c>
      <c r="J41" s="8">
        <f>'1_Du_lieu'!H46/AVERAGE('1_Du_lieu'!$H$5:$H$67)*100</f>
        <v>104.00489147049825</v>
      </c>
      <c r="K41" s="5">
        <f>'1_Du_lieu'!D46</f>
        <v>1</v>
      </c>
    </row>
    <row r="42" spans="1:11" x14ac:dyDescent="0.25">
      <c r="A42" t="s">
        <v>133</v>
      </c>
      <c r="B42">
        <v>2017</v>
      </c>
      <c r="C42" s="5" t="str">
        <f>'1_Du_lieu'!C47</f>
        <v>BTB&amp;DHMT</v>
      </c>
      <c r="D42" s="5" t="str">
        <f t="shared" si="0"/>
        <v>2017–2020</v>
      </c>
      <c r="E42" s="8">
        <f>'1_Du_lieu'!E47</f>
        <v>25.7</v>
      </c>
      <c r="F42" s="9">
        <f>AVERAGE('1_Du_lieu'!$E$5:$E$67)</f>
        <v>31.157407407407412</v>
      </c>
      <c r="G42" s="8">
        <f t="shared" si="1"/>
        <v>82.48439821693907</v>
      </c>
      <c r="H42" s="8">
        <f>'1_Du_lieu'!F47/AVERAGE('1_Du_lieu'!$F$5:$F$67)*100</f>
        <v>77.571563384712178</v>
      </c>
      <c r="I42" s="8">
        <f>'1_Du_lieu'!G47/AVERAGE('1_Du_lieu'!$G$5:$G$67)*100</f>
        <v>75.87422065600434</v>
      </c>
      <c r="J42" s="8">
        <f>'1_Du_lieu'!H47/AVERAGE('1_Du_lieu'!$H$5:$H$67)*100</f>
        <v>103.59217364720263</v>
      </c>
      <c r="K42" s="5">
        <f>'1_Du_lieu'!D47</f>
        <v>0</v>
      </c>
    </row>
    <row r="43" spans="1:11" x14ac:dyDescent="0.25">
      <c r="A43" t="s">
        <v>136</v>
      </c>
      <c r="B43">
        <v>2017</v>
      </c>
      <c r="C43" s="5" t="str">
        <f>'1_Du_lieu'!C50</f>
        <v>ĐNB</v>
      </c>
      <c r="D43" s="5" t="str">
        <f t="shared" si="0"/>
        <v>2017–2020</v>
      </c>
      <c r="E43" s="8">
        <f>'1_Du_lieu'!E50</f>
        <v>78.599999999999994</v>
      </c>
      <c r="F43" s="9">
        <f>AVERAGE('1_Du_lieu'!$E$5:$E$67)</f>
        <v>31.157407407407412</v>
      </c>
      <c r="G43" s="8">
        <f t="shared" si="1"/>
        <v>252.26745913818718</v>
      </c>
      <c r="H43" s="8">
        <f>'1_Du_lieu'!F50/AVERAGE('1_Du_lieu'!$F$5:$F$67)*100</f>
        <v>484.11450141553951</v>
      </c>
      <c r="I43" s="8">
        <f>'1_Du_lieu'!G50/AVERAGE('1_Du_lieu'!$G$5:$G$67)*100</f>
        <v>176.63323393873679</v>
      </c>
      <c r="J43" s="8">
        <f>'1_Du_lieu'!H50/AVERAGE('1_Du_lieu'!$H$5:$H$67)*100</f>
        <v>317.79272393763358</v>
      </c>
      <c r="K43" s="5">
        <f>'1_Du_lieu'!D50</f>
        <v>1</v>
      </c>
    </row>
    <row r="44" spans="1:11" x14ac:dyDescent="0.25">
      <c r="A44" t="s">
        <v>137</v>
      </c>
      <c r="B44">
        <v>2017</v>
      </c>
      <c r="C44" s="5" t="str">
        <f>'1_Du_lieu'!C51</f>
        <v>BTB&amp;DHMT</v>
      </c>
      <c r="D44" s="5" t="str">
        <f t="shared" si="0"/>
        <v>2017–2020</v>
      </c>
      <c r="E44" s="8">
        <f>'1_Du_lieu'!E51</f>
        <v>29.5</v>
      </c>
      <c r="F44" s="9">
        <f>AVERAGE('1_Du_lieu'!$E$5:$E$67)</f>
        <v>31.157407407407412</v>
      </c>
      <c r="G44" s="8">
        <f t="shared" si="1"/>
        <v>94.680534918276365</v>
      </c>
      <c r="H44" s="8">
        <f>'1_Du_lieu'!F51/AVERAGE('1_Du_lieu'!$F$5:$F$67)*100</f>
        <v>79.836426549229316</v>
      </c>
      <c r="I44" s="8">
        <f>'1_Du_lieu'!G51/AVERAGE('1_Du_lieu'!$G$5:$G$67)*100</f>
        <v>85.388994307400381</v>
      </c>
      <c r="J44" s="8">
        <f>'1_Du_lieu'!H51/AVERAGE('1_Du_lieu'!$H$5:$H$67)*100</f>
        <v>111.43381228981954</v>
      </c>
      <c r="K44" s="5">
        <f>'1_Du_lieu'!D51</f>
        <v>0</v>
      </c>
    </row>
    <row r="45" spans="1:11" x14ac:dyDescent="0.25">
      <c r="A45" t="s">
        <v>138</v>
      </c>
      <c r="B45">
        <v>2017</v>
      </c>
      <c r="C45" s="5" t="str">
        <f>'1_Du_lieu'!C52</f>
        <v>ĐBSH</v>
      </c>
      <c r="D45" s="5" t="str">
        <f t="shared" si="0"/>
        <v>2017–2020</v>
      </c>
      <c r="E45" s="8">
        <f>'1_Du_lieu'!E52</f>
        <v>28.3</v>
      </c>
      <c r="F45" s="9">
        <f>AVERAGE('1_Du_lieu'!$E$5:$E$67)</f>
        <v>31.157407407407412</v>
      </c>
      <c r="G45" s="8">
        <f t="shared" si="1"/>
        <v>90.829123328380376</v>
      </c>
      <c r="H45" s="8">
        <f>'1_Du_lieu'!F52/AVERAGE('1_Du_lieu'!$F$5:$F$67)*100</f>
        <v>89.462094998427176</v>
      </c>
      <c r="I45" s="8">
        <f>'1_Du_lieu'!G52/AVERAGE('1_Du_lieu'!$G$5:$G$67)*100</f>
        <v>100.51504472756845</v>
      </c>
      <c r="J45" s="8">
        <f>'1_Du_lieu'!H52/AVERAGE('1_Du_lieu'!$H$5:$H$67)*100</f>
        <v>62.733109140935447</v>
      </c>
      <c r="K45" s="5">
        <f>'1_Du_lieu'!D52</f>
        <v>1</v>
      </c>
    </row>
    <row r="46" spans="1:11" x14ac:dyDescent="0.25">
      <c r="A46" t="s">
        <v>139</v>
      </c>
      <c r="B46">
        <v>2017</v>
      </c>
      <c r="C46" s="5" t="str">
        <f>'1_Du_lieu'!C53</f>
        <v>TDMNPB</v>
      </c>
      <c r="D46" s="5" t="str">
        <f t="shared" si="0"/>
        <v>2017–2020</v>
      </c>
      <c r="E46" s="8">
        <f>'1_Du_lieu'!E53</f>
        <v>25.2</v>
      </c>
      <c r="F46" s="9">
        <f>AVERAGE('1_Du_lieu'!$E$5:$E$67)</f>
        <v>31.157407407407412</v>
      </c>
      <c r="G46" s="8">
        <f t="shared" si="1"/>
        <v>80.879643387815733</v>
      </c>
      <c r="H46" s="8">
        <f>'1_Du_lieu'!F53/AVERAGE('1_Du_lieu'!$F$5:$F$67)*100</f>
        <v>58.886442277445738</v>
      </c>
      <c r="I46" s="8">
        <f>'1_Du_lieu'!G53/AVERAGE('1_Du_lieu'!$G$5:$G$67)*100</f>
        <v>81.485497424776369</v>
      </c>
      <c r="J46" s="8">
        <f>'1_Du_lieu'!H53/AVERAGE('1_Du_lieu'!$H$5:$H$67)*100</f>
        <v>82.543564659125607</v>
      </c>
      <c r="K46" s="5">
        <f>'1_Du_lieu'!D53</f>
        <v>0</v>
      </c>
    </row>
    <row r="47" spans="1:11" x14ac:dyDescent="0.25">
      <c r="A47" t="s">
        <v>140</v>
      </c>
      <c r="B47">
        <v>2017</v>
      </c>
      <c r="C47" s="5" t="str">
        <f>'1_Du_lieu'!C54</f>
        <v>BTB&amp;DHMT</v>
      </c>
      <c r="D47" s="5" t="str">
        <f t="shared" si="0"/>
        <v>2017–2020</v>
      </c>
      <c r="E47" s="8">
        <f>'1_Du_lieu'!E54</f>
        <v>32.299999999999997</v>
      </c>
      <c r="F47" s="9">
        <f>AVERAGE('1_Du_lieu'!$E$5:$E$67)</f>
        <v>31.157407407407412</v>
      </c>
      <c r="G47" s="8">
        <f t="shared" si="1"/>
        <v>103.66716196136699</v>
      </c>
      <c r="H47" s="8">
        <f>'1_Du_lieu'!F54/AVERAGE('1_Du_lieu'!$F$5:$F$67)*100</f>
        <v>84.366152878263605</v>
      </c>
      <c r="I47" s="8">
        <f>'1_Du_lieu'!G54/AVERAGE('1_Du_lieu'!$G$5:$G$67)*100</f>
        <v>105.39441583084847</v>
      </c>
      <c r="J47" s="8">
        <f>'1_Du_lieu'!H54/AVERAGE('1_Du_lieu'!$H$5:$H$67)*100</f>
        <v>114.32283705288894</v>
      </c>
      <c r="K47" s="5">
        <f>'1_Du_lieu'!D54</f>
        <v>0</v>
      </c>
    </row>
    <row r="48" spans="1:11" x14ac:dyDescent="0.25">
      <c r="A48" t="s">
        <v>141</v>
      </c>
      <c r="B48">
        <v>2017</v>
      </c>
      <c r="C48" s="5" t="str">
        <f>'1_Du_lieu'!C55</f>
        <v>ĐBSCL</v>
      </c>
      <c r="D48" s="5" t="str">
        <f t="shared" si="0"/>
        <v>2017–2020</v>
      </c>
      <c r="E48" s="8">
        <f>'1_Du_lieu'!E55</f>
        <v>27</v>
      </c>
      <c r="F48" s="9">
        <f>AVERAGE('1_Du_lieu'!$E$5:$E$67)</f>
        <v>31.157407407407412</v>
      </c>
      <c r="G48" s="8">
        <f t="shared" si="1"/>
        <v>86.656760772659723</v>
      </c>
      <c r="H48" s="8">
        <f>'1_Du_lieu'!F55/AVERAGE('1_Du_lieu'!$F$5:$F$67)*100</f>
        <v>67.945894935514303</v>
      </c>
      <c r="I48" s="8">
        <f>'1_Du_lieu'!G55/AVERAGE('1_Du_lieu'!$G$5:$G$67)*100</f>
        <v>87.828679859040392</v>
      </c>
      <c r="J48" s="8">
        <f>'1_Du_lieu'!H55/AVERAGE('1_Du_lieu'!$H$5:$H$67)*100</f>
        <v>84.194435952308098</v>
      </c>
      <c r="K48" s="5">
        <f>'1_Du_lieu'!D55</f>
        <v>0</v>
      </c>
    </row>
    <row r="49" spans="1:11" x14ac:dyDescent="0.25">
      <c r="A49" t="s">
        <v>142</v>
      </c>
      <c r="B49">
        <v>2017</v>
      </c>
      <c r="C49" s="5" t="str">
        <f>'1_Du_lieu'!C56</f>
        <v>ĐBSCL</v>
      </c>
      <c r="D49" s="5" t="str">
        <f t="shared" si="0"/>
        <v>2017–2020</v>
      </c>
      <c r="E49" s="8">
        <f>'1_Du_lieu'!E56</f>
        <v>26</v>
      </c>
      <c r="F49" s="9">
        <f>AVERAGE('1_Du_lieu'!$E$5:$E$67)</f>
        <v>31.157407407407412</v>
      </c>
      <c r="G49" s="8">
        <f t="shared" si="1"/>
        <v>83.447251114413064</v>
      </c>
      <c r="H49" s="8">
        <f>'1_Du_lieu'!F56/AVERAGE('1_Du_lieu'!$F$5:$F$67)*100</f>
        <v>71.909405473419312</v>
      </c>
      <c r="I49" s="8">
        <f>'1_Du_lieu'!G56/AVERAGE('1_Du_lieu'!$G$5:$G$67)*100</f>
        <v>92.220113851992409</v>
      </c>
      <c r="J49" s="8">
        <f>'1_Du_lieu'!H56/AVERAGE('1_Du_lieu'!$H$5:$H$67)*100</f>
        <v>67.685723020482982</v>
      </c>
      <c r="K49" s="5">
        <f>'1_Du_lieu'!D56</f>
        <v>0</v>
      </c>
    </row>
    <row r="50" spans="1:11" x14ac:dyDescent="0.25">
      <c r="A50" t="s">
        <v>143</v>
      </c>
      <c r="B50">
        <v>2017</v>
      </c>
      <c r="C50" s="5" t="str">
        <f>'1_Du_lieu'!C57</f>
        <v>TDMNPB</v>
      </c>
      <c r="D50" s="5" t="str">
        <f t="shared" si="0"/>
        <v>2017–2020</v>
      </c>
      <c r="E50" s="8">
        <f>'1_Du_lieu'!E57</f>
        <v>23.2</v>
      </c>
      <c r="F50" s="9">
        <f>AVERAGE('1_Du_lieu'!$E$5:$E$67)</f>
        <v>31.157407407407412</v>
      </c>
      <c r="G50" s="8">
        <f t="shared" si="1"/>
        <v>74.460624071322428</v>
      </c>
      <c r="H50" s="8">
        <f>'1_Du_lieu'!F57/AVERAGE('1_Du_lieu'!$F$5:$F$67)*100</f>
        <v>68.512110726643598</v>
      </c>
      <c r="I50" s="8">
        <f>'1_Du_lieu'!G57/AVERAGE('1_Du_lieu'!$G$5:$G$67)*100</f>
        <v>77.094063431824338</v>
      </c>
      <c r="J50" s="8">
        <f>'1_Du_lieu'!H57/AVERAGE('1_Du_lieu'!$H$5:$H$67)*100</f>
        <v>57.36777743809229</v>
      </c>
      <c r="K50" s="5">
        <f>'1_Du_lieu'!D57</f>
        <v>0</v>
      </c>
    </row>
    <row r="51" spans="1:11" x14ac:dyDescent="0.25">
      <c r="A51" t="s">
        <v>144</v>
      </c>
      <c r="B51">
        <v>2017</v>
      </c>
      <c r="C51" s="5" t="str">
        <f>'1_Du_lieu'!C58</f>
        <v>ĐNB</v>
      </c>
      <c r="D51" s="5" t="str">
        <f t="shared" si="0"/>
        <v>2017–2020</v>
      </c>
      <c r="E51" s="8">
        <f>'1_Du_lieu'!E58</f>
        <v>30.8</v>
      </c>
      <c r="F51" s="9">
        <f>AVERAGE('1_Du_lieu'!$E$5:$E$67)</f>
        <v>31.157407407407412</v>
      </c>
      <c r="G51" s="8">
        <f t="shared" si="1"/>
        <v>98.852897473997018</v>
      </c>
      <c r="H51" s="8">
        <f>'1_Du_lieu'!F58/AVERAGE('1_Du_lieu'!$F$5:$F$67)*100</f>
        <v>71.909405473419312</v>
      </c>
      <c r="I51" s="8">
        <f>'1_Du_lieu'!G58/AVERAGE('1_Du_lieu'!$G$5:$G$67)*100</f>
        <v>111.24966115478449</v>
      </c>
      <c r="J51" s="8">
        <f>'1_Du_lieu'!H58/AVERAGE('1_Du_lieu'!$H$5:$H$67)*100</f>
        <v>89.972485478446913</v>
      </c>
      <c r="K51" s="5">
        <f>'1_Du_lieu'!D58</f>
        <v>1</v>
      </c>
    </row>
    <row r="52" spans="1:11" x14ac:dyDescent="0.25">
      <c r="A52" t="s">
        <v>146</v>
      </c>
      <c r="B52">
        <v>2017</v>
      </c>
      <c r="C52" s="5" t="str">
        <f>'1_Du_lieu'!C60</f>
        <v>ĐBSH</v>
      </c>
      <c r="D52" s="5" t="str">
        <f t="shared" si="0"/>
        <v>2017–2020</v>
      </c>
      <c r="E52" s="8">
        <f>'1_Du_lieu'!E60</f>
        <v>33.5</v>
      </c>
      <c r="F52" s="9">
        <f>AVERAGE('1_Du_lieu'!$E$5:$E$67)</f>
        <v>31.157407407407412</v>
      </c>
      <c r="G52" s="8">
        <f t="shared" si="1"/>
        <v>107.518573551263</v>
      </c>
      <c r="H52" s="8">
        <f>'1_Du_lieu'!F60/AVERAGE('1_Du_lieu'!$F$5:$F$67)*100</f>
        <v>86.631016042780757</v>
      </c>
      <c r="I52" s="8">
        <f>'1_Du_lieu'!G60/AVERAGE('1_Du_lieu'!$G$5:$G$67)*100</f>
        <v>121.49634047167255</v>
      </c>
      <c r="J52" s="8">
        <f>'1_Du_lieu'!H60/AVERAGE('1_Du_lieu'!$H$5:$H$67)*100</f>
        <v>93.274228064811922</v>
      </c>
      <c r="K52" s="5">
        <f>'1_Du_lieu'!D60</f>
        <v>1</v>
      </c>
    </row>
    <row r="53" spans="1:11" x14ac:dyDescent="0.25">
      <c r="A53" t="s">
        <v>147</v>
      </c>
      <c r="B53">
        <v>2017</v>
      </c>
      <c r="C53" s="5" t="str">
        <f>'1_Du_lieu'!C61</f>
        <v>TDMNPB</v>
      </c>
      <c r="D53" s="5" t="str">
        <f t="shared" si="0"/>
        <v>2017–2020</v>
      </c>
      <c r="E53" s="8">
        <f>'1_Du_lieu'!E61</f>
        <v>23.7</v>
      </c>
      <c r="F53" s="9">
        <f>AVERAGE('1_Du_lieu'!$E$5:$E$67)</f>
        <v>31.157407407407412</v>
      </c>
      <c r="G53" s="8">
        <f t="shared" si="1"/>
        <v>76.065378900445751</v>
      </c>
      <c r="H53" s="8">
        <f>'1_Du_lieu'!F61/AVERAGE('1_Du_lieu'!$F$5:$F$67)*100</f>
        <v>65.114815979867885</v>
      </c>
      <c r="I53" s="8">
        <f>'1_Du_lieu'!G61/AVERAGE('1_Du_lieu'!$G$5:$G$67)*100</f>
        <v>77.582000542152358</v>
      </c>
      <c r="J53" s="8">
        <f>'1_Du_lieu'!H61/AVERAGE('1_Du_lieu'!$H$5:$H$67)*100</f>
        <v>78.416386426169311</v>
      </c>
      <c r="K53" s="5">
        <f>'1_Du_lieu'!D61</f>
        <v>0</v>
      </c>
    </row>
    <row r="54" spans="1:11" x14ac:dyDescent="0.25">
      <c r="A54" t="s">
        <v>149</v>
      </c>
      <c r="B54">
        <v>2017</v>
      </c>
      <c r="C54" s="5" t="str">
        <f>'1_Du_lieu'!C63</f>
        <v>BTB&amp;DHMT</v>
      </c>
      <c r="D54" s="5" t="str">
        <f t="shared" si="0"/>
        <v>2017–2020</v>
      </c>
      <c r="E54" s="8">
        <f>'1_Du_lieu'!E63</f>
        <v>52.8</v>
      </c>
      <c r="F54" s="9">
        <f>AVERAGE('1_Du_lieu'!$E$5:$E$67)</f>
        <v>31.157407407407412</v>
      </c>
      <c r="G54" s="8">
        <f t="shared" si="1"/>
        <v>169.46210995542344</v>
      </c>
      <c r="H54" s="8">
        <f>'1_Du_lieu'!F63/AVERAGE('1_Du_lieu'!$F$5:$F$67)*100</f>
        <v>214.59578483799936</v>
      </c>
      <c r="I54" s="8">
        <f>'1_Du_lieu'!G63/AVERAGE('1_Du_lieu'!$G$5:$G$67)*100</f>
        <v>147.84494442938467</v>
      </c>
      <c r="J54" s="8">
        <f>'1_Du_lieu'!H63/AVERAGE('1_Du_lieu'!$H$5:$H$67)*100</f>
        <v>208.0097829409965</v>
      </c>
      <c r="K54" s="5">
        <f>'1_Du_lieu'!D63</f>
        <v>0</v>
      </c>
    </row>
    <row r="55" spans="1:11" x14ac:dyDescent="0.25">
      <c r="A55" t="s">
        <v>150</v>
      </c>
      <c r="B55">
        <v>2017</v>
      </c>
      <c r="C55" s="5" t="str">
        <f>'1_Du_lieu'!C64</f>
        <v>TN</v>
      </c>
      <c r="D55" s="5" t="str">
        <f t="shared" si="0"/>
        <v>2017–2020</v>
      </c>
      <c r="E55" s="8">
        <f>'1_Du_lieu'!E64</f>
        <v>28.1</v>
      </c>
      <c r="F55" s="9">
        <f>AVERAGE('1_Du_lieu'!$E$5:$E$67)</f>
        <v>31.157407407407412</v>
      </c>
      <c r="G55" s="8">
        <f t="shared" si="1"/>
        <v>90.187221396731047</v>
      </c>
      <c r="H55" s="8">
        <f>'1_Du_lieu'!F64/AVERAGE('1_Du_lieu'!$F$5:$F$67)*100</f>
        <v>67.379679144385022</v>
      </c>
      <c r="I55" s="8">
        <f>'1_Du_lieu'!G64/AVERAGE('1_Du_lieu'!$G$5:$G$67)*100</f>
        <v>100.27107617240445</v>
      </c>
      <c r="J55" s="8">
        <f>'1_Du_lieu'!H64/AVERAGE('1_Du_lieu'!$H$5:$H$67)*100</f>
        <v>66.860287373891722</v>
      </c>
      <c r="K55" s="5">
        <f>'1_Du_lieu'!D64</f>
        <v>0</v>
      </c>
    </row>
    <row r="56" spans="1:11" x14ac:dyDescent="0.25">
      <c r="A56" t="s">
        <v>151</v>
      </c>
      <c r="B56">
        <v>2017</v>
      </c>
      <c r="C56" s="5" t="str">
        <f>'1_Du_lieu'!C65</f>
        <v>TN</v>
      </c>
      <c r="D56" s="5" t="str">
        <f t="shared" si="0"/>
        <v>2017–2020</v>
      </c>
      <c r="E56" s="8">
        <f>'1_Du_lieu'!E65</f>
        <v>24.2</v>
      </c>
      <c r="F56" s="9">
        <f>AVERAGE('1_Du_lieu'!$E$5:$E$67)</f>
        <v>31.157407407407412</v>
      </c>
      <c r="G56" s="8">
        <f t="shared" si="1"/>
        <v>77.670133729569073</v>
      </c>
      <c r="H56" s="8">
        <f>'1_Du_lieu'!F65/AVERAGE('1_Du_lieu'!$F$5:$F$67)*100</f>
        <v>70.210758100031455</v>
      </c>
      <c r="I56" s="8">
        <f>'1_Du_lieu'!G65/AVERAGE('1_Du_lieu'!$G$5:$G$67)*100</f>
        <v>68.311195445920305</v>
      </c>
      <c r="J56" s="8">
        <f>'1_Du_lieu'!H65/AVERAGE('1_Du_lieu'!$H$5:$H$67)*100</f>
        <v>83.781718129012489</v>
      </c>
      <c r="K56" s="5">
        <f>'1_Du_lieu'!D65</f>
        <v>0</v>
      </c>
    </row>
    <row r="57" spans="1:11" x14ac:dyDescent="0.25">
      <c r="A57" t="s">
        <v>152</v>
      </c>
      <c r="B57">
        <v>2017</v>
      </c>
      <c r="C57" s="5" t="str">
        <f>'1_Du_lieu'!C66</f>
        <v>ĐNB</v>
      </c>
      <c r="D57" s="5" t="str">
        <f t="shared" si="0"/>
        <v>2017–2020</v>
      </c>
      <c r="E57" s="8">
        <f>'1_Du_lieu'!E66</f>
        <v>36.700000000000003</v>
      </c>
      <c r="F57" s="9">
        <f>AVERAGE('1_Du_lieu'!$E$5:$E$67)</f>
        <v>31.157407407407412</v>
      </c>
      <c r="G57" s="8">
        <f t="shared" si="1"/>
        <v>117.7890044576523</v>
      </c>
      <c r="H57" s="8">
        <f>'1_Du_lieu'!F66/AVERAGE('1_Du_lieu'!$F$5:$F$67)*100</f>
        <v>103.61748977665933</v>
      </c>
      <c r="I57" s="8">
        <f>'1_Du_lieu'!G66/AVERAGE('1_Du_lieu'!$G$5:$G$67)*100</f>
        <v>138.5741393331526</v>
      </c>
      <c r="J57" s="8">
        <f>'1_Du_lieu'!H66/AVERAGE('1_Du_lieu'!$H$5:$H$67)*100</f>
        <v>96.575970651176945</v>
      </c>
      <c r="K57" s="5">
        <f>'1_Du_lieu'!D66</f>
        <v>1</v>
      </c>
    </row>
    <row r="58" spans="1:11" x14ac:dyDescent="0.25">
      <c r="A58" t="s">
        <v>153</v>
      </c>
      <c r="B58">
        <v>2017</v>
      </c>
      <c r="C58" s="5" t="str">
        <f>'1_Du_lieu'!C67</f>
        <v>ĐBSCL</v>
      </c>
      <c r="D58" s="5" t="str">
        <f t="shared" si="0"/>
        <v>2017–2020</v>
      </c>
      <c r="E58" s="8">
        <f>'1_Du_lieu'!E67</f>
        <v>26.9</v>
      </c>
      <c r="F58" s="9">
        <f>AVERAGE('1_Du_lieu'!$E$5:$E$67)</f>
        <v>31.157407407407412</v>
      </c>
      <c r="G58" s="8">
        <f t="shared" si="1"/>
        <v>86.335809806835044</v>
      </c>
      <c r="H58" s="8">
        <f>'1_Du_lieu'!F67/AVERAGE('1_Du_lieu'!$F$5:$F$67)*100</f>
        <v>63.416168606480014</v>
      </c>
      <c r="I58" s="8">
        <f>'1_Du_lieu'!G67/AVERAGE('1_Du_lieu'!$G$5:$G$67)*100</f>
        <v>94.903767958796422</v>
      </c>
      <c r="J58" s="8">
        <f>'1_Du_lieu'!H67/AVERAGE('1_Du_lieu'!$H$5:$H$67)*100</f>
        <v>69.336594313665501</v>
      </c>
      <c r="K58" s="5">
        <f>'1_Du_lieu'!D67</f>
        <v>0</v>
      </c>
    </row>
    <row r="59" spans="1:11" x14ac:dyDescent="0.25">
      <c r="A59" t="s">
        <v>85</v>
      </c>
      <c r="B59">
        <v>2018</v>
      </c>
      <c r="C59" s="5" t="str">
        <f>'1_Du_lieu'!C68</f>
        <v>ĐBSCL</v>
      </c>
      <c r="D59" s="5" t="str">
        <f t="shared" si="0"/>
        <v>2017–2020</v>
      </c>
      <c r="E59" s="8">
        <f>'1_Du_lieu'!E68</f>
        <v>32.5</v>
      </c>
      <c r="F59" s="9">
        <f>AVERAGE('1_Du_lieu'!$E$68:$E$130)</f>
        <v>37.527777777777764</v>
      </c>
      <c r="G59" s="8">
        <f t="shared" si="1"/>
        <v>86.602516654330159</v>
      </c>
      <c r="H59" s="8">
        <f>'1_Du_lieu'!F68/AVERAGE('1_Du_lieu'!$F$68:$F$130)*100</f>
        <v>87.388227549509011</v>
      </c>
      <c r="I59" s="8">
        <f>'1_Du_lieu'!G68/AVERAGE('1_Du_lieu'!$G$68:$G$130)*100</f>
        <v>102.33614252652725</v>
      </c>
      <c r="J59" s="8">
        <f>'1_Du_lieu'!H68/AVERAGE('1_Du_lieu'!$H$68:$H$130)*100</f>
        <v>57.88834951456311</v>
      </c>
      <c r="K59" s="5">
        <f>'1_Du_lieu'!D68</f>
        <v>0</v>
      </c>
    </row>
    <row r="60" spans="1:11" x14ac:dyDescent="0.25">
      <c r="A60" t="s">
        <v>87</v>
      </c>
      <c r="B60">
        <v>2018</v>
      </c>
      <c r="C60" s="5" t="str">
        <f>'1_Du_lieu'!C69</f>
        <v>ĐNB</v>
      </c>
      <c r="D60" s="5" t="str">
        <f t="shared" si="0"/>
        <v>2017–2020</v>
      </c>
      <c r="E60" s="8">
        <f>'1_Du_lieu'!E69</f>
        <v>44.4</v>
      </c>
      <c r="F60" s="9">
        <f>AVERAGE('1_Du_lieu'!$E$68:$E$130)</f>
        <v>37.527777777777764</v>
      </c>
      <c r="G60" s="8">
        <f t="shared" si="1"/>
        <v>118.31236121391566</v>
      </c>
      <c r="H60" s="8">
        <f>'1_Du_lieu'!F69/AVERAGE('1_Du_lieu'!$F$68:$F$130)*100</f>
        <v>103.68094794009544</v>
      </c>
      <c r="I60" s="8">
        <f>'1_Du_lieu'!G69/AVERAGE('1_Du_lieu'!$G$68:$G$130)*100</f>
        <v>136.76258678660324</v>
      </c>
      <c r="J60" s="8">
        <f>'1_Du_lieu'!H69/AVERAGE('1_Du_lieu'!$H$68:$H$130)*100</f>
        <v>115.77669902912622</v>
      </c>
      <c r="K60" s="5">
        <f>'1_Du_lieu'!D69</f>
        <v>1</v>
      </c>
    </row>
    <row r="61" spans="1:11" x14ac:dyDescent="0.25">
      <c r="A61" t="s">
        <v>89</v>
      </c>
      <c r="B61">
        <v>2018</v>
      </c>
      <c r="C61" s="5" t="str">
        <f>'1_Du_lieu'!C70</f>
        <v>ĐNB</v>
      </c>
      <c r="D61" s="5" t="str">
        <f t="shared" si="0"/>
        <v>2017–2020</v>
      </c>
      <c r="E61" s="8">
        <f>'1_Du_lieu'!E70</f>
        <v>50.4</v>
      </c>
      <c r="F61" s="9">
        <f>AVERAGE('1_Du_lieu'!$E$68:$E$130)</f>
        <v>37.527777777777764</v>
      </c>
      <c r="G61" s="8">
        <f t="shared" si="1"/>
        <v>134.30051813471508</v>
      </c>
      <c r="H61" s="8">
        <f>'1_Du_lieu'!F70/AVERAGE('1_Du_lieu'!$F$68:$F$130)*100</f>
        <v>115.5301991332492</v>
      </c>
      <c r="I61" s="8">
        <f>'1_Du_lieu'!G70/AVERAGE('1_Du_lieu'!$G$68:$G$130)*100</f>
        <v>162.93611632679796</v>
      </c>
      <c r="J61" s="8">
        <f>'1_Du_lieu'!H70/AVERAGE('1_Du_lieu'!$H$68:$H$130)*100</f>
        <v>132.16019417475727</v>
      </c>
      <c r="K61" s="5">
        <f>'1_Du_lieu'!D70</f>
        <v>1</v>
      </c>
    </row>
    <row r="62" spans="1:11" x14ac:dyDescent="0.25">
      <c r="A62" t="s">
        <v>90</v>
      </c>
      <c r="B62">
        <v>2018</v>
      </c>
      <c r="C62" s="5" t="str">
        <f>'1_Du_lieu'!C71</f>
        <v>ĐNB</v>
      </c>
      <c r="D62" s="5" t="str">
        <f t="shared" si="0"/>
        <v>2017–2020</v>
      </c>
      <c r="E62" s="8">
        <f>'1_Du_lieu'!E71</f>
        <v>27.8</v>
      </c>
      <c r="F62" s="9">
        <f>AVERAGE('1_Du_lieu'!$E$68:$E$130)</f>
        <v>37.527777777777764</v>
      </c>
      <c r="G62" s="8">
        <f t="shared" si="1"/>
        <v>74.078460399703943</v>
      </c>
      <c r="H62" s="8">
        <f>'1_Du_lieu'!F71/AVERAGE('1_Du_lieu'!$F$68:$F$130)*100</f>
        <v>72.280432278237967</v>
      </c>
      <c r="I62" s="8">
        <f>'1_Du_lieu'!G71/AVERAGE('1_Du_lieu'!$G$68:$G$130)*100</f>
        <v>67.438103139600898</v>
      </c>
      <c r="J62" s="8">
        <f>'1_Du_lieu'!H71/AVERAGE('1_Du_lieu'!$H$68:$H$130)*100</f>
        <v>66.262135922330089</v>
      </c>
      <c r="K62" s="5">
        <f>'1_Du_lieu'!D71</f>
        <v>1</v>
      </c>
    </row>
    <row r="63" spans="1:11" x14ac:dyDescent="0.25">
      <c r="A63" t="s">
        <v>91</v>
      </c>
      <c r="B63">
        <v>2018</v>
      </c>
      <c r="C63" s="5" t="str">
        <f>'1_Du_lieu'!C72</f>
        <v>BTB&amp;DHMT</v>
      </c>
      <c r="D63" s="5" t="str">
        <f t="shared" si="0"/>
        <v>2017–2020</v>
      </c>
      <c r="E63" s="8">
        <f>'1_Du_lieu'!E72</f>
        <v>34.4</v>
      </c>
      <c r="F63" s="9">
        <f>AVERAGE('1_Du_lieu'!$E$68:$E$130)</f>
        <v>37.527777777777764</v>
      </c>
      <c r="G63" s="8">
        <f t="shared" si="1"/>
        <v>91.665433012583293</v>
      </c>
      <c r="H63" s="8">
        <f>'1_Du_lieu'!F72/AVERAGE('1_Du_lieu'!$F$68:$F$130)*100</f>
        <v>93.60908442591473</v>
      </c>
      <c r="I63" s="8">
        <f>'1_Du_lieu'!G72/AVERAGE('1_Du_lieu'!$G$68:$G$130)*100</f>
        <v>93.847430243220828</v>
      </c>
      <c r="J63" s="8">
        <f>'1_Du_lieu'!H72/AVERAGE('1_Du_lieu'!$H$68:$H$130)*100</f>
        <v>82.645631067961162</v>
      </c>
      <c r="K63" s="5">
        <f>'1_Du_lieu'!D72</f>
        <v>0</v>
      </c>
    </row>
    <row r="64" spans="1:11" x14ac:dyDescent="0.25">
      <c r="A64" t="s">
        <v>93</v>
      </c>
      <c r="B64">
        <v>2018</v>
      </c>
      <c r="C64" s="5" t="str">
        <f>'1_Du_lieu'!C73</f>
        <v>BTB&amp;DHMT</v>
      </c>
      <c r="D64" s="5" t="str">
        <f t="shared" si="0"/>
        <v>2017–2020</v>
      </c>
      <c r="E64" s="8">
        <f>'1_Du_lieu'!E73</f>
        <v>36.799999999999997</v>
      </c>
      <c r="F64" s="9">
        <f>AVERAGE('1_Du_lieu'!$E$68:$E$130)</f>
        <v>37.527777777777764</v>
      </c>
      <c r="G64" s="8">
        <f t="shared" si="1"/>
        <v>98.06069578090306</v>
      </c>
      <c r="H64" s="8">
        <f>'1_Du_lieu'!F73/AVERAGE('1_Du_lieu'!$F$68:$F$130)*100</f>
        <v>97.756322343518548</v>
      </c>
      <c r="I64" s="8">
        <f>'1_Du_lieu'!G73/AVERAGE('1_Du_lieu'!$G$68:$G$130)*100</f>
        <v>94.554822933496368</v>
      </c>
      <c r="J64" s="8">
        <f>'1_Du_lieu'!H73/AVERAGE('1_Du_lieu'!$H$68:$H$130)*100</f>
        <v>95.024271844660191</v>
      </c>
      <c r="K64" s="5">
        <f>'1_Du_lieu'!D73</f>
        <v>0</v>
      </c>
    </row>
    <row r="65" spans="1:11" x14ac:dyDescent="0.25">
      <c r="A65" t="s">
        <v>95</v>
      </c>
      <c r="B65">
        <v>2018</v>
      </c>
      <c r="C65" s="5" t="str">
        <f>'1_Du_lieu'!C75</f>
        <v>TDMNPB</v>
      </c>
      <c r="D65" s="5" t="str">
        <f t="shared" si="0"/>
        <v>2017–2020</v>
      </c>
      <c r="E65" s="8">
        <f>'1_Du_lieu'!E75</f>
        <v>40.799999999999997</v>
      </c>
      <c r="F65" s="9">
        <f>AVERAGE('1_Du_lieu'!$E$68:$E$130)</f>
        <v>37.527777777777764</v>
      </c>
      <c r="G65" s="8">
        <f t="shared" si="1"/>
        <v>108.71946706143601</v>
      </c>
      <c r="H65" s="8">
        <f>'1_Du_lieu'!F75/AVERAGE('1_Du_lieu'!$F$68:$F$130)*100</f>
        <v>103.68094794009544</v>
      </c>
      <c r="I65" s="8">
        <f>'1_Du_lieu'!G75/AVERAGE('1_Du_lieu'!$G$68:$G$130)*100</f>
        <v>100.44976201912583</v>
      </c>
      <c r="J65" s="8">
        <f>'1_Du_lieu'!H75/AVERAGE('1_Du_lieu'!$H$68:$H$130)*100</f>
        <v>129.61165048543688</v>
      </c>
      <c r="K65" s="5">
        <f>'1_Du_lieu'!D75</f>
        <v>0</v>
      </c>
    </row>
    <row r="66" spans="1:11" x14ac:dyDescent="0.25">
      <c r="A66" t="s">
        <v>97</v>
      </c>
      <c r="B66">
        <v>2018</v>
      </c>
      <c r="C66" s="5" t="str">
        <f>'1_Du_lieu'!C76</f>
        <v>TDMNPB</v>
      </c>
      <c r="D66" s="5" t="str">
        <f t="shared" si="0"/>
        <v>2017–2020</v>
      </c>
      <c r="E66" s="8">
        <f>'1_Du_lieu'!E76</f>
        <v>26</v>
      </c>
      <c r="F66" s="9">
        <f>AVERAGE('1_Du_lieu'!$E$68:$E$130)</f>
        <v>37.527777777777764</v>
      </c>
      <c r="G66" s="8">
        <f t="shared" si="1"/>
        <v>69.282013323464113</v>
      </c>
      <c r="H66" s="8">
        <f>'1_Du_lieu'!F76/AVERAGE('1_Du_lieu'!$F$68:$F$130)*100</f>
        <v>66.948269241318769</v>
      </c>
      <c r="I66" s="8">
        <f>'1_Du_lieu'!G76/AVERAGE('1_Du_lieu'!$G$68:$G$130)*100</f>
        <v>55.412427404916833</v>
      </c>
      <c r="J66" s="8">
        <f>'1_Du_lieu'!H76/AVERAGE('1_Du_lieu'!$H$68:$H$130)*100</f>
        <v>72.451456310679589</v>
      </c>
      <c r="K66" s="5">
        <f>'1_Du_lieu'!D76</f>
        <v>0</v>
      </c>
    </row>
    <row r="67" spans="1:11" x14ac:dyDescent="0.25">
      <c r="A67" t="s">
        <v>98</v>
      </c>
      <c r="B67">
        <v>2018</v>
      </c>
      <c r="C67" s="5" t="str">
        <f>'1_Du_lieu'!C77</f>
        <v>ĐBSH</v>
      </c>
      <c r="D67" s="5" t="str">
        <f t="shared" si="0"/>
        <v>2017–2020</v>
      </c>
      <c r="E67" s="8">
        <f>'1_Du_lieu'!E77</f>
        <v>46.3</v>
      </c>
      <c r="F67" s="9">
        <f>AVERAGE('1_Du_lieu'!$E$68:$E$130)</f>
        <v>37.527777777777764</v>
      </c>
      <c r="G67" s="8">
        <f t="shared" si="1"/>
        <v>123.3752775721688</v>
      </c>
      <c r="H67" s="8">
        <f>'1_Du_lieu'!F77/AVERAGE('1_Du_lieu'!$F$68:$F$130)*100</f>
        <v>118.49251193153765</v>
      </c>
      <c r="I67" s="8">
        <f>'1_Du_lieu'!G77/AVERAGE('1_Du_lieu'!$G$68:$G$130)*100</f>
        <v>148.55246495786213</v>
      </c>
      <c r="J67" s="8">
        <f>'1_Du_lieu'!H77/AVERAGE('1_Du_lieu'!$H$68:$H$130)*100</f>
        <v>92.839805825242721</v>
      </c>
      <c r="K67" s="5">
        <f>'1_Du_lieu'!D77</f>
        <v>1</v>
      </c>
    </row>
    <row r="68" spans="1:11" x14ac:dyDescent="0.25">
      <c r="A68" t="s">
        <v>100</v>
      </c>
      <c r="B68">
        <v>2018</v>
      </c>
      <c r="C68" s="5" t="str">
        <f>'1_Du_lieu'!C78</f>
        <v>ĐBSCL</v>
      </c>
      <c r="D68" s="5" t="str">
        <f t="shared" si="0"/>
        <v>2017–2020</v>
      </c>
      <c r="E68" s="8">
        <f>'1_Du_lieu'!E78</f>
        <v>35.6</v>
      </c>
      <c r="F68" s="9">
        <f>AVERAGE('1_Du_lieu'!$E$68:$E$130)</f>
        <v>37.527777777777764</v>
      </c>
      <c r="G68" s="8">
        <f t="shared" si="1"/>
        <v>94.863064396743198</v>
      </c>
      <c r="H68" s="8">
        <f>'1_Du_lieu'!F78/AVERAGE('1_Du_lieu'!$F$68:$F$130)*100</f>
        <v>98.348784903176238</v>
      </c>
      <c r="I68" s="8">
        <f>'1_Du_lieu'!G78/AVERAGE('1_Du_lieu'!$G$68:$G$130)*100</f>
        <v>92.196847299244595</v>
      </c>
      <c r="J68" s="8">
        <f>'1_Du_lieu'!H78/AVERAGE('1_Du_lieu'!$H$68:$H$130)*100</f>
        <v>91.747572815533971</v>
      </c>
      <c r="K68" s="5">
        <f>'1_Du_lieu'!D78</f>
        <v>0</v>
      </c>
    </row>
    <row r="69" spans="1:11" x14ac:dyDescent="0.25">
      <c r="A69" t="s">
        <v>103</v>
      </c>
      <c r="B69">
        <v>2018</v>
      </c>
      <c r="C69" s="5" t="str">
        <f>'1_Du_lieu'!C81</f>
        <v>ĐBSCL</v>
      </c>
      <c r="D69" s="5" t="str">
        <f t="shared" ref="D69:D132" si="2">IF(B69&lt;=2020,"2017–2020","2021–2024")</f>
        <v>2017–2020</v>
      </c>
      <c r="E69" s="8">
        <f>'1_Du_lieu'!E81</f>
        <v>41.1</v>
      </c>
      <c r="F69" s="9">
        <f>AVERAGE('1_Du_lieu'!$E$68:$E$130)</f>
        <v>37.527777777777764</v>
      </c>
      <c r="G69" s="8">
        <f t="shared" ref="G69:G132" si="3">E69/F69*100</f>
        <v>109.51887490747598</v>
      </c>
      <c r="H69" s="8">
        <f>'1_Du_lieu'!F81/AVERAGE('1_Du_lieu'!$F$68:$F$130)*100</f>
        <v>112.56788633496075</v>
      </c>
      <c r="I69" s="8">
        <f>'1_Du_lieu'!G81/AVERAGE('1_Du_lieu'!$G$68:$G$130)*100</f>
        <v>115.77660364176239</v>
      </c>
      <c r="J69" s="8">
        <f>'1_Du_lieu'!H81/AVERAGE('1_Du_lieu'!$H$68:$H$130)*100</f>
        <v>95.388349514563103</v>
      </c>
      <c r="K69" s="5">
        <f>'1_Du_lieu'!D81</f>
        <v>0</v>
      </c>
    </row>
    <row r="70" spans="1:11" x14ac:dyDescent="0.25">
      <c r="A70" t="s">
        <v>104</v>
      </c>
      <c r="B70">
        <v>2018</v>
      </c>
      <c r="C70" s="5" t="str">
        <f>'1_Du_lieu'!C82</f>
        <v>TN</v>
      </c>
      <c r="D70" s="5" t="str">
        <f t="shared" si="2"/>
        <v>2017–2020</v>
      </c>
      <c r="E70" s="8">
        <f>'1_Du_lieu'!E82</f>
        <v>30.1</v>
      </c>
      <c r="F70" s="9">
        <f>AVERAGE('1_Du_lieu'!$E$68:$E$130)</f>
        <v>37.527777777777764</v>
      </c>
      <c r="G70" s="8">
        <f t="shared" si="3"/>
        <v>80.207253886010392</v>
      </c>
      <c r="H70" s="8">
        <f>'1_Du_lieu'!F82/AVERAGE('1_Du_lieu'!$F$68:$F$130)*100</f>
        <v>61.616106204399578</v>
      </c>
      <c r="I70" s="8">
        <f>'1_Du_lieu'!G82/AVERAGE('1_Du_lieu'!$G$68:$G$130)*100</f>
        <v>84.415527706213709</v>
      </c>
      <c r="J70" s="8">
        <f>'1_Du_lieu'!H82/AVERAGE('1_Du_lieu'!$H$68:$H$130)*100</f>
        <v>72.815533980582515</v>
      </c>
      <c r="K70" s="5">
        <f>'1_Du_lieu'!D82</f>
        <v>0</v>
      </c>
    </row>
    <row r="71" spans="1:11" x14ac:dyDescent="0.25">
      <c r="A71" t="s">
        <v>107</v>
      </c>
      <c r="B71">
        <v>2018</v>
      </c>
      <c r="C71" s="5" t="str">
        <f>'1_Du_lieu'!C84</f>
        <v>ĐBSH</v>
      </c>
      <c r="D71" s="5" t="str">
        <f t="shared" si="2"/>
        <v>2017–2020</v>
      </c>
      <c r="E71" s="8">
        <f>'1_Du_lieu'!E84</f>
        <v>35</v>
      </c>
      <c r="F71" s="9">
        <f>AVERAGE('1_Du_lieu'!$E$68:$E$130)</f>
        <v>37.527777777777764</v>
      </c>
      <c r="G71" s="8">
        <f t="shared" si="3"/>
        <v>93.264248704663245</v>
      </c>
      <c r="H71" s="8">
        <f>'1_Du_lieu'!F84/AVERAGE('1_Du_lieu'!$F$68:$F$130)*100</f>
        <v>104.8658730594108</v>
      </c>
      <c r="I71" s="8">
        <f>'1_Du_lieu'!G84/AVERAGE('1_Du_lieu'!$G$68:$G$130)*100</f>
        <v>99.506571765425107</v>
      </c>
      <c r="J71" s="8">
        <f>'1_Du_lieu'!H84/AVERAGE('1_Du_lieu'!$H$68:$H$130)*100</f>
        <v>91.019417475728147</v>
      </c>
      <c r="K71" s="5">
        <f>'1_Du_lieu'!D84</f>
        <v>1</v>
      </c>
    </row>
    <row r="72" spans="1:11" x14ac:dyDescent="0.25">
      <c r="A72" t="s">
        <v>108</v>
      </c>
      <c r="B72">
        <v>2018</v>
      </c>
      <c r="C72" s="5" t="str">
        <f>'1_Du_lieu'!C85</f>
        <v>ĐBSH</v>
      </c>
      <c r="D72" s="5" t="str">
        <f t="shared" si="2"/>
        <v>2017–2020</v>
      </c>
      <c r="E72" s="8">
        <f>'1_Du_lieu'!E85</f>
        <v>79.8</v>
      </c>
      <c r="F72" s="9">
        <f>AVERAGE('1_Du_lieu'!$E$68:$E$130)</f>
        <v>37.527777777777764</v>
      </c>
      <c r="G72" s="8">
        <f t="shared" si="3"/>
        <v>212.64248704663217</v>
      </c>
      <c r="H72" s="8">
        <f>'1_Du_lieu'!F85/AVERAGE('1_Du_lieu'!$F$68:$F$130)*100</f>
        <v>249.42673761588674</v>
      </c>
      <c r="I72" s="8">
        <f>'1_Du_lieu'!G85/AVERAGE('1_Du_lieu'!$G$68:$G$130)*100</f>
        <v>187.22326535959132</v>
      </c>
      <c r="J72" s="8">
        <f>'1_Du_lieu'!H85/AVERAGE('1_Du_lieu'!$H$68:$H$130)*100</f>
        <v>286.1650485436893</v>
      </c>
      <c r="K72" s="5">
        <f>'1_Du_lieu'!D85</f>
        <v>1</v>
      </c>
    </row>
    <row r="73" spans="1:11" x14ac:dyDescent="0.25">
      <c r="A73" t="s">
        <v>109</v>
      </c>
      <c r="B73">
        <v>2018</v>
      </c>
      <c r="C73" s="5" t="str">
        <f>'1_Du_lieu'!C86</f>
        <v>BTB&amp;DHMT</v>
      </c>
      <c r="D73" s="5" t="str">
        <f t="shared" si="2"/>
        <v>2017–2020</v>
      </c>
      <c r="E73" s="8">
        <f>'1_Du_lieu'!E86</f>
        <v>33.700000000000003</v>
      </c>
      <c r="F73" s="9">
        <f>AVERAGE('1_Du_lieu'!$E$68:$E$130)</f>
        <v>37.527777777777764</v>
      </c>
      <c r="G73" s="8">
        <f t="shared" si="3"/>
        <v>89.80014803849005</v>
      </c>
      <c r="H73" s="8">
        <f>'1_Du_lieu'!F86/AVERAGE('1_Du_lieu'!$F$68:$F$130)*100</f>
        <v>95.978934664545477</v>
      </c>
      <c r="I73" s="8">
        <f>'1_Du_lieu'!G86/AVERAGE('1_Du_lieu'!$G$68:$G$130)*100</f>
        <v>77.341600803458377</v>
      </c>
      <c r="J73" s="8">
        <f>'1_Du_lieu'!H86/AVERAGE('1_Du_lieu'!$H$68:$H$130)*100</f>
        <v>104.49029126213591</v>
      </c>
      <c r="K73" s="5">
        <f>'1_Du_lieu'!D86</f>
        <v>0</v>
      </c>
    </row>
    <row r="74" spans="1:11" x14ac:dyDescent="0.25">
      <c r="A74" t="s">
        <v>110</v>
      </c>
      <c r="B74">
        <v>2018</v>
      </c>
      <c r="C74" s="5" t="str">
        <f>'1_Du_lieu'!C87</f>
        <v>TDMNPB</v>
      </c>
      <c r="D74" s="5" t="str">
        <f t="shared" si="2"/>
        <v>2017–2020</v>
      </c>
      <c r="E74" s="8">
        <f>'1_Du_lieu'!E87</f>
        <v>31.1</v>
      </c>
      <c r="F74" s="9">
        <f>AVERAGE('1_Du_lieu'!$E$68:$E$130)</f>
        <v>37.527777777777764</v>
      </c>
      <c r="G74" s="8">
        <f t="shared" si="3"/>
        <v>82.871946706143632</v>
      </c>
      <c r="H74" s="8">
        <f>'1_Du_lieu'!F87/AVERAGE('1_Du_lieu'!$F$68:$F$130)*100</f>
        <v>83.833452191562884</v>
      </c>
      <c r="I74" s="8">
        <f>'1_Du_lieu'!G87/AVERAGE('1_Du_lieu'!$G$68:$G$130)*100</f>
        <v>75.69101785948213</v>
      </c>
      <c r="J74" s="8">
        <f>'1_Du_lieu'!H87/AVERAGE('1_Du_lieu'!$H$68:$H$130)*100</f>
        <v>79.733009708737853</v>
      </c>
      <c r="K74" s="5">
        <f>'1_Du_lieu'!D87</f>
        <v>0</v>
      </c>
    </row>
    <row r="75" spans="1:11" x14ac:dyDescent="0.25">
      <c r="A75" t="s">
        <v>111</v>
      </c>
      <c r="B75">
        <v>2018</v>
      </c>
      <c r="C75" s="5" t="str">
        <f>'1_Du_lieu'!C88</f>
        <v>ĐBSH</v>
      </c>
      <c r="D75" s="5" t="str">
        <f t="shared" si="2"/>
        <v>2017–2020</v>
      </c>
      <c r="E75" s="8">
        <f>'1_Du_lieu'!E88</f>
        <v>34.700000000000003</v>
      </c>
      <c r="F75" s="9">
        <f>AVERAGE('1_Du_lieu'!$E$68:$E$130)</f>
        <v>37.527777777777764</v>
      </c>
      <c r="G75" s="8">
        <f t="shared" si="3"/>
        <v>92.46484085862329</v>
      </c>
      <c r="H75" s="8">
        <f>'1_Du_lieu'!F88/AVERAGE('1_Du_lieu'!$F$68:$F$130)*100</f>
        <v>95.386472104887815</v>
      </c>
      <c r="I75" s="8">
        <f>'1_Du_lieu'!G88/AVERAGE('1_Du_lieu'!$G$68:$G$130)*100</f>
        <v>90.310466791843155</v>
      </c>
      <c r="J75" s="8">
        <f>'1_Du_lieu'!H88/AVERAGE('1_Du_lieu'!$H$68:$H$130)*100</f>
        <v>87.378640776699029</v>
      </c>
      <c r="K75" s="5">
        <f>'1_Du_lieu'!D88</f>
        <v>1</v>
      </c>
    </row>
    <row r="76" spans="1:11" x14ac:dyDescent="0.25">
      <c r="A76" t="s">
        <v>112</v>
      </c>
      <c r="B76">
        <v>2018</v>
      </c>
      <c r="C76" s="5" t="str">
        <f>'1_Du_lieu'!C89</f>
        <v>ĐBSH</v>
      </c>
      <c r="D76" s="5" t="str">
        <f t="shared" si="2"/>
        <v>2017–2020</v>
      </c>
      <c r="E76" s="8">
        <f>'1_Du_lieu'!E89</f>
        <v>43.1</v>
      </c>
      <c r="F76" s="9">
        <f>AVERAGE('1_Du_lieu'!$E$68:$E$130)</f>
        <v>37.527777777777764</v>
      </c>
      <c r="G76" s="8">
        <f t="shared" si="3"/>
        <v>114.84826054774247</v>
      </c>
      <c r="H76" s="8">
        <f>'1_Du_lieu'!F89/AVERAGE('1_Du_lieu'!$F$68:$F$130)*100</f>
        <v>103.97717921992428</v>
      </c>
      <c r="I76" s="8">
        <f>'1_Du_lieu'!G89/AVERAGE('1_Du_lieu'!$G$68:$G$130)*100</f>
        <v>133.22562333522555</v>
      </c>
      <c r="J76" s="8">
        <f>'1_Du_lieu'!H89/AVERAGE('1_Du_lieu'!$H$68:$H$130)*100</f>
        <v>94.660194174757279</v>
      </c>
      <c r="K76" s="5">
        <f>'1_Du_lieu'!D89</f>
        <v>1</v>
      </c>
    </row>
    <row r="77" spans="1:11" x14ac:dyDescent="0.25">
      <c r="A77" t="s">
        <v>113</v>
      </c>
      <c r="B77">
        <v>2018</v>
      </c>
      <c r="C77" s="5" t="str">
        <f>'1_Du_lieu'!C90</f>
        <v>ĐBSH</v>
      </c>
      <c r="D77" s="5" t="str">
        <f t="shared" si="2"/>
        <v>2017–2020</v>
      </c>
      <c r="E77" s="8">
        <f>'1_Du_lieu'!E90</f>
        <v>54.9</v>
      </c>
      <c r="F77" s="9">
        <f>AVERAGE('1_Du_lieu'!$E$68:$E$130)</f>
        <v>37.527777777777764</v>
      </c>
      <c r="G77" s="8">
        <f t="shared" si="3"/>
        <v>146.29163582531464</v>
      </c>
      <c r="H77" s="8">
        <f>'1_Du_lieu'!F90/AVERAGE('1_Du_lieu'!$F$68:$F$130)*100</f>
        <v>121.45482472982607</v>
      </c>
      <c r="I77" s="8">
        <f>'1_Du_lieu'!G90/AVERAGE('1_Du_lieu'!$G$68:$G$130)*100</f>
        <v>158.45596262171961</v>
      </c>
      <c r="J77" s="8">
        <f>'1_Du_lieu'!H90/AVERAGE('1_Du_lieu'!$H$68:$H$130)*100</f>
        <v>164.19902912621359</v>
      </c>
      <c r="K77" s="5">
        <f>'1_Du_lieu'!D90</f>
        <v>1</v>
      </c>
    </row>
    <row r="78" spans="1:11" x14ac:dyDescent="0.25">
      <c r="A78" t="s">
        <v>115</v>
      </c>
      <c r="B78">
        <v>2018</v>
      </c>
      <c r="C78" s="5" t="str">
        <f>'1_Du_lieu'!C92</f>
        <v>BTB&amp;DHMT</v>
      </c>
      <c r="D78" s="5" t="str">
        <f t="shared" si="2"/>
        <v>2017–2020</v>
      </c>
      <c r="E78" s="8">
        <f>'1_Du_lieu'!E92</f>
        <v>40.299999999999997</v>
      </c>
      <c r="F78" s="9">
        <f>AVERAGE('1_Du_lieu'!$E$68:$E$130)</f>
        <v>37.527777777777764</v>
      </c>
      <c r="G78" s="8">
        <f t="shared" si="3"/>
        <v>107.3871206513694</v>
      </c>
      <c r="H78" s="8">
        <f>'1_Du_lieu'!F92/AVERAGE('1_Du_lieu'!$F$68:$F$130)*100</f>
        <v>106.64326073838389</v>
      </c>
      <c r="I78" s="8">
        <f>'1_Du_lieu'!G92/AVERAGE('1_Du_lieu'!$G$68:$G$130)*100</f>
        <v>114.36181826121133</v>
      </c>
      <c r="J78" s="8">
        <f>'1_Du_lieu'!H92/AVERAGE('1_Du_lieu'!$H$68:$H$130)*100</f>
        <v>118.3252427184466</v>
      </c>
      <c r="K78" s="5">
        <f>'1_Du_lieu'!D92</f>
        <v>0</v>
      </c>
    </row>
    <row r="79" spans="1:11" x14ac:dyDescent="0.25">
      <c r="A79" t="s">
        <v>116</v>
      </c>
      <c r="B79">
        <v>2018</v>
      </c>
      <c r="C79" s="5" t="str">
        <f>'1_Du_lieu'!C93</f>
        <v>ĐBSCL</v>
      </c>
      <c r="D79" s="5" t="str">
        <f t="shared" si="2"/>
        <v>2017–2020</v>
      </c>
      <c r="E79" s="8">
        <f>'1_Du_lieu'!E93</f>
        <v>35.299999999999997</v>
      </c>
      <c r="F79" s="9">
        <f>AVERAGE('1_Du_lieu'!$E$68:$E$130)</f>
        <v>37.527777777777764</v>
      </c>
      <c r="G79" s="8">
        <f t="shared" si="3"/>
        <v>94.063656550703215</v>
      </c>
      <c r="H79" s="8">
        <f>'1_Du_lieu'!F93/AVERAGE('1_Du_lieu'!$F$68:$F$130)*100</f>
        <v>88.869383948653223</v>
      </c>
      <c r="I79" s="8">
        <f>'1_Du_lieu'!G93/AVERAGE('1_Du_lieu'!$G$68:$G$130)*100</f>
        <v>106.58049866818044</v>
      </c>
      <c r="J79" s="8">
        <f>'1_Du_lieu'!H93/AVERAGE('1_Du_lieu'!$H$68:$H$130)*100</f>
        <v>86.28640776699028</v>
      </c>
      <c r="K79" s="5">
        <f>'1_Du_lieu'!D93</f>
        <v>0</v>
      </c>
    </row>
    <row r="80" spans="1:11" x14ac:dyDescent="0.25">
      <c r="A80" t="s">
        <v>117</v>
      </c>
      <c r="B80">
        <v>2018</v>
      </c>
      <c r="C80" s="5" t="str">
        <f>'1_Du_lieu'!C94</f>
        <v>TN</v>
      </c>
      <c r="D80" s="5" t="str">
        <f t="shared" si="2"/>
        <v>2017–2020</v>
      </c>
      <c r="E80" s="8">
        <f>'1_Du_lieu'!E94</f>
        <v>29</v>
      </c>
      <c r="F80" s="9">
        <f>AVERAGE('1_Du_lieu'!$E$68:$E$130)</f>
        <v>37.527777777777764</v>
      </c>
      <c r="G80" s="8">
        <f t="shared" si="3"/>
        <v>77.276091783863833</v>
      </c>
      <c r="H80" s="8">
        <f>'1_Du_lieu'!F94/AVERAGE('1_Du_lieu'!$F$68:$F$130)*100</f>
        <v>77.612595315157151</v>
      </c>
      <c r="I80" s="8">
        <f>'1_Du_lieu'!G94/AVERAGE('1_Du_lieu'!$G$68:$G$130)*100</f>
        <v>67.673900703026078</v>
      </c>
      <c r="J80" s="8">
        <f>'1_Du_lieu'!H94/AVERAGE('1_Du_lieu'!$H$68:$H$130)*100</f>
        <v>76.456310679611647</v>
      </c>
      <c r="K80" s="5">
        <f>'1_Du_lieu'!D94</f>
        <v>0</v>
      </c>
    </row>
    <row r="81" spans="1:11" x14ac:dyDescent="0.25">
      <c r="A81" t="s">
        <v>119</v>
      </c>
      <c r="B81">
        <v>2018</v>
      </c>
      <c r="C81" s="5" t="str">
        <f>'1_Du_lieu'!C96</f>
        <v>ĐBSCL</v>
      </c>
      <c r="D81" s="5" t="str">
        <f t="shared" si="2"/>
        <v>2017–2020</v>
      </c>
      <c r="E81" s="8">
        <f>'1_Du_lieu'!E96</f>
        <v>34.200000000000003</v>
      </c>
      <c r="F81" s="9">
        <f>AVERAGE('1_Du_lieu'!$E$68:$E$130)</f>
        <v>37.527777777777764</v>
      </c>
      <c r="G81" s="8">
        <f t="shared" si="3"/>
        <v>91.13249444855667</v>
      </c>
      <c r="H81" s="8">
        <f>'1_Du_lieu'!F96/AVERAGE('1_Du_lieu'!$F$68:$F$130)*100</f>
        <v>84.129683471391715</v>
      </c>
      <c r="I81" s="8">
        <f>'1_Du_lieu'!G96/AVERAGE('1_Du_lieu'!$G$68:$G$130)*100</f>
        <v>104.45832059735385</v>
      </c>
      <c r="J81" s="8">
        <f>'1_Du_lieu'!H96/AVERAGE('1_Du_lieu'!$H$68:$H$130)*100</f>
        <v>72.815533980582515</v>
      </c>
      <c r="K81" s="5">
        <f>'1_Du_lieu'!D96</f>
        <v>0</v>
      </c>
    </row>
    <row r="82" spans="1:11" x14ac:dyDescent="0.25">
      <c r="A82" t="s">
        <v>120</v>
      </c>
      <c r="B82">
        <v>2018</v>
      </c>
      <c r="C82" s="5" t="str">
        <f>'1_Du_lieu'!C97</f>
        <v>TDMNPB</v>
      </c>
      <c r="D82" s="5" t="str">
        <f t="shared" si="2"/>
        <v>2017–2020</v>
      </c>
      <c r="E82" s="8">
        <f>'1_Du_lieu'!E97</f>
        <v>33.700000000000003</v>
      </c>
      <c r="F82" s="9">
        <f>AVERAGE('1_Du_lieu'!$E$68:$E$130)</f>
        <v>37.527777777777764</v>
      </c>
      <c r="G82" s="8">
        <f t="shared" si="3"/>
        <v>89.80014803849005</v>
      </c>
      <c r="H82" s="8">
        <f>'1_Du_lieu'!F97/AVERAGE('1_Du_lieu'!$F$68:$F$130)*100</f>
        <v>109.60557353667231</v>
      </c>
      <c r="I82" s="8">
        <f>'1_Du_lieu'!G97/AVERAGE('1_Du_lieu'!$G$68:$G$130)*100</f>
        <v>72.389851971529637</v>
      </c>
      <c r="J82" s="8">
        <f>'1_Du_lieu'!H97/AVERAGE('1_Du_lieu'!$H$68:$H$130)*100</f>
        <v>92.111650485436897</v>
      </c>
      <c r="K82" s="5">
        <f>'1_Du_lieu'!D97</f>
        <v>0</v>
      </c>
    </row>
    <row r="83" spans="1:11" x14ac:dyDescent="0.25">
      <c r="A83" t="s">
        <v>121</v>
      </c>
      <c r="B83">
        <v>2018</v>
      </c>
      <c r="C83" s="5" t="str">
        <f>'1_Du_lieu'!C98</f>
        <v>TN</v>
      </c>
      <c r="D83" s="5" t="str">
        <f t="shared" si="2"/>
        <v>2017–2020</v>
      </c>
      <c r="E83" s="8">
        <f>'1_Du_lieu'!E98</f>
        <v>35.9</v>
      </c>
      <c r="F83" s="9">
        <f>AVERAGE('1_Du_lieu'!$E$68:$E$130)</f>
        <v>37.527777777777764</v>
      </c>
      <c r="G83" s="8">
        <f t="shared" si="3"/>
        <v>95.662472242783153</v>
      </c>
      <c r="H83" s="8">
        <f>'1_Du_lieu'!F98/AVERAGE('1_Du_lieu'!$F$68:$F$130)*100</f>
        <v>93.60908442591473</v>
      </c>
      <c r="I83" s="8">
        <f>'1_Du_lieu'!G98/AVERAGE('1_Du_lieu'!$G$68:$G$130)*100</f>
        <v>105.87310597790491</v>
      </c>
      <c r="J83" s="8">
        <f>'1_Du_lieu'!H98/AVERAGE('1_Du_lieu'!$H$68:$H$130)*100</f>
        <v>79.368932038834956</v>
      </c>
      <c r="K83" s="5">
        <f>'1_Du_lieu'!D98</f>
        <v>0</v>
      </c>
    </row>
    <row r="84" spans="1:11" x14ac:dyDescent="0.25">
      <c r="A84" t="s">
        <v>122</v>
      </c>
      <c r="B84">
        <v>2018</v>
      </c>
      <c r="C84" s="5" t="str">
        <f>'1_Du_lieu'!C99</f>
        <v>TDMNPB</v>
      </c>
      <c r="D84" s="5" t="str">
        <f t="shared" si="2"/>
        <v>2017–2020</v>
      </c>
      <c r="E84" s="8">
        <f>'1_Du_lieu'!E99</f>
        <v>27.3</v>
      </c>
      <c r="F84" s="9">
        <f>AVERAGE('1_Du_lieu'!$E$68:$E$130)</f>
        <v>37.527777777777764</v>
      </c>
      <c r="G84" s="8">
        <f t="shared" si="3"/>
        <v>72.746113989637323</v>
      </c>
      <c r="H84" s="8">
        <f>'1_Du_lieu'!F99/AVERAGE('1_Du_lieu'!$F$68:$F$130)*100</f>
        <v>71.984200998409122</v>
      </c>
      <c r="I84" s="8">
        <f>'1_Du_lieu'!G99/AVERAGE('1_Du_lieu'!$G$68:$G$130)*100</f>
        <v>59.18518841971968</v>
      </c>
      <c r="J84" s="8">
        <f>'1_Du_lieu'!H99/AVERAGE('1_Du_lieu'!$H$68:$H$130)*100</f>
        <v>84.830097087378647</v>
      </c>
      <c r="K84" s="5">
        <f>'1_Du_lieu'!D99</f>
        <v>0</v>
      </c>
    </row>
    <row r="85" spans="1:11" x14ac:dyDescent="0.25">
      <c r="A85" t="s">
        <v>123</v>
      </c>
      <c r="B85">
        <v>2018</v>
      </c>
      <c r="C85" s="5" t="str">
        <f>'1_Du_lieu'!C100</f>
        <v>ĐBSH</v>
      </c>
      <c r="D85" s="5" t="str">
        <f t="shared" si="2"/>
        <v>2017–2020</v>
      </c>
      <c r="E85" s="8">
        <f>'1_Du_lieu'!E100</f>
        <v>37.799999999999997</v>
      </c>
      <c r="F85" s="9">
        <f>AVERAGE('1_Du_lieu'!$E$68:$E$130)</f>
        <v>37.527777777777764</v>
      </c>
      <c r="G85" s="8">
        <f t="shared" si="3"/>
        <v>100.7253886010363</v>
      </c>
      <c r="H85" s="8">
        <f>'1_Du_lieu'!F100/AVERAGE('1_Du_lieu'!$F$68:$F$130)*100</f>
        <v>100.71863514180698</v>
      </c>
      <c r="I85" s="8">
        <f>'1_Du_lieu'!G100/AVERAGE('1_Du_lieu'!$G$68:$G$130)*100</f>
        <v>108.70267673900706</v>
      </c>
      <c r="J85" s="8">
        <f>'1_Du_lieu'!H100/AVERAGE('1_Du_lieu'!$H$68:$H$130)*100</f>
        <v>85.194174757281544</v>
      </c>
      <c r="K85" s="5">
        <f>'1_Du_lieu'!D100</f>
        <v>1</v>
      </c>
    </row>
    <row r="86" spans="1:11" x14ac:dyDescent="0.25">
      <c r="A86" t="s">
        <v>124</v>
      </c>
      <c r="B86">
        <v>2018</v>
      </c>
      <c r="C86" s="5" t="str">
        <f>'1_Du_lieu'!C101</f>
        <v>BTB&amp;DHMT</v>
      </c>
      <c r="D86" s="5" t="str">
        <f t="shared" si="2"/>
        <v>2017–2020</v>
      </c>
      <c r="E86" s="8">
        <f>'1_Du_lieu'!E101</f>
        <v>38</v>
      </c>
      <c r="F86" s="9">
        <f>AVERAGE('1_Du_lieu'!$E$68:$E$130)</f>
        <v>37.527777777777764</v>
      </c>
      <c r="G86" s="8">
        <f t="shared" si="3"/>
        <v>101.25832716506295</v>
      </c>
      <c r="H86" s="8">
        <f>'1_Du_lieu'!F101/AVERAGE('1_Du_lieu'!$F$68:$F$130)*100</f>
        <v>106.93949201821273</v>
      </c>
      <c r="I86" s="8">
        <f>'1_Du_lieu'!G101/AVERAGE('1_Du_lieu'!$G$68:$G$130)*100</f>
        <v>93.140037552945316</v>
      </c>
      <c r="J86" s="8">
        <f>'1_Du_lieu'!H101/AVERAGE('1_Du_lieu'!$H$68:$H$130)*100</f>
        <v>102.66990291262135</v>
      </c>
      <c r="K86" s="5">
        <f>'1_Du_lieu'!D101</f>
        <v>0</v>
      </c>
    </row>
    <row r="87" spans="1:11" x14ac:dyDescent="0.25">
      <c r="A87" t="s">
        <v>125</v>
      </c>
      <c r="B87">
        <v>2018</v>
      </c>
      <c r="C87" s="5" t="str">
        <f>'1_Du_lieu'!C102</f>
        <v>ĐBSH</v>
      </c>
      <c r="D87" s="5" t="str">
        <f t="shared" si="2"/>
        <v>2017–2020</v>
      </c>
      <c r="E87" s="8">
        <f>'1_Du_lieu'!E102</f>
        <v>36</v>
      </c>
      <c r="F87" s="9">
        <f>AVERAGE('1_Du_lieu'!$E$68:$E$130)</f>
        <v>37.527777777777764</v>
      </c>
      <c r="G87" s="8">
        <f t="shared" si="3"/>
        <v>95.928941524796485</v>
      </c>
      <c r="H87" s="8">
        <f>'1_Du_lieu'!F102/AVERAGE('1_Du_lieu'!$F$68:$F$130)*100</f>
        <v>94.794009545230111</v>
      </c>
      <c r="I87" s="8">
        <f>'1_Du_lieu'!G102/AVERAGE('1_Du_lieu'!$G$68:$G$130)*100</f>
        <v>101.39295227282655</v>
      </c>
      <c r="J87" s="8">
        <f>'1_Du_lieu'!H102/AVERAGE('1_Du_lieu'!$H$68:$H$130)*100</f>
        <v>82.645631067961162</v>
      </c>
      <c r="K87" s="5">
        <f>'1_Du_lieu'!D102</f>
        <v>1</v>
      </c>
    </row>
    <row r="88" spans="1:11" x14ac:dyDescent="0.25">
      <c r="A88" t="s">
        <v>126</v>
      </c>
      <c r="B88">
        <v>2018</v>
      </c>
      <c r="C88" s="5" t="str">
        <f>'1_Du_lieu'!C103</f>
        <v>BTB&amp;DHMT</v>
      </c>
      <c r="D88" s="5" t="str">
        <f t="shared" si="2"/>
        <v>2017–2020</v>
      </c>
      <c r="E88" s="8">
        <f>'1_Du_lieu'!E103</f>
        <v>31.6</v>
      </c>
      <c r="F88" s="9">
        <f>AVERAGE('1_Du_lieu'!$E$68:$E$130)</f>
        <v>37.527777777777764</v>
      </c>
      <c r="G88" s="8">
        <f t="shared" si="3"/>
        <v>84.204293116210252</v>
      </c>
      <c r="H88" s="8">
        <f>'1_Du_lieu'!F103/AVERAGE('1_Du_lieu'!$F$68:$F$130)*100</f>
        <v>87.980690109166687</v>
      </c>
      <c r="I88" s="8">
        <f>'1_Du_lieu'!G103/AVERAGE('1_Du_lieu'!$G$68:$G$130)*100</f>
        <v>95.498013187197088</v>
      </c>
      <c r="J88" s="8">
        <f>'1_Du_lieu'!H103/AVERAGE('1_Du_lieu'!$H$68:$H$130)*100</f>
        <v>70.631067961165044</v>
      </c>
      <c r="K88" s="5">
        <f>'1_Du_lieu'!D103</f>
        <v>0</v>
      </c>
    </row>
    <row r="89" spans="1:11" x14ac:dyDescent="0.25">
      <c r="A89" t="s">
        <v>127</v>
      </c>
      <c r="B89">
        <v>2018</v>
      </c>
      <c r="C89" s="5" t="str">
        <f>'1_Du_lieu'!C104</f>
        <v>TDMNPB</v>
      </c>
      <c r="D89" s="5" t="str">
        <f t="shared" si="2"/>
        <v>2017–2020</v>
      </c>
      <c r="E89" s="8">
        <f>'1_Du_lieu'!E104</f>
        <v>36.700000000000003</v>
      </c>
      <c r="F89" s="9">
        <f>AVERAGE('1_Du_lieu'!$E$68:$E$130)</f>
        <v>37.527777777777764</v>
      </c>
      <c r="G89" s="8">
        <f t="shared" si="3"/>
        <v>97.794226498889756</v>
      </c>
      <c r="H89" s="8">
        <f>'1_Du_lieu'!F104/AVERAGE('1_Du_lieu'!$F$68:$F$130)*100</f>
        <v>94.794009545230111</v>
      </c>
      <c r="I89" s="8">
        <f>'1_Du_lieu'!G104/AVERAGE('1_Du_lieu'!$G$68:$G$130)*100</f>
        <v>90.074669228417989</v>
      </c>
      <c r="J89" s="8">
        <f>'1_Du_lieu'!H104/AVERAGE('1_Du_lieu'!$H$68:$H$130)*100</f>
        <v>109.22330097087378</v>
      </c>
      <c r="K89" s="5">
        <f>'1_Du_lieu'!D104</f>
        <v>0</v>
      </c>
    </row>
    <row r="90" spans="1:11" x14ac:dyDescent="0.25">
      <c r="A90" t="s">
        <v>128</v>
      </c>
      <c r="B90">
        <v>2018</v>
      </c>
      <c r="C90" s="5" t="str">
        <f>'1_Du_lieu'!C105</f>
        <v>BTB&amp;DHMT</v>
      </c>
      <c r="D90" s="5" t="str">
        <f t="shared" si="2"/>
        <v>2017–2020</v>
      </c>
      <c r="E90" s="8">
        <f>'1_Du_lieu'!E105</f>
        <v>33.1</v>
      </c>
      <c r="F90" s="9">
        <f>AVERAGE('1_Du_lieu'!$E$68:$E$130)</f>
        <v>37.527777777777764</v>
      </c>
      <c r="G90" s="8">
        <f t="shared" si="3"/>
        <v>88.201332346410098</v>
      </c>
      <c r="H90" s="8">
        <f>'1_Du_lieu'!F105/AVERAGE('1_Du_lieu'!$F$68:$F$130)*100</f>
        <v>107.82818585769924</v>
      </c>
      <c r="I90" s="8">
        <f>'1_Du_lieu'!G105/AVERAGE('1_Du_lieu'!$G$68:$G$130)*100</f>
        <v>74.040434915505884</v>
      </c>
      <c r="J90" s="8">
        <f>'1_Du_lieu'!H105/AVERAGE('1_Du_lieu'!$H$68:$H$130)*100</f>
        <v>87.378640776699029</v>
      </c>
      <c r="K90" s="5">
        <f>'1_Du_lieu'!D105</f>
        <v>0</v>
      </c>
    </row>
    <row r="91" spans="1:11" x14ac:dyDescent="0.25">
      <c r="A91" t="s">
        <v>129</v>
      </c>
      <c r="B91">
        <v>2018</v>
      </c>
      <c r="C91" s="5" t="str">
        <f>'1_Du_lieu'!C106</f>
        <v>BTB&amp;DHMT</v>
      </c>
      <c r="D91" s="5" t="str">
        <f t="shared" si="2"/>
        <v>2017–2020</v>
      </c>
      <c r="E91" s="8">
        <f>'1_Du_lieu'!E106</f>
        <v>30.1</v>
      </c>
      <c r="F91" s="9">
        <f>AVERAGE('1_Du_lieu'!$E$68:$E$130)</f>
        <v>37.527777777777764</v>
      </c>
      <c r="G91" s="8">
        <f t="shared" si="3"/>
        <v>80.207253886010392</v>
      </c>
      <c r="H91" s="8">
        <f>'1_Du_lieu'!F106/AVERAGE('1_Du_lieu'!$F$68:$F$130)*100</f>
        <v>79.982445553787912</v>
      </c>
      <c r="I91" s="8">
        <f>'1_Du_lieu'!G106/AVERAGE('1_Du_lieu'!$G$68:$G$130)*100</f>
        <v>88.659883847866922</v>
      </c>
      <c r="J91" s="8">
        <f>'1_Du_lieu'!H106/AVERAGE('1_Du_lieu'!$H$68:$H$130)*100</f>
        <v>66.990291262135912</v>
      </c>
      <c r="K91" s="5">
        <f>'1_Du_lieu'!D106</f>
        <v>0</v>
      </c>
    </row>
    <row r="92" spans="1:11" x14ac:dyDescent="0.25">
      <c r="A92" t="s">
        <v>130</v>
      </c>
      <c r="B92">
        <v>2018</v>
      </c>
      <c r="C92" s="5" t="str">
        <f>'1_Du_lieu'!C107</f>
        <v>BTB&amp;DHMT</v>
      </c>
      <c r="D92" s="5" t="str">
        <f t="shared" si="2"/>
        <v>2017–2020</v>
      </c>
      <c r="E92" s="8">
        <f>'1_Du_lieu'!E107</f>
        <v>37.1</v>
      </c>
      <c r="F92" s="9">
        <f>AVERAGE('1_Du_lieu'!$E$68:$E$130)</f>
        <v>37.527777777777764</v>
      </c>
      <c r="G92" s="8">
        <f t="shared" si="3"/>
        <v>98.860103626943044</v>
      </c>
      <c r="H92" s="8">
        <f>'1_Du_lieu'!F107/AVERAGE('1_Du_lieu'!$F$68:$F$130)*100</f>
        <v>98.645016183005069</v>
      </c>
      <c r="I92" s="8">
        <f>'1_Du_lieu'!G107/AVERAGE('1_Du_lieu'!$G$68:$G$130)*100</f>
        <v>91.017859482118695</v>
      </c>
      <c r="J92" s="8">
        <f>'1_Du_lieu'!H107/AVERAGE('1_Du_lieu'!$H$68:$H$130)*100</f>
        <v>99.757281553398045</v>
      </c>
      <c r="K92" s="5">
        <f>'1_Du_lieu'!D107</f>
        <v>0</v>
      </c>
    </row>
    <row r="93" spans="1:11" x14ac:dyDescent="0.25">
      <c r="A93" t="s">
        <v>131</v>
      </c>
      <c r="B93">
        <v>2018</v>
      </c>
      <c r="C93" s="5" t="str">
        <f>'1_Du_lieu'!C108</f>
        <v>BTB&amp;DHMT</v>
      </c>
      <c r="D93" s="5" t="str">
        <f t="shared" si="2"/>
        <v>2017–2020</v>
      </c>
      <c r="E93" s="8">
        <f>'1_Du_lieu'!E108</f>
        <v>30.1</v>
      </c>
      <c r="F93" s="9">
        <f>AVERAGE('1_Du_lieu'!$E$68:$E$130)</f>
        <v>37.527777777777764</v>
      </c>
      <c r="G93" s="8">
        <f t="shared" si="3"/>
        <v>80.207253886010392</v>
      </c>
      <c r="H93" s="8">
        <f>'1_Du_lieu'!F108/AVERAGE('1_Du_lieu'!$F$68:$F$130)*100</f>
        <v>87.091996269680166</v>
      </c>
      <c r="I93" s="8">
        <f>'1_Du_lieu'!G108/AVERAGE('1_Du_lieu'!$G$68:$G$130)*100</f>
        <v>78.284791057159097</v>
      </c>
      <c r="J93" s="8">
        <f>'1_Du_lieu'!H108/AVERAGE('1_Du_lieu'!$H$68:$H$130)*100</f>
        <v>72.087378640776706</v>
      </c>
      <c r="K93" s="5">
        <f>'1_Du_lieu'!D108</f>
        <v>0</v>
      </c>
    </row>
    <row r="94" spans="1:11" x14ac:dyDescent="0.25">
      <c r="A94" t="s">
        <v>132</v>
      </c>
      <c r="B94">
        <v>2018</v>
      </c>
      <c r="C94" s="5" t="str">
        <f>'1_Du_lieu'!C109</f>
        <v>ĐBSH</v>
      </c>
      <c r="D94" s="5" t="str">
        <f t="shared" si="2"/>
        <v>2017–2020</v>
      </c>
      <c r="E94" s="8">
        <f>'1_Du_lieu'!E109</f>
        <v>40.299999999999997</v>
      </c>
      <c r="F94" s="9">
        <f>AVERAGE('1_Du_lieu'!$E$68:$E$130)</f>
        <v>37.527777777777764</v>
      </c>
      <c r="G94" s="8">
        <f t="shared" si="3"/>
        <v>107.3871206513694</v>
      </c>
      <c r="H94" s="8">
        <f>'1_Du_lieu'!F109/AVERAGE('1_Du_lieu'!$F$68:$F$130)*100</f>
        <v>98.941247462833928</v>
      </c>
      <c r="I94" s="8">
        <f>'1_Du_lieu'!G109/AVERAGE('1_Du_lieu'!$G$68:$G$130)*100</f>
        <v>120.9641500371163</v>
      </c>
      <c r="J94" s="8">
        <f>'1_Du_lieu'!H109/AVERAGE('1_Du_lieu'!$H$68:$H$130)*100</f>
        <v>95.024271844660191</v>
      </c>
      <c r="K94" s="5">
        <f>'1_Du_lieu'!D109</f>
        <v>1</v>
      </c>
    </row>
    <row r="95" spans="1:11" x14ac:dyDescent="0.25">
      <c r="A95" t="s">
        <v>133</v>
      </c>
      <c r="B95">
        <v>2018</v>
      </c>
      <c r="C95" s="5" t="str">
        <f>'1_Du_lieu'!C110</f>
        <v>BTB&amp;DHMT</v>
      </c>
      <c r="D95" s="5" t="str">
        <f t="shared" si="2"/>
        <v>2017–2020</v>
      </c>
      <c r="E95" s="8">
        <f>'1_Du_lieu'!E110</f>
        <v>29.1</v>
      </c>
      <c r="F95" s="9">
        <f>AVERAGE('1_Du_lieu'!$E$68:$E$130)</f>
        <v>37.527777777777764</v>
      </c>
      <c r="G95" s="8">
        <f t="shared" si="3"/>
        <v>77.542561065877152</v>
      </c>
      <c r="H95" s="8">
        <f>'1_Du_lieu'!F110/AVERAGE('1_Du_lieu'!$F$68:$F$130)*100</f>
        <v>70.503044599264896</v>
      </c>
      <c r="I95" s="8">
        <f>'1_Du_lieu'!G110/AVERAGE('1_Du_lieu'!$G$68:$G$130)*100</f>
        <v>71.918256844679291</v>
      </c>
      <c r="J95" s="8">
        <f>'1_Du_lieu'!H110/AVERAGE('1_Du_lieu'!$H$68:$H$130)*100</f>
        <v>89.927184466019412</v>
      </c>
      <c r="K95" s="5">
        <f>'1_Du_lieu'!D110</f>
        <v>0</v>
      </c>
    </row>
    <row r="96" spans="1:11" x14ac:dyDescent="0.25">
      <c r="A96" t="s">
        <v>136</v>
      </c>
      <c r="B96">
        <v>2018</v>
      </c>
      <c r="C96" s="5" t="str">
        <f>'1_Du_lieu'!C113</f>
        <v>ĐNB</v>
      </c>
      <c r="D96" s="5" t="str">
        <f t="shared" si="2"/>
        <v>2017–2020</v>
      </c>
      <c r="E96" s="8">
        <f>'1_Du_lieu'!E113</f>
        <v>82.1</v>
      </c>
      <c r="F96" s="9">
        <f>AVERAGE('1_Du_lieu'!$E$68:$E$130)</f>
        <v>37.527777777777764</v>
      </c>
      <c r="G96" s="8">
        <f t="shared" si="3"/>
        <v>218.77128053293862</v>
      </c>
      <c r="H96" s="8">
        <f>'1_Du_lieu'!F113/AVERAGE('1_Du_lieu'!$F$68:$F$130)*100</f>
        <v>244.98326841845409</v>
      </c>
      <c r="I96" s="8">
        <f>'1_Du_lieu'!G113/AVERAGE('1_Du_lieu'!$G$68:$G$130)*100</f>
        <v>190.28863368411862</v>
      </c>
      <c r="J96" s="8">
        <f>'1_Du_lieu'!H113/AVERAGE('1_Du_lieu'!$H$68:$H$130)*100</f>
        <v>302.54854368932035</v>
      </c>
      <c r="K96" s="5">
        <f>'1_Du_lieu'!D113</f>
        <v>1</v>
      </c>
    </row>
    <row r="97" spans="1:11" x14ac:dyDescent="0.25">
      <c r="A97" t="s">
        <v>137</v>
      </c>
      <c r="B97">
        <v>2018</v>
      </c>
      <c r="C97" s="5" t="str">
        <f>'1_Du_lieu'!C114</f>
        <v>BTB&amp;DHMT</v>
      </c>
      <c r="D97" s="5" t="str">
        <f t="shared" si="2"/>
        <v>2017–2020</v>
      </c>
      <c r="E97" s="8">
        <f>'1_Du_lieu'!E114</f>
        <v>36.4</v>
      </c>
      <c r="F97" s="9">
        <f>AVERAGE('1_Du_lieu'!$E$68:$E$130)</f>
        <v>37.527777777777764</v>
      </c>
      <c r="G97" s="8">
        <f t="shared" si="3"/>
        <v>96.994818652849773</v>
      </c>
      <c r="H97" s="8">
        <f>'1_Du_lieu'!F114/AVERAGE('1_Du_lieu'!$F$68:$F$130)*100</f>
        <v>100.71863514180698</v>
      </c>
      <c r="I97" s="8">
        <f>'1_Du_lieu'!G114/AVERAGE('1_Du_lieu'!$G$68:$G$130)*100</f>
        <v>91.961049735819415</v>
      </c>
      <c r="J97" s="8">
        <f>'1_Du_lieu'!H114/AVERAGE('1_Du_lieu'!$H$68:$H$130)*100</f>
        <v>105.58252427184465</v>
      </c>
      <c r="K97" s="5">
        <f>'1_Du_lieu'!D114</f>
        <v>0</v>
      </c>
    </row>
    <row r="98" spans="1:11" x14ac:dyDescent="0.25">
      <c r="A98" t="s">
        <v>138</v>
      </c>
      <c r="B98">
        <v>2018</v>
      </c>
      <c r="C98" s="5" t="str">
        <f>'1_Du_lieu'!C115</f>
        <v>ĐBSH</v>
      </c>
      <c r="D98" s="5" t="str">
        <f t="shared" si="2"/>
        <v>2017–2020</v>
      </c>
      <c r="E98" s="8">
        <f>'1_Du_lieu'!E115</f>
        <v>35.799999999999997</v>
      </c>
      <c r="F98" s="9">
        <f>AVERAGE('1_Du_lieu'!$E$68:$E$130)</f>
        <v>37.527777777777764</v>
      </c>
      <c r="G98" s="8">
        <f t="shared" si="3"/>
        <v>95.39600296076982</v>
      </c>
      <c r="H98" s="8">
        <f>'1_Du_lieu'!F115/AVERAGE('1_Du_lieu'!$F$68:$F$130)*100</f>
        <v>97.756322343518548</v>
      </c>
      <c r="I98" s="8">
        <f>'1_Du_lieu'!G115/AVERAGE('1_Du_lieu'!$G$68:$G$130)*100</f>
        <v>84.179730142788543</v>
      </c>
      <c r="J98" s="8">
        <f>'1_Du_lieu'!H115/AVERAGE('1_Du_lieu'!$H$68:$H$130)*100</f>
        <v>105.58252427184465</v>
      </c>
      <c r="K98" s="5">
        <f>'1_Du_lieu'!D115</f>
        <v>1</v>
      </c>
    </row>
    <row r="99" spans="1:11" x14ac:dyDescent="0.25">
      <c r="A99" t="s">
        <v>139</v>
      </c>
      <c r="B99">
        <v>2018</v>
      </c>
      <c r="C99" s="5" t="str">
        <f>'1_Du_lieu'!C116</f>
        <v>TDMNPB</v>
      </c>
      <c r="D99" s="5" t="str">
        <f t="shared" si="2"/>
        <v>2017–2020</v>
      </c>
      <c r="E99" s="8">
        <f>'1_Du_lieu'!E116</f>
        <v>33.1</v>
      </c>
      <c r="F99" s="9">
        <f>AVERAGE('1_Du_lieu'!$E$68:$E$130)</f>
        <v>37.527777777777764</v>
      </c>
      <c r="G99" s="8">
        <f t="shared" si="3"/>
        <v>88.201332346410098</v>
      </c>
      <c r="H99" s="8">
        <f>'1_Du_lieu'!F116/AVERAGE('1_Du_lieu'!$F$68:$F$130)*100</f>
        <v>100.71863514180698</v>
      </c>
      <c r="I99" s="8">
        <f>'1_Du_lieu'!G116/AVERAGE('1_Du_lieu'!$G$68:$G$130)*100</f>
        <v>76.634208113182851</v>
      </c>
      <c r="J99" s="8">
        <f>'1_Du_lieu'!H116/AVERAGE('1_Du_lieu'!$H$68:$H$130)*100</f>
        <v>88.106796116504853</v>
      </c>
      <c r="K99" s="5">
        <f>'1_Du_lieu'!D116</f>
        <v>0</v>
      </c>
    </row>
    <row r="100" spans="1:11" x14ac:dyDescent="0.25">
      <c r="A100" t="s">
        <v>140</v>
      </c>
      <c r="B100">
        <v>2018</v>
      </c>
      <c r="C100" s="5" t="str">
        <f>'1_Du_lieu'!C117</f>
        <v>BTB&amp;DHMT</v>
      </c>
      <c r="D100" s="5" t="str">
        <f t="shared" si="2"/>
        <v>2017–2020</v>
      </c>
      <c r="E100" s="8">
        <f>'1_Du_lieu'!E117</f>
        <v>38.299999999999997</v>
      </c>
      <c r="F100" s="9">
        <f>AVERAGE('1_Du_lieu'!$E$68:$E$130)</f>
        <v>37.527777777777764</v>
      </c>
      <c r="G100" s="8">
        <f t="shared" si="3"/>
        <v>102.05773501110291</v>
      </c>
      <c r="H100" s="8">
        <f>'1_Du_lieu'!F117/AVERAGE('1_Du_lieu'!$F$68:$F$130)*100</f>
        <v>99.829941302320464</v>
      </c>
      <c r="I100" s="8">
        <f>'1_Du_lieu'!G117/AVERAGE('1_Du_lieu'!$G$68:$G$130)*100</f>
        <v>104.22252303392867</v>
      </c>
      <c r="J100" s="8">
        <f>'1_Du_lieu'!H117/AVERAGE('1_Du_lieu'!$H$68:$H$130)*100</f>
        <v>93.56796116504853</v>
      </c>
      <c r="K100" s="5">
        <f>'1_Du_lieu'!D117</f>
        <v>0</v>
      </c>
    </row>
    <row r="101" spans="1:11" x14ac:dyDescent="0.25">
      <c r="A101" t="s">
        <v>141</v>
      </c>
      <c r="B101">
        <v>2018</v>
      </c>
      <c r="C101" s="5" t="str">
        <f>'1_Du_lieu'!C118</f>
        <v>ĐBSCL</v>
      </c>
      <c r="D101" s="5" t="str">
        <f t="shared" si="2"/>
        <v>2017–2020</v>
      </c>
      <c r="E101" s="8">
        <f>'1_Du_lieu'!E118</f>
        <v>33.700000000000003</v>
      </c>
      <c r="F101" s="9">
        <f>AVERAGE('1_Du_lieu'!$E$68:$E$130)</f>
        <v>37.527777777777764</v>
      </c>
      <c r="G101" s="8">
        <f t="shared" si="3"/>
        <v>89.80014803849005</v>
      </c>
      <c r="H101" s="8">
        <f>'1_Du_lieu'!F118/AVERAGE('1_Du_lieu'!$F$68:$F$130)*100</f>
        <v>98.941247462833928</v>
      </c>
      <c r="I101" s="8">
        <f>'1_Du_lieu'!G118/AVERAGE('1_Du_lieu'!$G$68:$G$130)*100</f>
        <v>90.074669228417989</v>
      </c>
      <c r="J101" s="8">
        <f>'1_Du_lieu'!H118/AVERAGE('1_Du_lieu'!$H$68:$H$130)*100</f>
        <v>66.990291262135912</v>
      </c>
      <c r="K101" s="5">
        <f>'1_Du_lieu'!D118</f>
        <v>0</v>
      </c>
    </row>
    <row r="102" spans="1:11" x14ac:dyDescent="0.25">
      <c r="A102" t="s">
        <v>142</v>
      </c>
      <c r="B102">
        <v>2018</v>
      </c>
      <c r="C102" s="5" t="str">
        <f>'1_Du_lieu'!C119</f>
        <v>ĐBSCL</v>
      </c>
      <c r="D102" s="5" t="str">
        <f t="shared" si="2"/>
        <v>2017–2020</v>
      </c>
      <c r="E102" s="8">
        <f>'1_Du_lieu'!E119</f>
        <v>29.2</v>
      </c>
      <c r="F102" s="9">
        <f>AVERAGE('1_Du_lieu'!$E$68:$E$130)</f>
        <v>37.527777777777764</v>
      </c>
      <c r="G102" s="8">
        <f t="shared" si="3"/>
        <v>77.80903034789047</v>
      </c>
      <c r="H102" s="8">
        <f>'1_Du_lieu'!F119/AVERAGE('1_Du_lieu'!$F$68:$F$130)*100</f>
        <v>78.797520434472531</v>
      </c>
      <c r="I102" s="8">
        <f>'1_Du_lieu'!G119/AVERAGE('1_Du_lieu'!$G$68:$G$130)*100</f>
        <v>83.943932579363363</v>
      </c>
      <c r="J102" s="8">
        <f>'1_Du_lieu'!H119/AVERAGE('1_Du_lieu'!$H$68:$H$130)*100</f>
        <v>61.165048543689316</v>
      </c>
      <c r="K102" s="5">
        <f>'1_Du_lieu'!D119</f>
        <v>0</v>
      </c>
    </row>
    <row r="103" spans="1:11" x14ac:dyDescent="0.25">
      <c r="A103" t="s">
        <v>143</v>
      </c>
      <c r="B103">
        <v>2018</v>
      </c>
      <c r="C103" s="5" t="str">
        <f>'1_Du_lieu'!C120</f>
        <v>TDMNPB</v>
      </c>
      <c r="D103" s="5" t="str">
        <f t="shared" si="2"/>
        <v>2017–2020</v>
      </c>
      <c r="E103" s="8">
        <f>'1_Du_lieu'!E120</f>
        <v>27.4</v>
      </c>
      <c r="F103" s="9">
        <f>AVERAGE('1_Du_lieu'!$E$68:$E$130)</f>
        <v>37.527777777777764</v>
      </c>
      <c r="G103" s="8">
        <f t="shared" si="3"/>
        <v>73.012583271650655</v>
      </c>
      <c r="H103" s="8">
        <f>'1_Du_lieu'!F120/AVERAGE('1_Du_lieu'!$F$68:$F$130)*100</f>
        <v>77.612595315157151</v>
      </c>
      <c r="I103" s="8">
        <f>'1_Du_lieu'!G120/AVERAGE('1_Du_lieu'!$G$68:$G$130)*100</f>
        <v>60.364176236845566</v>
      </c>
      <c r="J103" s="8">
        <f>'1_Du_lieu'!H120/AVERAGE('1_Du_lieu'!$H$68:$H$130)*100</f>
        <v>70.995145631067956</v>
      </c>
      <c r="K103" s="5">
        <f>'1_Du_lieu'!D120</f>
        <v>0</v>
      </c>
    </row>
    <row r="104" spans="1:11" x14ac:dyDescent="0.25">
      <c r="A104" t="s">
        <v>144</v>
      </c>
      <c r="B104">
        <v>2018</v>
      </c>
      <c r="C104" s="5" t="str">
        <f>'1_Du_lieu'!C121</f>
        <v>ĐNB</v>
      </c>
      <c r="D104" s="5" t="str">
        <f t="shared" si="2"/>
        <v>2017–2020</v>
      </c>
      <c r="E104" s="8">
        <f>'1_Du_lieu'!E121</f>
        <v>36.6</v>
      </c>
      <c r="F104" s="9">
        <f>AVERAGE('1_Du_lieu'!$E$68:$E$130)</f>
        <v>37.527777777777764</v>
      </c>
      <c r="G104" s="8">
        <f t="shared" si="3"/>
        <v>97.527757216876438</v>
      </c>
      <c r="H104" s="8">
        <f>'1_Du_lieu'!F121/AVERAGE('1_Du_lieu'!$F$68:$F$130)*100</f>
        <v>80.574908113445602</v>
      </c>
      <c r="I104" s="8">
        <f>'1_Du_lieu'!G121/AVERAGE('1_Du_lieu'!$G$68:$G$130)*100</f>
        <v>110.82485480983367</v>
      </c>
      <c r="J104" s="8">
        <f>'1_Du_lieu'!H121/AVERAGE('1_Du_lieu'!$H$68:$H$130)*100</f>
        <v>80.097087378640779</v>
      </c>
      <c r="K104" s="5">
        <f>'1_Du_lieu'!D121</f>
        <v>1</v>
      </c>
    </row>
    <row r="105" spans="1:11" x14ac:dyDescent="0.25">
      <c r="A105" t="s">
        <v>145</v>
      </c>
      <c r="B105">
        <v>2018</v>
      </c>
      <c r="C105" s="5" t="str">
        <f>'1_Du_lieu'!C122</f>
        <v>ĐBSCL</v>
      </c>
      <c r="D105" s="5" t="str">
        <f t="shared" si="2"/>
        <v>2017–2020</v>
      </c>
      <c r="E105" s="8">
        <f>'1_Du_lieu'!E122</f>
        <v>29.7</v>
      </c>
      <c r="F105" s="9">
        <f>AVERAGE('1_Du_lieu'!$E$68:$E$130)</f>
        <v>37.527777777777764</v>
      </c>
      <c r="G105" s="8">
        <f t="shared" si="3"/>
        <v>79.14137675795709</v>
      </c>
      <c r="H105" s="8">
        <f>'1_Du_lieu'!F122/AVERAGE('1_Du_lieu'!$F$68:$F$130)*100</f>
        <v>96.275165944374336</v>
      </c>
      <c r="I105" s="8">
        <f>'1_Du_lieu'!G122/AVERAGE('1_Du_lieu'!$G$68:$G$130)*100</f>
        <v>83.943932579363363</v>
      </c>
      <c r="J105" s="8">
        <f>'1_Du_lieu'!H122/AVERAGE('1_Du_lieu'!$H$68:$H$130)*100</f>
        <v>66.626213592233015</v>
      </c>
      <c r="K105" s="5">
        <f>'1_Du_lieu'!D122</f>
        <v>0</v>
      </c>
    </row>
    <row r="106" spans="1:11" x14ac:dyDescent="0.25">
      <c r="A106" t="s">
        <v>146</v>
      </c>
      <c r="B106">
        <v>2018</v>
      </c>
      <c r="C106" s="5" t="str">
        <f>'1_Du_lieu'!C123</f>
        <v>ĐBSH</v>
      </c>
      <c r="D106" s="5" t="str">
        <f t="shared" si="2"/>
        <v>2017–2020</v>
      </c>
      <c r="E106" s="8">
        <f>'1_Du_lieu'!E123</f>
        <v>41.2</v>
      </c>
      <c r="F106" s="9">
        <f>AVERAGE('1_Du_lieu'!$E$68:$E$130)</f>
        <v>37.527777777777764</v>
      </c>
      <c r="G106" s="8">
        <f t="shared" si="3"/>
        <v>109.78534418948931</v>
      </c>
      <c r="H106" s="8">
        <f>'1_Du_lieu'!F123/AVERAGE('1_Du_lieu'!$F$68:$F$130)*100</f>
        <v>99.237478742662773</v>
      </c>
      <c r="I106" s="8">
        <f>'1_Du_lieu'!G123/AVERAGE('1_Du_lieu'!$G$68:$G$130)*100</f>
        <v>97.148596131173335</v>
      </c>
      <c r="J106" s="8">
        <f>'1_Du_lieu'!H123/AVERAGE('1_Du_lieu'!$H$68:$H$130)*100</f>
        <v>135.4368932038835</v>
      </c>
      <c r="K106" s="5">
        <f>'1_Du_lieu'!D123</f>
        <v>1</v>
      </c>
    </row>
    <row r="107" spans="1:11" x14ac:dyDescent="0.25">
      <c r="A107" t="s">
        <v>147</v>
      </c>
      <c r="B107">
        <v>2018</v>
      </c>
      <c r="C107" s="5" t="str">
        <f>'1_Du_lieu'!C124</f>
        <v>TDMNPB</v>
      </c>
      <c r="D107" s="5" t="str">
        <f t="shared" si="2"/>
        <v>2017–2020</v>
      </c>
      <c r="E107" s="8">
        <f>'1_Du_lieu'!E124</f>
        <v>29.6</v>
      </c>
      <c r="F107" s="9">
        <f>AVERAGE('1_Du_lieu'!$E$68:$E$130)</f>
        <v>37.527777777777764</v>
      </c>
      <c r="G107" s="8">
        <f t="shared" si="3"/>
        <v>78.874907475943772</v>
      </c>
      <c r="H107" s="8">
        <f>'1_Du_lieu'!F124/AVERAGE('1_Du_lieu'!$F$68:$F$130)*100</f>
        <v>79.389982994130222</v>
      </c>
      <c r="I107" s="8">
        <f>'1_Du_lieu'!G124/AVERAGE('1_Du_lieu'!$G$68:$G$130)*100</f>
        <v>73.804637352080718</v>
      </c>
      <c r="J107" s="8">
        <f>'1_Du_lieu'!H124/AVERAGE('1_Du_lieu'!$H$68:$H$130)*100</f>
        <v>85.558252427184456</v>
      </c>
      <c r="K107" s="5">
        <f>'1_Du_lieu'!D124</f>
        <v>0</v>
      </c>
    </row>
    <row r="108" spans="1:11" x14ac:dyDescent="0.25">
      <c r="A108" t="s">
        <v>149</v>
      </c>
      <c r="B108">
        <v>2018</v>
      </c>
      <c r="C108" s="5" t="str">
        <f>'1_Du_lieu'!C126</f>
        <v>BTB&amp;DHMT</v>
      </c>
      <c r="D108" s="5" t="str">
        <f t="shared" si="2"/>
        <v>2017–2020</v>
      </c>
      <c r="E108" s="8">
        <f>'1_Du_lieu'!E126</f>
        <v>54.1</v>
      </c>
      <c r="F108" s="9">
        <f>AVERAGE('1_Du_lieu'!$E$68:$E$130)</f>
        <v>37.527777777777764</v>
      </c>
      <c r="G108" s="8">
        <f t="shared" si="3"/>
        <v>144.15988156920804</v>
      </c>
      <c r="H108" s="8">
        <f>'1_Du_lieu'!F126/AVERAGE('1_Du_lieu'!$F$68:$F$130)*100</f>
        <v>123.52844368862799</v>
      </c>
      <c r="I108" s="8">
        <f>'1_Du_lieu'!G126/AVERAGE('1_Du_lieu'!$G$68:$G$130)*100</f>
        <v>141.95013318195714</v>
      </c>
      <c r="J108" s="8">
        <f>'1_Du_lieu'!H126/AVERAGE('1_Du_lieu'!$H$68:$H$130)*100</f>
        <v>181.67475728155338</v>
      </c>
      <c r="K108" s="5">
        <f>'1_Du_lieu'!D126</f>
        <v>0</v>
      </c>
    </row>
    <row r="109" spans="1:11" x14ac:dyDescent="0.25">
      <c r="A109" t="s">
        <v>150</v>
      </c>
      <c r="B109">
        <v>2018</v>
      </c>
      <c r="C109" s="5" t="str">
        <f>'1_Du_lieu'!C127</f>
        <v>TN</v>
      </c>
      <c r="D109" s="5" t="str">
        <f t="shared" si="2"/>
        <v>2017–2020</v>
      </c>
      <c r="E109" s="8">
        <f>'1_Du_lieu'!E127</f>
        <v>33.799999999999997</v>
      </c>
      <c r="F109" s="9">
        <f>AVERAGE('1_Du_lieu'!$E$68:$E$130)</f>
        <v>37.527777777777764</v>
      </c>
      <c r="G109" s="8">
        <f t="shared" si="3"/>
        <v>90.066617320503354</v>
      </c>
      <c r="H109" s="8">
        <f>'1_Du_lieu'!F127/AVERAGE('1_Du_lieu'!$F$68:$F$130)*100</f>
        <v>85.907071150364786</v>
      </c>
      <c r="I109" s="8">
        <f>'1_Du_lieu'!G127/AVERAGE('1_Du_lieu'!$G$68:$G$130)*100</f>
        <v>80.642766691410884</v>
      </c>
      <c r="J109" s="8">
        <f>'1_Du_lieu'!H127/AVERAGE('1_Du_lieu'!$H$68:$H$130)*100</f>
        <v>100.12135922330097</v>
      </c>
      <c r="K109" s="5">
        <f>'1_Du_lieu'!D127</f>
        <v>0</v>
      </c>
    </row>
    <row r="110" spans="1:11" x14ac:dyDescent="0.25">
      <c r="A110" t="s">
        <v>151</v>
      </c>
      <c r="B110">
        <v>2018</v>
      </c>
      <c r="C110" s="5" t="str">
        <f>'1_Du_lieu'!C128</f>
        <v>TN</v>
      </c>
      <c r="D110" s="5" t="str">
        <f t="shared" si="2"/>
        <v>2017–2020</v>
      </c>
      <c r="E110" s="8">
        <f>'1_Du_lieu'!E128</f>
        <v>30.1</v>
      </c>
      <c r="F110" s="9">
        <f>AVERAGE('1_Du_lieu'!$E$68:$E$130)</f>
        <v>37.527777777777764</v>
      </c>
      <c r="G110" s="8">
        <f t="shared" si="3"/>
        <v>80.207253886010392</v>
      </c>
      <c r="H110" s="8">
        <f>'1_Du_lieu'!F128/AVERAGE('1_Du_lieu'!$F$68:$F$130)*100</f>
        <v>74.057819957211024</v>
      </c>
      <c r="I110" s="8">
        <f>'1_Du_lieu'!G128/AVERAGE('1_Du_lieu'!$G$68:$G$130)*100</f>
        <v>86.53770577704033</v>
      </c>
      <c r="J110" s="8">
        <f>'1_Du_lieu'!H128/AVERAGE('1_Du_lieu'!$H$68:$H$130)*100</f>
        <v>68.446601941747574</v>
      </c>
      <c r="K110" s="5">
        <f>'1_Du_lieu'!D128</f>
        <v>0</v>
      </c>
    </row>
    <row r="111" spans="1:11" x14ac:dyDescent="0.25">
      <c r="A111" t="s">
        <v>152</v>
      </c>
      <c r="B111">
        <v>2018</v>
      </c>
      <c r="C111" s="5" t="str">
        <f>'1_Du_lieu'!C129</f>
        <v>ĐNB</v>
      </c>
      <c r="D111" s="5" t="str">
        <f t="shared" si="2"/>
        <v>2017–2020</v>
      </c>
      <c r="E111" s="8">
        <f>'1_Du_lieu'!E129</f>
        <v>48.2</v>
      </c>
      <c r="F111" s="9">
        <f>AVERAGE('1_Du_lieu'!$E$68:$E$130)</f>
        <v>37.527777777777764</v>
      </c>
      <c r="G111" s="8">
        <f t="shared" si="3"/>
        <v>128.43819393042196</v>
      </c>
      <c r="H111" s="8">
        <f>'1_Du_lieu'!F129/AVERAGE('1_Du_lieu'!$F$68:$F$130)*100</f>
        <v>117.01135553239341</v>
      </c>
      <c r="I111" s="8">
        <f>'1_Du_lieu'!G129/AVERAGE('1_Du_lieu'!$G$68:$G$130)*100</f>
        <v>137.2341819134536</v>
      </c>
      <c r="J111" s="8">
        <f>'1_Du_lieu'!H129/AVERAGE('1_Du_lieu'!$H$68:$H$130)*100</f>
        <v>132.88834951456309</v>
      </c>
      <c r="K111" s="5">
        <f>'1_Du_lieu'!D129</f>
        <v>1</v>
      </c>
    </row>
    <row r="112" spans="1:11" x14ac:dyDescent="0.25">
      <c r="A112" t="s">
        <v>153</v>
      </c>
      <c r="B112">
        <v>2018</v>
      </c>
      <c r="C112" s="5" t="str">
        <f>'1_Du_lieu'!C130</f>
        <v>ĐBSCL</v>
      </c>
      <c r="D112" s="5" t="str">
        <f t="shared" si="2"/>
        <v>2017–2020</v>
      </c>
      <c r="E112" s="8">
        <f>'1_Du_lieu'!E130</f>
        <v>33.1</v>
      </c>
      <c r="F112" s="9">
        <f>AVERAGE('1_Du_lieu'!$E$68:$E$130)</f>
        <v>37.527777777777764</v>
      </c>
      <c r="G112" s="8">
        <f t="shared" si="3"/>
        <v>88.201332346410098</v>
      </c>
      <c r="H112" s="8">
        <f>'1_Du_lieu'!F130/AVERAGE('1_Du_lieu'!$F$68:$F$130)*100</f>
        <v>97.163859783860858</v>
      </c>
      <c r="I112" s="8">
        <f>'1_Du_lieu'!G130/AVERAGE('1_Du_lieu'!$G$68:$G$130)*100</f>
        <v>85.594515523339595</v>
      </c>
      <c r="J112" s="8">
        <f>'1_Du_lieu'!H130/AVERAGE('1_Du_lieu'!$H$68:$H$130)*100</f>
        <v>70.631067961165044</v>
      </c>
      <c r="K112" s="5">
        <f>'1_Du_lieu'!D130</f>
        <v>0</v>
      </c>
    </row>
    <row r="113" spans="1:11" x14ac:dyDescent="0.25">
      <c r="A113" t="s">
        <v>85</v>
      </c>
      <c r="B113">
        <v>2019</v>
      </c>
      <c r="C113" s="5" t="str">
        <f>'1_Du_lieu'!C131</f>
        <v>ĐBSCL</v>
      </c>
      <c r="D113" s="5" t="str">
        <f t="shared" si="2"/>
        <v>2017–2020</v>
      </c>
      <c r="E113" s="8">
        <f>'1_Du_lieu'!E131</f>
        <v>35.799999999999997</v>
      </c>
      <c r="F113" s="9">
        <f>AVERAGE('1_Du_lieu'!$E$131:$E$193)</f>
        <v>40.329629629629643</v>
      </c>
      <c r="G113" s="8">
        <f t="shared" si="3"/>
        <v>88.768481954265738</v>
      </c>
      <c r="H113" s="8">
        <f>'1_Du_lieu'!F131/AVERAGE('1_Du_lieu'!$F$131:$F$193)*100</f>
        <v>86.979112542866062</v>
      </c>
      <c r="I113" s="8">
        <f>'1_Du_lieu'!G131/AVERAGE('1_Du_lieu'!$G$131:$G$193)*100</f>
        <v>102.71322545321817</v>
      </c>
      <c r="J113" s="8">
        <f>'1_Du_lieu'!H131/AVERAGE('1_Du_lieu'!$H$131:$H$193)*100</f>
        <v>67.313019390581701</v>
      </c>
      <c r="K113" s="5">
        <f>'1_Du_lieu'!D131</f>
        <v>0</v>
      </c>
    </row>
    <row r="114" spans="1:11" x14ac:dyDescent="0.25">
      <c r="A114" t="s">
        <v>87</v>
      </c>
      <c r="B114">
        <v>2019</v>
      </c>
      <c r="C114" s="5" t="str">
        <f>'1_Du_lieu'!C132</f>
        <v>ĐNB</v>
      </c>
      <c r="D114" s="5" t="str">
        <f t="shared" si="2"/>
        <v>2017–2020</v>
      </c>
      <c r="E114" s="8">
        <f>'1_Du_lieu'!E132</f>
        <v>47.8</v>
      </c>
      <c r="F114" s="9">
        <f>AVERAGE('1_Du_lieu'!$E$131:$E$193)</f>
        <v>40.329629629629643</v>
      </c>
      <c r="G114" s="8">
        <f t="shared" si="3"/>
        <v>118.52328037469</v>
      </c>
      <c r="H114" s="8">
        <f>'1_Du_lieu'!F132/AVERAGE('1_Du_lieu'!$F$131:$F$193)*100</f>
        <v>103.25262392185391</v>
      </c>
      <c r="I114" s="8">
        <f>'1_Du_lieu'!G132/AVERAGE('1_Du_lieu'!$G$131:$G$193)*100</f>
        <v>137.31597517946227</v>
      </c>
      <c r="J114" s="8">
        <f>'1_Du_lieu'!H132/AVERAGE('1_Du_lieu'!$H$131:$H$193)*100</f>
        <v>115.11501866795133</v>
      </c>
      <c r="K114" s="5">
        <f>'1_Du_lieu'!D132</f>
        <v>1</v>
      </c>
    </row>
    <row r="115" spans="1:11" x14ac:dyDescent="0.25">
      <c r="A115" t="s">
        <v>89</v>
      </c>
      <c r="B115">
        <v>2019</v>
      </c>
      <c r="C115" s="5" t="str">
        <f>'1_Du_lieu'!C133</f>
        <v>ĐNB</v>
      </c>
      <c r="D115" s="5" t="str">
        <f t="shared" si="2"/>
        <v>2017–2020</v>
      </c>
      <c r="E115" s="8">
        <f>'1_Du_lieu'!E133</f>
        <v>54</v>
      </c>
      <c r="F115" s="9">
        <f>AVERAGE('1_Du_lieu'!$E$131:$E$193)</f>
        <v>40.329629629629643</v>
      </c>
      <c r="G115" s="8">
        <f t="shared" si="3"/>
        <v>133.89659289190922</v>
      </c>
      <c r="H115" s="8">
        <f>'1_Du_lieu'!F133/AVERAGE('1_Du_lieu'!$F$131:$F$193)*100</f>
        <v>115.03689078250028</v>
      </c>
      <c r="I115" s="8">
        <f>'1_Du_lieu'!G133/AVERAGE('1_Du_lieu'!$G$131:$G$193)*100</f>
        <v>163.37753984669669</v>
      </c>
      <c r="J115" s="8">
        <f>'1_Du_lieu'!H133/AVERAGE('1_Du_lieu'!$H$131:$H$193)*100</f>
        <v>123.89497771889677</v>
      </c>
      <c r="K115" s="5">
        <f>'1_Du_lieu'!D133</f>
        <v>1</v>
      </c>
    </row>
    <row r="116" spans="1:11" x14ac:dyDescent="0.25">
      <c r="A116" t="s">
        <v>90</v>
      </c>
      <c r="B116">
        <v>2019</v>
      </c>
      <c r="C116" s="5" t="str">
        <f>'1_Du_lieu'!C134</f>
        <v>ĐNB</v>
      </c>
      <c r="D116" s="5" t="str">
        <f t="shared" si="2"/>
        <v>2017–2020</v>
      </c>
      <c r="E116" s="8">
        <f>'1_Du_lieu'!E134</f>
        <v>29.3</v>
      </c>
      <c r="F116" s="9">
        <f>AVERAGE('1_Du_lieu'!$E$131:$E$193)</f>
        <v>40.329629629629643</v>
      </c>
      <c r="G116" s="8">
        <f t="shared" si="3"/>
        <v>72.651299476535939</v>
      </c>
      <c r="H116" s="8">
        <f>'1_Du_lieu'!F134/AVERAGE('1_Du_lieu'!$F$131:$F$193)*100</f>
        <v>72.108490075859933</v>
      </c>
      <c r="I116" s="8">
        <f>'1_Du_lieu'!G134/AVERAGE('1_Du_lieu'!$G$131:$G$193)*100</f>
        <v>67.672466236768472</v>
      </c>
      <c r="J116" s="8">
        <f>'1_Du_lieu'!H134/AVERAGE('1_Du_lieu'!$H$131:$H$193)*100</f>
        <v>62.110080693725159</v>
      </c>
      <c r="K116" s="5">
        <f>'1_Du_lieu'!D134</f>
        <v>1</v>
      </c>
    </row>
    <row r="117" spans="1:11" x14ac:dyDescent="0.25">
      <c r="A117" t="s">
        <v>91</v>
      </c>
      <c r="B117">
        <v>2019</v>
      </c>
      <c r="C117" s="5" t="str">
        <f>'1_Du_lieu'!C135</f>
        <v>BTB&amp;DHMT</v>
      </c>
      <c r="D117" s="5" t="str">
        <f t="shared" si="2"/>
        <v>2017–2020</v>
      </c>
      <c r="E117" s="8">
        <f>'1_Du_lieu'!E135</f>
        <v>36.4</v>
      </c>
      <c r="F117" s="9">
        <f>AVERAGE('1_Du_lieu'!$E$131:$E$193)</f>
        <v>40.329629629629643</v>
      </c>
      <c r="G117" s="8">
        <f t="shared" si="3"/>
        <v>90.256221875286954</v>
      </c>
      <c r="H117" s="8">
        <f>'1_Du_lieu'!F135/AVERAGE('1_Du_lieu'!$F$131:$F$193)*100</f>
        <v>93.15182375558561</v>
      </c>
      <c r="I117" s="8">
        <f>'1_Du_lieu'!G135/AVERAGE('1_Du_lieu'!$G$131:$G$193)*100</f>
        <v>94.172040394208551</v>
      </c>
      <c r="J117" s="8">
        <f>'1_Du_lieu'!H135/AVERAGE('1_Du_lieu'!$H$131:$H$193)*100</f>
        <v>77.393713115741292</v>
      </c>
      <c r="K117" s="5">
        <f>'1_Du_lieu'!D135</f>
        <v>0</v>
      </c>
    </row>
    <row r="118" spans="1:11" x14ac:dyDescent="0.25">
      <c r="A118" t="s">
        <v>93</v>
      </c>
      <c r="B118">
        <v>2019</v>
      </c>
      <c r="C118" s="5" t="str">
        <f>'1_Du_lieu'!C136</f>
        <v>BTB&amp;DHMT</v>
      </c>
      <c r="D118" s="5" t="str">
        <f t="shared" si="2"/>
        <v>2017–2020</v>
      </c>
      <c r="E118" s="8">
        <f>'1_Du_lieu'!E136</f>
        <v>41.7</v>
      </c>
      <c r="F118" s="9">
        <f>AVERAGE('1_Du_lieu'!$E$131:$E$193)</f>
        <v>40.329629629629643</v>
      </c>
      <c r="G118" s="8">
        <f t="shared" si="3"/>
        <v>103.39792451097436</v>
      </c>
      <c r="H118" s="8">
        <f>'1_Du_lieu'!F136/AVERAGE('1_Du_lieu'!$F$131:$F$193)*100</f>
        <v>97.36049049153074</v>
      </c>
      <c r="I118" s="8">
        <f>'1_Du_lieu'!G136/AVERAGE('1_Du_lieu'!$G$131:$G$193)*100</f>
        <v>94.829054629516989</v>
      </c>
      <c r="J118" s="8">
        <f>'1_Du_lieu'!H136/AVERAGE('1_Du_lieu'!$H$131:$H$193)*100</f>
        <v>115.11501866795133</v>
      </c>
      <c r="K118" s="5">
        <f>'1_Du_lieu'!D136</f>
        <v>0</v>
      </c>
    </row>
    <row r="119" spans="1:11" x14ac:dyDescent="0.25">
      <c r="A119" t="s">
        <v>95</v>
      </c>
      <c r="B119">
        <v>2019</v>
      </c>
      <c r="C119" s="5" t="str">
        <f>'1_Du_lieu'!C138</f>
        <v>TDMNPB</v>
      </c>
      <c r="D119" s="5" t="str">
        <f t="shared" si="2"/>
        <v>2017–2020</v>
      </c>
      <c r="E119" s="8">
        <f>'1_Du_lieu'!E138</f>
        <v>43.1</v>
      </c>
      <c r="F119" s="9">
        <f>AVERAGE('1_Du_lieu'!$E$131:$E$193)</f>
        <v>40.329629629629643</v>
      </c>
      <c r="G119" s="8">
        <f t="shared" si="3"/>
        <v>106.86931766002385</v>
      </c>
      <c r="H119" s="8">
        <f>'1_Du_lieu'!F138/AVERAGE('1_Du_lieu'!$F$131:$F$193)*100</f>
        <v>103.25262392185391</v>
      </c>
      <c r="I119" s="8">
        <f>'1_Du_lieu'!G138/AVERAGE('1_Du_lieu'!$G$131:$G$193)*100</f>
        <v>100.96118749239568</v>
      </c>
      <c r="J119" s="8">
        <f>'1_Du_lieu'!H138/AVERAGE('1_Du_lieu'!$H$131:$H$193)*100</f>
        <v>121.61869203902202</v>
      </c>
      <c r="K119" s="5">
        <f>'1_Du_lieu'!D138</f>
        <v>0</v>
      </c>
    </row>
    <row r="120" spans="1:11" x14ac:dyDescent="0.25">
      <c r="A120" t="s">
        <v>97</v>
      </c>
      <c r="B120">
        <v>2019</v>
      </c>
      <c r="C120" s="5" t="str">
        <f>'1_Du_lieu'!C139</f>
        <v>TDMNPB</v>
      </c>
      <c r="D120" s="5" t="str">
        <f t="shared" si="2"/>
        <v>2017–2020</v>
      </c>
      <c r="E120" s="8">
        <f>'1_Du_lieu'!E139</f>
        <v>27.4</v>
      </c>
      <c r="F120" s="9">
        <f>AVERAGE('1_Du_lieu'!$E$131:$E$193)</f>
        <v>40.329629629629643</v>
      </c>
      <c r="G120" s="8">
        <f t="shared" si="3"/>
        <v>67.940123059968755</v>
      </c>
      <c r="H120" s="8">
        <f>'1_Du_lieu'!F139/AVERAGE('1_Du_lieu'!$F$131:$F$193)*100</f>
        <v>66.496934427933098</v>
      </c>
      <c r="I120" s="8">
        <f>'1_Du_lieu'!G139/AVERAGE('1_Du_lieu'!$G$131:$G$193)*100</f>
        <v>55.627205256113889</v>
      </c>
      <c r="J120" s="8">
        <f>'1_Du_lieu'!H139/AVERAGE('1_Du_lieu'!$H$131:$H$193)*100</f>
        <v>67.963386727688771</v>
      </c>
      <c r="K120" s="5">
        <f>'1_Du_lieu'!D139</f>
        <v>0</v>
      </c>
    </row>
    <row r="121" spans="1:11" x14ac:dyDescent="0.25">
      <c r="A121" t="s">
        <v>98</v>
      </c>
      <c r="B121">
        <v>2019</v>
      </c>
      <c r="C121" s="5" t="str">
        <f>'1_Du_lieu'!C140</f>
        <v>ĐBSH</v>
      </c>
      <c r="D121" s="5" t="str">
        <f t="shared" si="2"/>
        <v>2017–2020</v>
      </c>
      <c r="E121" s="8">
        <f>'1_Du_lieu'!E140</f>
        <v>52.2</v>
      </c>
      <c r="F121" s="9">
        <f>AVERAGE('1_Du_lieu'!$E$131:$E$193)</f>
        <v>40.329629629629643</v>
      </c>
      <c r="G121" s="8">
        <f t="shared" si="3"/>
        <v>129.4333731288456</v>
      </c>
      <c r="H121" s="8">
        <f>'1_Du_lieu'!F140/AVERAGE('1_Du_lieu'!$F$131:$F$193)*100</f>
        <v>117.8426686064637</v>
      </c>
      <c r="I121" s="8">
        <f>'1_Du_lieu'!G140/AVERAGE('1_Du_lieu'!$G$131:$G$193)*100</f>
        <v>148.9232266699112</v>
      </c>
      <c r="J121" s="8">
        <f>'1_Du_lieu'!H140/AVERAGE('1_Du_lieu'!$H$131:$H$193)*100</f>
        <v>116.41575334216544</v>
      </c>
      <c r="K121" s="5">
        <f>'1_Du_lieu'!D140</f>
        <v>1</v>
      </c>
    </row>
    <row r="122" spans="1:11" x14ac:dyDescent="0.25">
      <c r="A122" t="s">
        <v>100</v>
      </c>
      <c r="B122">
        <v>2019</v>
      </c>
      <c r="C122" s="5" t="str">
        <f>'1_Du_lieu'!C141</f>
        <v>ĐBSCL</v>
      </c>
      <c r="D122" s="5" t="str">
        <f t="shared" si="2"/>
        <v>2017–2020</v>
      </c>
      <c r="E122" s="8">
        <f>'1_Du_lieu'!E141</f>
        <v>37.6</v>
      </c>
      <c r="F122" s="9">
        <f>AVERAGE('1_Du_lieu'!$E$131:$E$193)</f>
        <v>40.329629629629643</v>
      </c>
      <c r="G122" s="8">
        <f t="shared" si="3"/>
        <v>93.231701717329386</v>
      </c>
      <c r="H122" s="8">
        <f>'1_Du_lieu'!F141/AVERAGE('1_Du_lieu'!$F$131:$F$193)*100</f>
        <v>97.641068273927061</v>
      </c>
      <c r="I122" s="8">
        <f>'1_Du_lieu'!G141/AVERAGE('1_Du_lieu'!$G$131:$G$193)*100</f>
        <v>92.420002433386074</v>
      </c>
      <c r="J122" s="8">
        <f>'1_Du_lieu'!H141/AVERAGE('1_Du_lieu'!$H$131:$H$193)*100</f>
        <v>85.848488498133193</v>
      </c>
      <c r="K122" s="5">
        <f>'1_Du_lieu'!D141</f>
        <v>0</v>
      </c>
    </row>
    <row r="123" spans="1:11" x14ac:dyDescent="0.25">
      <c r="A123" t="s">
        <v>103</v>
      </c>
      <c r="B123">
        <v>2019</v>
      </c>
      <c r="C123" s="5" t="str">
        <f>'1_Du_lieu'!C144</f>
        <v>ĐBSCL</v>
      </c>
      <c r="D123" s="5" t="str">
        <f t="shared" si="2"/>
        <v>2017–2020</v>
      </c>
      <c r="E123" s="8">
        <f>'1_Du_lieu'!E144</f>
        <v>47.3</v>
      </c>
      <c r="F123" s="9">
        <f>AVERAGE('1_Du_lieu'!$E$131:$E$193)</f>
        <v>40.329629629629643</v>
      </c>
      <c r="G123" s="8">
        <f t="shared" si="3"/>
        <v>117.28349710717232</v>
      </c>
      <c r="H123" s="8">
        <f>'1_Du_lieu'!F144/AVERAGE('1_Du_lieu'!$F$131:$F$193)*100</f>
        <v>111.95053517614053</v>
      </c>
      <c r="I123" s="8">
        <f>'1_Du_lieu'!G144/AVERAGE('1_Du_lieu'!$G$131:$G$193)*100</f>
        <v>116.29151964959243</v>
      </c>
      <c r="J123" s="8">
        <f>'1_Du_lieu'!H144/AVERAGE('1_Du_lieu'!$H$131:$H$193)*100</f>
        <v>125.19571239311091</v>
      </c>
      <c r="K123" s="5">
        <f>'1_Du_lieu'!D144</f>
        <v>0</v>
      </c>
    </row>
    <row r="124" spans="1:11" x14ac:dyDescent="0.25">
      <c r="A124" t="s">
        <v>104</v>
      </c>
      <c r="B124">
        <v>2019</v>
      </c>
      <c r="C124" s="5" t="str">
        <f>'1_Du_lieu'!C145</f>
        <v>TN</v>
      </c>
      <c r="D124" s="5" t="str">
        <f t="shared" si="2"/>
        <v>2017–2020</v>
      </c>
      <c r="E124" s="8">
        <f>'1_Du_lieu'!E145</f>
        <v>31.8</v>
      </c>
      <c r="F124" s="9">
        <f>AVERAGE('1_Du_lieu'!$E$131:$E$193)</f>
        <v>40.329629629629643</v>
      </c>
      <c r="G124" s="8">
        <f t="shared" si="3"/>
        <v>78.850215814124326</v>
      </c>
      <c r="H124" s="8">
        <f>'1_Du_lieu'!F145/AVERAGE('1_Du_lieu'!$F$131:$F$193)*100</f>
        <v>61.446534344798934</v>
      </c>
      <c r="I124" s="8">
        <f>'1_Du_lieu'!G145/AVERAGE('1_Du_lieu'!$G$131:$G$193)*100</f>
        <v>84.754836354787713</v>
      </c>
      <c r="J124" s="8">
        <f>'1_Du_lieu'!H145/AVERAGE('1_Du_lieu'!$H$131:$H$193)*100</f>
        <v>68.288570396242307</v>
      </c>
      <c r="K124" s="5">
        <f>'1_Du_lieu'!D145</f>
        <v>0</v>
      </c>
    </row>
    <row r="125" spans="1:11" x14ac:dyDescent="0.25">
      <c r="A125" t="s">
        <v>107</v>
      </c>
      <c r="B125">
        <v>2019</v>
      </c>
      <c r="C125" s="5" t="str">
        <f>'1_Du_lieu'!C147</f>
        <v>ĐBSH</v>
      </c>
      <c r="D125" s="5" t="str">
        <f t="shared" si="2"/>
        <v>2017–2020</v>
      </c>
      <c r="E125" s="8">
        <f>'1_Du_lieu'!E147</f>
        <v>38.299999999999997</v>
      </c>
      <c r="F125" s="9">
        <f>AVERAGE('1_Du_lieu'!$E$131:$E$193)</f>
        <v>40.329629629629643</v>
      </c>
      <c r="G125" s="8">
        <f t="shared" si="3"/>
        <v>94.967398291854124</v>
      </c>
      <c r="H125" s="8">
        <f>'1_Du_lieu'!F147/AVERAGE('1_Du_lieu'!$F$131:$F$193)*100</f>
        <v>106.90013509300638</v>
      </c>
      <c r="I125" s="8">
        <f>'1_Du_lieu'!G147/AVERAGE('1_Du_lieu'!$G$131:$G$193)*100</f>
        <v>99.866163766881627</v>
      </c>
      <c r="J125" s="8">
        <f>'1_Du_lieu'!H147/AVERAGE('1_Du_lieu'!$H$131:$H$193)*100</f>
        <v>95.2788148861857</v>
      </c>
      <c r="K125" s="5">
        <f>'1_Du_lieu'!D147</f>
        <v>1</v>
      </c>
    </row>
    <row r="126" spans="1:11" x14ac:dyDescent="0.25">
      <c r="A126" t="s">
        <v>108</v>
      </c>
      <c r="B126">
        <v>2019</v>
      </c>
      <c r="C126" s="5" t="str">
        <f>'1_Du_lieu'!C148</f>
        <v>ĐBSH</v>
      </c>
      <c r="D126" s="5" t="str">
        <f t="shared" si="2"/>
        <v>2017–2020</v>
      </c>
      <c r="E126" s="8">
        <f>'1_Du_lieu'!E148</f>
        <v>84.3</v>
      </c>
      <c r="F126" s="9">
        <f>AVERAGE('1_Du_lieu'!$E$131:$E$193)</f>
        <v>40.329629629629643</v>
      </c>
      <c r="G126" s="8">
        <f t="shared" si="3"/>
        <v>209.02745890348049</v>
      </c>
      <c r="H126" s="8">
        <f>'1_Du_lieu'!F148/AVERAGE('1_Du_lieu'!$F$131:$F$193)*100</f>
        <v>248.0307596383665</v>
      </c>
      <c r="I126" s="8">
        <f>'1_Du_lieu'!G148/AVERAGE('1_Du_lieu'!$G$131:$G$193)*100</f>
        <v>187.90607129821149</v>
      </c>
      <c r="J126" s="8">
        <f>'1_Du_lieu'!H148/AVERAGE('1_Du_lieu'!$H$131:$H$193)*100</f>
        <v>268.27652655666623</v>
      </c>
      <c r="K126" s="5">
        <f>'1_Du_lieu'!D148</f>
        <v>1</v>
      </c>
    </row>
    <row r="127" spans="1:11" x14ac:dyDescent="0.25">
      <c r="A127" t="s">
        <v>109</v>
      </c>
      <c r="B127">
        <v>2019</v>
      </c>
      <c r="C127" s="5" t="str">
        <f>'1_Du_lieu'!C149</f>
        <v>BTB&amp;DHMT</v>
      </c>
      <c r="D127" s="5" t="str">
        <f t="shared" si="2"/>
        <v>2017–2020</v>
      </c>
      <c r="E127" s="8">
        <f>'1_Du_lieu'!E149</f>
        <v>35.6</v>
      </c>
      <c r="F127" s="9">
        <f>AVERAGE('1_Du_lieu'!$E$131:$E$193)</f>
        <v>40.329629629629643</v>
      </c>
      <c r="G127" s="8">
        <f t="shared" si="3"/>
        <v>88.27256864725868</v>
      </c>
      <c r="H127" s="8">
        <f>'1_Du_lieu'!F149/AVERAGE('1_Du_lieu'!$F$131:$F$193)*100</f>
        <v>95.396446014756336</v>
      </c>
      <c r="I127" s="8">
        <f>'1_Du_lieu'!G149/AVERAGE('1_Du_lieu'!$G$131:$G$193)*100</f>
        <v>77.527679766394954</v>
      </c>
      <c r="J127" s="8">
        <f>'1_Du_lieu'!H149/AVERAGE('1_Du_lieu'!$H$131:$H$193)*100</f>
        <v>97.880284234613981</v>
      </c>
      <c r="K127" s="5">
        <f>'1_Du_lieu'!D149</f>
        <v>0</v>
      </c>
    </row>
    <row r="128" spans="1:11" x14ac:dyDescent="0.25">
      <c r="A128" t="s">
        <v>110</v>
      </c>
      <c r="B128">
        <v>2019</v>
      </c>
      <c r="C128" s="5" t="str">
        <f>'1_Du_lieu'!C150</f>
        <v>TDMNPB</v>
      </c>
      <c r="D128" s="5" t="str">
        <f t="shared" si="2"/>
        <v>2017–2020</v>
      </c>
      <c r="E128" s="8">
        <f>'1_Du_lieu'!E150</f>
        <v>32.799999999999997</v>
      </c>
      <c r="F128" s="9">
        <f>AVERAGE('1_Du_lieu'!$E$131:$E$193)</f>
        <v>40.329629629629643</v>
      </c>
      <c r="G128" s="8">
        <f t="shared" si="3"/>
        <v>81.329782349159657</v>
      </c>
      <c r="H128" s="8">
        <f>'1_Du_lieu'!F150/AVERAGE('1_Du_lieu'!$F$131:$F$193)*100</f>
        <v>83.331601371713631</v>
      </c>
      <c r="I128" s="8">
        <f>'1_Du_lieu'!G150/AVERAGE('1_Du_lieu'!$G$131:$G$193)*100</f>
        <v>75.994646550675284</v>
      </c>
      <c r="J128" s="8">
        <f>'1_Du_lieu'!H150/AVERAGE('1_Du_lieu'!$H$131:$H$193)*100</f>
        <v>74.467060098759461</v>
      </c>
      <c r="K128" s="5">
        <f>'1_Du_lieu'!D150</f>
        <v>0</v>
      </c>
    </row>
    <row r="129" spans="1:11" x14ac:dyDescent="0.25">
      <c r="A129" t="s">
        <v>111</v>
      </c>
      <c r="B129">
        <v>2019</v>
      </c>
      <c r="C129" s="5" t="str">
        <f>'1_Du_lieu'!C151</f>
        <v>ĐBSH</v>
      </c>
      <c r="D129" s="5" t="str">
        <f t="shared" si="2"/>
        <v>2017–2020</v>
      </c>
      <c r="E129" s="8">
        <f>'1_Du_lieu'!E151</f>
        <v>38.4</v>
      </c>
      <c r="F129" s="9">
        <f>AVERAGE('1_Du_lieu'!$E$131:$E$193)</f>
        <v>40.329629629629643</v>
      </c>
      <c r="G129" s="8">
        <f t="shared" si="3"/>
        <v>95.21535494535766</v>
      </c>
      <c r="H129" s="8">
        <f>'1_Du_lieu'!F151/AVERAGE('1_Du_lieu'!$F$131:$F$193)*100</f>
        <v>94.835290449963651</v>
      </c>
      <c r="I129" s="8">
        <f>'1_Du_lieu'!G151/AVERAGE('1_Du_lieu'!$G$131:$G$193)*100</f>
        <v>90.667964472563582</v>
      </c>
      <c r="J129" s="8">
        <f>'1_Du_lieu'!H151/AVERAGE('1_Du_lieu'!$H$131:$H$193)*100</f>
        <v>98.205467903167516</v>
      </c>
      <c r="K129" s="5">
        <f>'1_Du_lieu'!D151</f>
        <v>1</v>
      </c>
    </row>
    <row r="130" spans="1:11" x14ac:dyDescent="0.25">
      <c r="A130" t="s">
        <v>112</v>
      </c>
      <c r="B130">
        <v>2019</v>
      </c>
      <c r="C130" s="5" t="str">
        <f>'1_Du_lieu'!C152</f>
        <v>ĐBSH</v>
      </c>
      <c r="D130" s="5" t="str">
        <f t="shared" si="2"/>
        <v>2017–2020</v>
      </c>
      <c r="E130" s="8">
        <f>'1_Du_lieu'!E152</f>
        <v>46.6</v>
      </c>
      <c r="F130" s="9">
        <f>AVERAGE('1_Du_lieu'!$E$131:$E$193)</f>
        <v>40.329629629629643</v>
      </c>
      <c r="G130" s="8">
        <f t="shared" si="3"/>
        <v>115.5478005326476</v>
      </c>
      <c r="H130" s="8">
        <f>'1_Du_lieu'!F152/AVERAGE('1_Du_lieu'!$F$131:$F$193)*100</f>
        <v>103.53320170425026</v>
      </c>
      <c r="I130" s="8">
        <f>'1_Du_lieu'!G152/AVERAGE('1_Du_lieu'!$G$131:$G$193)*100</f>
        <v>133.59289451271445</v>
      </c>
      <c r="J130" s="8">
        <f>'1_Du_lieu'!H152/AVERAGE('1_Du_lieu'!$H$131:$H$193)*100</f>
        <v>98.530651571721052</v>
      </c>
      <c r="K130" s="5">
        <f>'1_Du_lieu'!D152</f>
        <v>1</v>
      </c>
    </row>
    <row r="131" spans="1:11" x14ac:dyDescent="0.25">
      <c r="A131" t="s">
        <v>113</v>
      </c>
      <c r="B131">
        <v>2019</v>
      </c>
      <c r="C131" s="5" t="str">
        <f>'1_Du_lieu'!C153</f>
        <v>ĐBSH</v>
      </c>
      <c r="D131" s="5" t="str">
        <f t="shared" si="2"/>
        <v>2017–2020</v>
      </c>
      <c r="E131" s="8">
        <f>'1_Du_lieu'!E153</f>
        <v>59.6</v>
      </c>
      <c r="F131" s="9">
        <f>AVERAGE('1_Du_lieu'!$E$131:$E$193)</f>
        <v>40.329629629629643</v>
      </c>
      <c r="G131" s="8">
        <f t="shared" si="3"/>
        <v>147.78216548810721</v>
      </c>
      <c r="H131" s="8">
        <f>'1_Du_lieu'!F153/AVERAGE('1_Du_lieu'!$F$131:$F$193)*100</f>
        <v>126.54057986075031</v>
      </c>
      <c r="I131" s="8">
        <f>'1_Du_lieu'!G153/AVERAGE('1_Du_lieu'!$G$131:$G$193)*100</f>
        <v>158.7784401995377</v>
      </c>
      <c r="J131" s="8">
        <f>'1_Du_lieu'!H153/AVERAGE('1_Du_lieu'!$H$131:$H$193)*100</f>
        <v>163.89256895098154</v>
      </c>
      <c r="K131" s="5">
        <f>'1_Du_lieu'!D153</f>
        <v>1</v>
      </c>
    </row>
    <row r="132" spans="1:11" x14ac:dyDescent="0.25">
      <c r="A132" t="s">
        <v>115</v>
      </c>
      <c r="B132">
        <v>2019</v>
      </c>
      <c r="C132" s="5" t="str">
        <f>'1_Du_lieu'!C155</f>
        <v>BTB&amp;DHMT</v>
      </c>
      <c r="D132" s="5" t="str">
        <f t="shared" si="2"/>
        <v>2017–2020</v>
      </c>
      <c r="E132" s="8">
        <f>'1_Du_lieu'!E155</f>
        <v>42.7</v>
      </c>
      <c r="F132" s="9">
        <f>AVERAGE('1_Du_lieu'!$E$131:$E$193)</f>
        <v>40.329629629629643</v>
      </c>
      <c r="G132" s="8">
        <f t="shared" si="3"/>
        <v>105.87749104600969</v>
      </c>
      <c r="H132" s="8">
        <f>'1_Du_lieu'!F155/AVERAGE('1_Du_lieu'!$F$131:$F$193)*100</f>
        <v>106.05840174581733</v>
      </c>
      <c r="I132" s="8">
        <f>'1_Du_lieu'!G155/AVERAGE('1_Du_lieu'!$G$131:$G$193)*100</f>
        <v>114.75848643387275</v>
      </c>
      <c r="J132" s="8">
        <f>'1_Du_lieu'!H155/AVERAGE('1_Du_lieu'!$H$131:$H$193)*100</f>
        <v>110.88763097675537</v>
      </c>
      <c r="K132" s="5">
        <f>'1_Du_lieu'!D155</f>
        <v>0</v>
      </c>
    </row>
    <row r="133" spans="1:11" x14ac:dyDescent="0.25">
      <c r="A133" t="s">
        <v>116</v>
      </c>
      <c r="B133">
        <v>2019</v>
      </c>
      <c r="C133" s="5" t="str">
        <f>'1_Du_lieu'!C156</f>
        <v>ĐBSCL</v>
      </c>
      <c r="D133" s="5" t="str">
        <f t="shared" ref="D133:D196" si="4">IF(B133&lt;=2020,"2017–2020","2021–2024")</f>
        <v>2017–2020</v>
      </c>
      <c r="E133" s="8">
        <f>'1_Du_lieu'!E156</f>
        <v>37.4</v>
      </c>
      <c r="F133" s="9">
        <f>AVERAGE('1_Du_lieu'!$E$131:$E$193)</f>
        <v>40.329629629629643</v>
      </c>
      <c r="G133" s="8">
        <f t="shared" ref="G133:G196" si="5">E133/F133*100</f>
        <v>92.7357884103223</v>
      </c>
      <c r="H133" s="8">
        <f>'1_Du_lieu'!F156/AVERAGE('1_Du_lieu'!$F$131:$F$193)*100</f>
        <v>88.382001454847781</v>
      </c>
      <c r="I133" s="8">
        <f>'1_Du_lieu'!G156/AVERAGE('1_Du_lieu'!$G$131:$G$193)*100</f>
        <v>106.87431561017155</v>
      </c>
      <c r="J133" s="8">
        <f>'1_Du_lieu'!H156/AVERAGE('1_Du_lieu'!$H$131:$H$193)*100</f>
        <v>80.970733469830165</v>
      </c>
      <c r="K133" s="5">
        <f>'1_Du_lieu'!D156</f>
        <v>0</v>
      </c>
    </row>
    <row r="134" spans="1:11" x14ac:dyDescent="0.25">
      <c r="A134" t="s">
        <v>117</v>
      </c>
      <c r="B134">
        <v>2019</v>
      </c>
      <c r="C134" s="5" t="str">
        <f>'1_Du_lieu'!C157</f>
        <v>TN</v>
      </c>
      <c r="D134" s="5" t="str">
        <f t="shared" si="4"/>
        <v>2017–2020</v>
      </c>
      <c r="E134" s="8">
        <f>'1_Du_lieu'!E157</f>
        <v>30.6</v>
      </c>
      <c r="F134" s="9">
        <f>AVERAGE('1_Du_lieu'!$E$131:$E$193)</f>
        <v>40.329629629629643</v>
      </c>
      <c r="G134" s="8">
        <f t="shared" si="5"/>
        <v>75.874735972081893</v>
      </c>
      <c r="H134" s="8">
        <f>'1_Du_lieu'!F157/AVERAGE('1_Du_lieu'!$F$131:$F$193)*100</f>
        <v>77.158890158994097</v>
      </c>
      <c r="I134" s="8">
        <f>'1_Du_lieu'!G157/AVERAGE('1_Du_lieu'!$G$131:$G$193)*100</f>
        <v>67.891470981871279</v>
      </c>
      <c r="J134" s="8">
        <f>'1_Du_lieu'!H157/AVERAGE('1_Du_lieu'!$H$131:$H$193)*100</f>
        <v>71.540407081777659</v>
      </c>
      <c r="K134" s="5">
        <f>'1_Du_lieu'!D157</f>
        <v>0</v>
      </c>
    </row>
    <row r="135" spans="1:11" x14ac:dyDescent="0.25">
      <c r="A135" t="s">
        <v>119</v>
      </c>
      <c r="B135">
        <v>2019</v>
      </c>
      <c r="C135" s="5" t="str">
        <f>'1_Du_lieu'!C159</f>
        <v>ĐBSCL</v>
      </c>
      <c r="D135" s="5" t="str">
        <f t="shared" si="4"/>
        <v>2017–2020</v>
      </c>
      <c r="E135" s="8">
        <f>'1_Du_lieu'!E159</f>
        <v>36.9</v>
      </c>
      <c r="F135" s="9">
        <f>AVERAGE('1_Du_lieu'!$E$131:$E$193)</f>
        <v>40.329629629629643</v>
      </c>
      <c r="G135" s="8">
        <f t="shared" si="5"/>
        <v>91.49600514280462</v>
      </c>
      <c r="H135" s="8">
        <f>'1_Du_lieu'!F159/AVERAGE('1_Du_lieu'!$F$131:$F$193)*100</f>
        <v>83.612179154109967</v>
      </c>
      <c r="I135" s="8">
        <f>'1_Du_lieu'!G159/AVERAGE('1_Du_lieu'!$G$131:$G$193)*100</f>
        <v>91.543983452974814</v>
      </c>
      <c r="J135" s="8">
        <f>'1_Du_lieu'!H159/AVERAGE('1_Du_lieu'!$H$131:$H$193)*100</f>
        <v>94.303263880525094</v>
      </c>
      <c r="K135" s="5">
        <f>'1_Du_lieu'!D159</f>
        <v>0</v>
      </c>
    </row>
    <row r="136" spans="1:11" x14ac:dyDescent="0.25">
      <c r="A136" t="s">
        <v>120</v>
      </c>
      <c r="B136">
        <v>2019</v>
      </c>
      <c r="C136" s="5" t="str">
        <f>'1_Du_lieu'!C160</f>
        <v>TDMNPB</v>
      </c>
      <c r="D136" s="5" t="str">
        <f t="shared" si="4"/>
        <v>2017–2020</v>
      </c>
      <c r="E136" s="8">
        <f>'1_Du_lieu'!E160</f>
        <v>35.5</v>
      </c>
      <c r="F136" s="9">
        <f>AVERAGE('1_Du_lieu'!$E$131:$E$193)</f>
        <v>40.329629629629643</v>
      </c>
      <c r="G136" s="8">
        <f t="shared" si="5"/>
        <v>88.02461199375513</v>
      </c>
      <c r="H136" s="8">
        <f>'1_Du_lieu'!F160/AVERAGE('1_Du_lieu'!$F$131:$F$193)*100</f>
        <v>109.14475735217709</v>
      </c>
      <c r="I136" s="8">
        <f>'1_Du_lieu'!G160/AVERAGE('1_Du_lieu'!$G$131:$G$193)*100</f>
        <v>72.709575374133124</v>
      </c>
      <c r="J136" s="8">
        <f>'1_Du_lieu'!H160/AVERAGE('1_Du_lieu'!$H$131:$H$193)*100</f>
        <v>86.498855835240263</v>
      </c>
      <c r="K136" s="5">
        <f>'1_Du_lieu'!D160</f>
        <v>0</v>
      </c>
    </row>
    <row r="137" spans="1:11" x14ac:dyDescent="0.25">
      <c r="A137" t="s">
        <v>121</v>
      </c>
      <c r="B137">
        <v>2019</v>
      </c>
      <c r="C137" s="5" t="str">
        <f>'1_Du_lieu'!C161</f>
        <v>TN</v>
      </c>
      <c r="D137" s="5" t="str">
        <f t="shared" si="4"/>
        <v>2017–2020</v>
      </c>
      <c r="E137" s="8">
        <f>'1_Du_lieu'!E161</f>
        <v>40.4</v>
      </c>
      <c r="F137" s="9">
        <f>AVERAGE('1_Du_lieu'!$E$131:$E$193)</f>
        <v>40.329629629629643</v>
      </c>
      <c r="G137" s="8">
        <f t="shared" si="5"/>
        <v>100.17448801542838</v>
      </c>
      <c r="H137" s="8">
        <f>'1_Du_lieu'!F161/AVERAGE('1_Du_lieu'!$F$131:$F$193)*100</f>
        <v>93.15182375558561</v>
      </c>
      <c r="I137" s="8">
        <f>'1_Du_lieu'!G161/AVERAGE('1_Du_lieu'!$G$131:$G$193)*100</f>
        <v>106.21730137486314</v>
      </c>
      <c r="J137" s="8">
        <f>'1_Du_lieu'!H161/AVERAGE('1_Du_lieu'!$H$131:$H$193)*100</f>
        <v>97.229916897506911</v>
      </c>
      <c r="K137" s="5">
        <f>'1_Du_lieu'!D161</f>
        <v>0</v>
      </c>
    </row>
    <row r="138" spans="1:11" x14ac:dyDescent="0.25">
      <c r="A138" t="s">
        <v>122</v>
      </c>
      <c r="B138">
        <v>2019</v>
      </c>
      <c r="C138" s="5" t="str">
        <f>'1_Du_lieu'!C162</f>
        <v>TDMNPB</v>
      </c>
      <c r="D138" s="5" t="str">
        <f t="shared" si="4"/>
        <v>2017–2020</v>
      </c>
      <c r="E138" s="8">
        <f>'1_Du_lieu'!E162</f>
        <v>28.8</v>
      </c>
      <c r="F138" s="9">
        <f>AVERAGE('1_Du_lieu'!$E$131:$E$193)</f>
        <v>40.329629629629643</v>
      </c>
      <c r="G138" s="8">
        <f t="shared" si="5"/>
        <v>71.411516209018259</v>
      </c>
      <c r="H138" s="8">
        <f>'1_Du_lieu'!F162/AVERAGE('1_Du_lieu'!$F$131:$F$193)*100</f>
        <v>71.547334511067248</v>
      </c>
      <c r="I138" s="8">
        <f>'1_Du_lieu'!G162/AVERAGE('1_Du_lieu'!$G$131:$G$193)*100</f>
        <v>59.35028592286168</v>
      </c>
      <c r="J138" s="8">
        <f>'1_Du_lieu'!H162/AVERAGE('1_Du_lieu'!$H$131:$H$193)*100</f>
        <v>79.669998795616024</v>
      </c>
      <c r="K138" s="5">
        <f>'1_Du_lieu'!D162</f>
        <v>0</v>
      </c>
    </row>
    <row r="139" spans="1:11" x14ac:dyDescent="0.25">
      <c r="A139" t="s">
        <v>123</v>
      </c>
      <c r="B139">
        <v>2019</v>
      </c>
      <c r="C139" s="5" t="str">
        <f>'1_Du_lieu'!C163</f>
        <v>ĐBSH</v>
      </c>
      <c r="D139" s="5" t="str">
        <f t="shared" si="4"/>
        <v>2017–2020</v>
      </c>
      <c r="E139" s="8">
        <f>'1_Du_lieu'!E163</f>
        <v>40</v>
      </c>
      <c r="F139" s="9">
        <f>AVERAGE('1_Du_lieu'!$E$131:$E$193)</f>
        <v>40.329629629629643</v>
      </c>
      <c r="G139" s="8">
        <f t="shared" si="5"/>
        <v>99.182661401414236</v>
      </c>
      <c r="H139" s="8">
        <f>'1_Du_lieu'!F163/AVERAGE('1_Du_lieu'!$F$131:$F$193)*100</f>
        <v>100.16626831549415</v>
      </c>
      <c r="I139" s="8">
        <f>'1_Du_lieu'!G163/AVERAGE('1_Du_lieu'!$G$131:$G$193)*100</f>
        <v>109.06436306119967</v>
      </c>
      <c r="J139" s="8">
        <f>'1_Du_lieu'!H163/AVERAGE('1_Du_lieu'!$H$131:$H$193)*100</f>
        <v>79.995182464169574</v>
      </c>
      <c r="K139" s="5">
        <f>'1_Du_lieu'!D163</f>
        <v>1</v>
      </c>
    </row>
    <row r="140" spans="1:11" x14ac:dyDescent="0.25">
      <c r="A140" t="s">
        <v>124</v>
      </c>
      <c r="B140">
        <v>2019</v>
      </c>
      <c r="C140" s="5" t="str">
        <f>'1_Du_lieu'!C164</f>
        <v>BTB&amp;DHMT</v>
      </c>
      <c r="D140" s="5" t="str">
        <f t="shared" si="4"/>
        <v>2017–2020</v>
      </c>
      <c r="E140" s="8">
        <f>'1_Du_lieu'!E164</f>
        <v>42.4</v>
      </c>
      <c r="F140" s="9">
        <f>AVERAGE('1_Du_lieu'!$E$131:$E$193)</f>
        <v>40.329629629629643</v>
      </c>
      <c r="G140" s="8">
        <f t="shared" si="5"/>
        <v>105.13362108549909</v>
      </c>
      <c r="H140" s="8">
        <f>'1_Du_lieu'!F164/AVERAGE('1_Du_lieu'!$F$131:$F$193)*100</f>
        <v>109.14475735217709</v>
      </c>
      <c r="I140" s="8">
        <f>'1_Du_lieu'!G164/AVERAGE('1_Du_lieu'!$G$131:$G$193)*100</f>
        <v>93.515026158900127</v>
      </c>
      <c r="J140" s="8">
        <f>'1_Du_lieu'!H164/AVERAGE('1_Du_lieu'!$H$131:$H$193)*100</f>
        <v>115.76538600505839</v>
      </c>
      <c r="K140" s="5">
        <f>'1_Du_lieu'!D164</f>
        <v>0</v>
      </c>
    </row>
    <row r="141" spans="1:11" x14ac:dyDescent="0.25">
      <c r="A141" t="s">
        <v>125</v>
      </c>
      <c r="B141">
        <v>2019</v>
      </c>
      <c r="C141" s="5" t="str">
        <f>'1_Du_lieu'!C165</f>
        <v>ĐBSH</v>
      </c>
      <c r="D141" s="5" t="str">
        <f t="shared" si="4"/>
        <v>2017–2020</v>
      </c>
      <c r="E141" s="8">
        <f>'1_Du_lieu'!E165</f>
        <v>41.2</v>
      </c>
      <c r="F141" s="9">
        <f>AVERAGE('1_Du_lieu'!$E$131:$E$193)</f>
        <v>40.329629629629643</v>
      </c>
      <c r="G141" s="8">
        <f t="shared" si="5"/>
        <v>102.15814124345668</v>
      </c>
      <c r="H141" s="8">
        <f>'1_Du_lieu'!F165/AVERAGE('1_Du_lieu'!$F$131:$F$193)*100</f>
        <v>94.274134885170966</v>
      </c>
      <c r="I141" s="8">
        <f>'1_Du_lieu'!G165/AVERAGE('1_Du_lieu'!$G$131:$G$193)*100</f>
        <v>101.6182017277041</v>
      </c>
      <c r="J141" s="8">
        <f>'1_Du_lieu'!H165/AVERAGE('1_Du_lieu'!$H$131:$H$193)*100</f>
        <v>106.98542695411295</v>
      </c>
      <c r="K141" s="5">
        <f>'1_Du_lieu'!D165</f>
        <v>1</v>
      </c>
    </row>
    <row r="142" spans="1:11" x14ac:dyDescent="0.25">
      <c r="A142" t="s">
        <v>126</v>
      </c>
      <c r="B142">
        <v>2019</v>
      </c>
      <c r="C142" s="5" t="str">
        <f>'1_Du_lieu'!C166</f>
        <v>BTB&amp;DHMT</v>
      </c>
      <c r="D142" s="5" t="str">
        <f t="shared" si="4"/>
        <v>2017–2020</v>
      </c>
      <c r="E142" s="8">
        <f>'1_Du_lieu'!E166</f>
        <v>33.4</v>
      </c>
      <c r="F142" s="9">
        <f>AVERAGE('1_Du_lieu'!$E$131:$E$193)</f>
        <v>40.329629629629643</v>
      </c>
      <c r="G142" s="8">
        <f t="shared" si="5"/>
        <v>82.817522270180888</v>
      </c>
      <c r="H142" s="8">
        <f>'1_Du_lieu'!F166/AVERAGE('1_Du_lieu'!$F$131:$F$193)*100</f>
        <v>87.259690325262412</v>
      </c>
      <c r="I142" s="8">
        <f>'1_Du_lieu'!G166/AVERAGE('1_Du_lieu'!$G$131:$G$193)*100</f>
        <v>95.705073609928235</v>
      </c>
      <c r="J142" s="8">
        <f>'1_Du_lieu'!H166/AVERAGE('1_Du_lieu'!$H$131:$H$193)*100</f>
        <v>66.01228471636756</v>
      </c>
      <c r="K142" s="5">
        <f>'1_Du_lieu'!D166</f>
        <v>0</v>
      </c>
    </row>
    <row r="143" spans="1:11" x14ac:dyDescent="0.25">
      <c r="A143" t="s">
        <v>127</v>
      </c>
      <c r="B143">
        <v>2019</v>
      </c>
      <c r="C143" s="5" t="str">
        <f>'1_Du_lieu'!C167</f>
        <v>TDMNPB</v>
      </c>
      <c r="D143" s="5" t="str">
        <f t="shared" si="4"/>
        <v>2017–2020</v>
      </c>
      <c r="E143" s="8">
        <f>'1_Du_lieu'!E167</f>
        <v>38.799999999999997</v>
      </c>
      <c r="F143" s="9">
        <f>AVERAGE('1_Du_lieu'!$E$131:$E$193)</f>
        <v>40.329629629629643</v>
      </c>
      <c r="G143" s="8">
        <f t="shared" si="5"/>
        <v>96.207181559371804</v>
      </c>
      <c r="H143" s="8">
        <f>'1_Du_lieu'!F167/AVERAGE('1_Du_lieu'!$F$131:$F$193)*100</f>
        <v>94.274134885170966</v>
      </c>
      <c r="I143" s="8">
        <f>'1_Du_lieu'!G167/AVERAGE('1_Du_lieu'!$G$131:$G$193)*100</f>
        <v>90.44895972746076</v>
      </c>
      <c r="J143" s="8">
        <f>'1_Du_lieu'!H167/AVERAGE('1_Du_lieu'!$H$131:$H$193)*100</f>
        <v>102.43285559436346</v>
      </c>
      <c r="K143" s="5">
        <f>'1_Du_lieu'!D167</f>
        <v>0</v>
      </c>
    </row>
    <row r="144" spans="1:11" x14ac:dyDescent="0.25">
      <c r="A144" t="s">
        <v>128</v>
      </c>
      <c r="B144">
        <v>2019</v>
      </c>
      <c r="C144" s="5" t="str">
        <f>'1_Du_lieu'!C168</f>
        <v>BTB&amp;DHMT</v>
      </c>
      <c r="D144" s="5" t="str">
        <f t="shared" si="4"/>
        <v>2017–2020</v>
      </c>
      <c r="E144" s="8">
        <f>'1_Du_lieu'!E168</f>
        <v>34.9</v>
      </c>
      <c r="F144" s="9">
        <f>AVERAGE('1_Du_lieu'!$E$131:$E$193)</f>
        <v>40.329629629629643</v>
      </c>
      <c r="G144" s="8">
        <f t="shared" si="5"/>
        <v>86.536872072733914</v>
      </c>
      <c r="H144" s="8">
        <f>'1_Du_lieu'!F168/AVERAGE('1_Du_lieu'!$F$131:$F$193)*100</f>
        <v>107.18071287540272</v>
      </c>
      <c r="I144" s="8">
        <f>'1_Du_lieu'!G168/AVERAGE('1_Du_lieu'!$G$131:$G$193)*100</f>
        <v>74.242608589852793</v>
      </c>
      <c r="J144" s="8">
        <f>'1_Du_lieu'!H168/AVERAGE('1_Du_lieu'!$H$131:$H$193)*100</f>
        <v>81.946284475490771</v>
      </c>
      <c r="K144" s="5">
        <f>'1_Du_lieu'!D168</f>
        <v>0</v>
      </c>
    </row>
    <row r="145" spans="1:11" x14ac:dyDescent="0.25">
      <c r="A145" t="s">
        <v>129</v>
      </c>
      <c r="B145">
        <v>2019</v>
      </c>
      <c r="C145" s="5" t="str">
        <f>'1_Du_lieu'!C169</f>
        <v>BTB&amp;DHMT</v>
      </c>
      <c r="D145" s="5" t="str">
        <f t="shared" si="4"/>
        <v>2017–2020</v>
      </c>
      <c r="E145" s="8">
        <f>'1_Du_lieu'!E169</f>
        <v>31.8</v>
      </c>
      <c r="F145" s="9">
        <f>AVERAGE('1_Du_lieu'!$E$131:$E$193)</f>
        <v>40.329629629629643</v>
      </c>
      <c r="G145" s="8">
        <f t="shared" si="5"/>
        <v>78.850215814124326</v>
      </c>
      <c r="H145" s="8">
        <f>'1_Du_lieu'!F169/AVERAGE('1_Du_lieu'!$F$131:$F$193)*100</f>
        <v>79.684090200561172</v>
      </c>
      <c r="I145" s="8">
        <f>'1_Du_lieu'!G169/AVERAGE('1_Du_lieu'!$G$131:$G$193)*100</f>
        <v>88.915926511741105</v>
      </c>
      <c r="J145" s="8">
        <f>'1_Du_lieu'!H169/AVERAGE('1_Du_lieu'!$H$131:$H$193)*100</f>
        <v>62.760448030832215</v>
      </c>
      <c r="K145" s="5">
        <f>'1_Du_lieu'!D169</f>
        <v>0</v>
      </c>
    </row>
    <row r="146" spans="1:11" x14ac:dyDescent="0.25">
      <c r="A146" t="s">
        <v>130</v>
      </c>
      <c r="B146">
        <v>2019</v>
      </c>
      <c r="C146" s="5" t="str">
        <f>'1_Du_lieu'!C170</f>
        <v>BTB&amp;DHMT</v>
      </c>
      <c r="D146" s="5" t="str">
        <f t="shared" si="4"/>
        <v>2017–2020</v>
      </c>
      <c r="E146" s="8">
        <f>'1_Du_lieu'!E170</f>
        <v>39.1</v>
      </c>
      <c r="F146" s="9">
        <f>AVERAGE('1_Du_lieu'!$E$131:$E$193)</f>
        <v>40.329629629629643</v>
      </c>
      <c r="G146" s="8">
        <f t="shared" si="5"/>
        <v>96.951051519882427</v>
      </c>
      <c r="H146" s="8">
        <f>'1_Du_lieu'!F170/AVERAGE('1_Du_lieu'!$F$131:$F$193)*100</f>
        <v>98.20222383871976</v>
      </c>
      <c r="I146" s="8">
        <f>'1_Du_lieu'!G170/AVERAGE('1_Du_lieu'!$G$131:$G$193)*100</f>
        <v>91.324978707872035</v>
      </c>
      <c r="J146" s="8">
        <f>'1_Du_lieu'!H170/AVERAGE('1_Du_lieu'!$H$131:$H$193)*100</f>
        <v>93.652896543418024</v>
      </c>
      <c r="K146" s="5">
        <f>'1_Du_lieu'!D170</f>
        <v>0</v>
      </c>
    </row>
    <row r="147" spans="1:11" x14ac:dyDescent="0.25">
      <c r="A147" t="s">
        <v>131</v>
      </c>
      <c r="B147">
        <v>2019</v>
      </c>
      <c r="C147" s="5" t="str">
        <f>'1_Du_lieu'!C171</f>
        <v>BTB&amp;DHMT</v>
      </c>
      <c r="D147" s="5" t="str">
        <f t="shared" si="4"/>
        <v>2017–2020</v>
      </c>
      <c r="E147" s="8">
        <f>'1_Du_lieu'!E171</f>
        <v>31.7</v>
      </c>
      <c r="F147" s="9">
        <f>AVERAGE('1_Du_lieu'!$E$131:$E$193)</f>
        <v>40.329629629629643</v>
      </c>
      <c r="G147" s="8">
        <f t="shared" si="5"/>
        <v>78.602259160620775</v>
      </c>
      <c r="H147" s="8">
        <f>'1_Du_lieu'!F171/AVERAGE('1_Du_lieu'!$F$131:$F$193)*100</f>
        <v>86.698534760469727</v>
      </c>
      <c r="I147" s="8">
        <f>'1_Du_lieu'!G171/AVERAGE('1_Du_lieu'!$G$131:$G$193)*100</f>
        <v>78.403698746806185</v>
      </c>
      <c r="J147" s="8">
        <f>'1_Du_lieu'!H171/AVERAGE('1_Du_lieu'!$H$131:$H$193)*100</f>
        <v>67.63820305913525</v>
      </c>
      <c r="K147" s="5">
        <f>'1_Du_lieu'!D171</f>
        <v>0</v>
      </c>
    </row>
    <row r="148" spans="1:11" x14ac:dyDescent="0.25">
      <c r="A148" t="s">
        <v>132</v>
      </c>
      <c r="B148">
        <v>2019</v>
      </c>
      <c r="C148" s="5" t="str">
        <f>'1_Du_lieu'!C172</f>
        <v>ĐBSH</v>
      </c>
      <c r="D148" s="5" t="str">
        <f t="shared" si="4"/>
        <v>2017–2020</v>
      </c>
      <c r="E148" s="8">
        <f>'1_Du_lieu'!E172</f>
        <v>48.2</v>
      </c>
      <c r="F148" s="9">
        <f>AVERAGE('1_Du_lieu'!$E$131:$E$193)</f>
        <v>40.329629629629643</v>
      </c>
      <c r="G148" s="8">
        <f t="shared" si="5"/>
        <v>119.51510698870416</v>
      </c>
      <c r="H148" s="8">
        <f>'1_Du_lieu'!F172/AVERAGE('1_Du_lieu'!$F$131:$F$193)*100</f>
        <v>104.09435726904294</v>
      </c>
      <c r="I148" s="8">
        <f>'1_Du_lieu'!G172/AVERAGE('1_Du_lieu'!$G$131:$G$193)*100</f>
        <v>121.32862878695707</v>
      </c>
      <c r="J148" s="8">
        <f>'1_Du_lieu'!H172/AVERAGE('1_Du_lieu'!$H$131:$H$193)*100</f>
        <v>134.6260387811634</v>
      </c>
      <c r="K148" s="5">
        <f>'1_Du_lieu'!D172</f>
        <v>1</v>
      </c>
    </row>
    <row r="149" spans="1:11" x14ac:dyDescent="0.25">
      <c r="A149" t="s">
        <v>133</v>
      </c>
      <c r="B149">
        <v>2019</v>
      </c>
      <c r="C149" s="5" t="str">
        <f>'1_Du_lieu'!C173</f>
        <v>BTB&amp;DHMT</v>
      </c>
      <c r="D149" s="5" t="str">
        <f t="shared" si="4"/>
        <v>2017–2020</v>
      </c>
      <c r="E149" s="8">
        <f>'1_Du_lieu'!E173</f>
        <v>30.7</v>
      </c>
      <c r="F149" s="9">
        <f>AVERAGE('1_Du_lieu'!$E$131:$E$193)</f>
        <v>40.329629629629643</v>
      </c>
      <c r="G149" s="8">
        <f t="shared" si="5"/>
        <v>76.122692625585429</v>
      </c>
      <c r="H149" s="8">
        <f>'1_Du_lieu'!F173/AVERAGE('1_Du_lieu'!$F$131:$F$193)*100</f>
        <v>70.144445599085543</v>
      </c>
      <c r="I149" s="8">
        <f>'1_Du_lieu'!G173/AVERAGE('1_Du_lieu'!$G$131:$G$193)*100</f>
        <v>72.052561138824672</v>
      </c>
      <c r="J149" s="8">
        <f>'1_Du_lieu'!H173/AVERAGE('1_Du_lieu'!$H$131:$H$193)*100</f>
        <v>84.222570155365517</v>
      </c>
      <c r="K149" s="5">
        <f>'1_Du_lieu'!D173</f>
        <v>0</v>
      </c>
    </row>
    <row r="150" spans="1:11" x14ac:dyDescent="0.25">
      <c r="A150" t="s">
        <v>136</v>
      </c>
      <c r="B150">
        <v>2019</v>
      </c>
      <c r="C150" s="5" t="str">
        <f>'1_Du_lieu'!C176</f>
        <v>ĐNB</v>
      </c>
      <c r="D150" s="5" t="str">
        <f t="shared" si="4"/>
        <v>2017–2020</v>
      </c>
      <c r="E150" s="8">
        <f>'1_Du_lieu'!E176</f>
        <v>86.8</v>
      </c>
      <c r="F150" s="9">
        <f>AVERAGE('1_Du_lieu'!$E$131:$E$193)</f>
        <v>40.329629629629643</v>
      </c>
      <c r="G150" s="8">
        <f t="shared" si="5"/>
        <v>215.22637524106889</v>
      </c>
      <c r="H150" s="8">
        <f>'1_Du_lieu'!F176/AVERAGE('1_Du_lieu'!$F$131:$F$193)*100</f>
        <v>243.541515120025</v>
      </c>
      <c r="I150" s="8">
        <f>'1_Du_lieu'!G176/AVERAGE('1_Du_lieu'!$G$131:$G$193)*100</f>
        <v>190.97213772965085</v>
      </c>
      <c r="J150" s="8">
        <f>'1_Du_lieu'!H176/AVERAGE('1_Du_lieu'!$H$131:$H$193)*100</f>
        <v>283.88534264723586</v>
      </c>
      <c r="K150" s="5">
        <f>'1_Du_lieu'!D176</f>
        <v>1</v>
      </c>
    </row>
    <row r="151" spans="1:11" x14ac:dyDescent="0.25">
      <c r="A151" t="s">
        <v>137</v>
      </c>
      <c r="B151">
        <v>2019</v>
      </c>
      <c r="C151" s="5" t="str">
        <f>'1_Du_lieu'!C177</f>
        <v>BTB&amp;DHMT</v>
      </c>
      <c r="D151" s="5" t="str">
        <f t="shared" si="4"/>
        <v>2017–2020</v>
      </c>
      <c r="E151" s="8">
        <f>'1_Du_lieu'!E177</f>
        <v>38.4</v>
      </c>
      <c r="F151" s="9">
        <f>AVERAGE('1_Du_lieu'!$E$131:$E$193)</f>
        <v>40.329629629629643</v>
      </c>
      <c r="G151" s="8">
        <f t="shared" si="5"/>
        <v>95.21535494535766</v>
      </c>
      <c r="H151" s="8">
        <f>'1_Du_lieu'!F177/AVERAGE('1_Du_lieu'!$F$131:$F$193)*100</f>
        <v>100.16626831549415</v>
      </c>
      <c r="I151" s="8">
        <f>'1_Du_lieu'!G177/AVERAGE('1_Du_lieu'!$G$131:$G$193)*100</f>
        <v>92.200997688283266</v>
      </c>
      <c r="J151" s="8">
        <f>'1_Du_lieu'!H177/AVERAGE('1_Du_lieu'!$H$131:$H$193)*100</f>
        <v>99.181018908828122</v>
      </c>
      <c r="K151" s="5">
        <f>'1_Du_lieu'!D177</f>
        <v>0</v>
      </c>
    </row>
    <row r="152" spans="1:11" x14ac:dyDescent="0.25">
      <c r="A152" t="s">
        <v>138</v>
      </c>
      <c r="B152">
        <v>2019</v>
      </c>
      <c r="C152" s="5" t="str">
        <f>'1_Du_lieu'!C178</f>
        <v>ĐBSH</v>
      </c>
      <c r="D152" s="5" t="str">
        <f t="shared" si="4"/>
        <v>2017–2020</v>
      </c>
      <c r="E152" s="8">
        <f>'1_Du_lieu'!E178</f>
        <v>37.799999999999997</v>
      </c>
      <c r="F152" s="9">
        <f>AVERAGE('1_Du_lieu'!$E$131:$E$193)</f>
        <v>40.329629629629643</v>
      </c>
      <c r="G152" s="8">
        <f t="shared" si="5"/>
        <v>93.727615024336458</v>
      </c>
      <c r="H152" s="8">
        <f>'1_Du_lieu'!F178/AVERAGE('1_Du_lieu'!$F$131:$F$193)*100</f>
        <v>97.36049049153074</v>
      </c>
      <c r="I152" s="8">
        <f>'1_Du_lieu'!G178/AVERAGE('1_Du_lieu'!$G$131:$G$193)*100</f>
        <v>84.535831609684891</v>
      </c>
      <c r="J152" s="8">
        <f>'1_Du_lieu'!H178/AVERAGE('1_Du_lieu'!$H$131:$H$193)*100</f>
        <v>99.181018908828122</v>
      </c>
      <c r="K152" s="5">
        <f>'1_Du_lieu'!D178</f>
        <v>1</v>
      </c>
    </row>
    <row r="153" spans="1:11" x14ac:dyDescent="0.25">
      <c r="A153" t="s">
        <v>139</v>
      </c>
      <c r="B153">
        <v>2019</v>
      </c>
      <c r="C153" s="5" t="str">
        <f>'1_Du_lieu'!C179</f>
        <v>TDMNPB</v>
      </c>
      <c r="D153" s="5" t="str">
        <f t="shared" si="4"/>
        <v>2017–2020</v>
      </c>
      <c r="E153" s="8">
        <f>'1_Du_lieu'!E179</f>
        <v>36.5</v>
      </c>
      <c r="F153" s="9">
        <f>AVERAGE('1_Du_lieu'!$E$131:$E$193)</f>
        <v>40.329629629629643</v>
      </c>
      <c r="G153" s="8">
        <f t="shared" si="5"/>
        <v>90.50417852879049</v>
      </c>
      <c r="H153" s="8">
        <f>'1_Du_lieu'!F179/AVERAGE('1_Du_lieu'!$F$131:$F$193)*100</f>
        <v>102.97204613945759</v>
      </c>
      <c r="I153" s="8">
        <f>'1_Du_lieu'!G179/AVERAGE('1_Du_lieu'!$G$131:$G$193)*100</f>
        <v>76.87066553108653</v>
      </c>
      <c r="J153" s="8">
        <f>'1_Du_lieu'!H179/AVERAGE('1_Du_lieu'!$H$131:$H$193)*100</f>
        <v>95.603998554739235</v>
      </c>
      <c r="K153" s="5">
        <f>'1_Du_lieu'!D179</f>
        <v>0</v>
      </c>
    </row>
    <row r="154" spans="1:11" x14ac:dyDescent="0.25">
      <c r="A154" t="s">
        <v>140</v>
      </c>
      <c r="B154">
        <v>2019</v>
      </c>
      <c r="C154" s="5" t="str">
        <f>'1_Du_lieu'!C180</f>
        <v>BTB&amp;DHMT</v>
      </c>
      <c r="D154" s="5" t="str">
        <f t="shared" si="4"/>
        <v>2017–2020</v>
      </c>
      <c r="E154" s="8">
        <f>'1_Du_lieu'!E180</f>
        <v>40.5</v>
      </c>
      <c r="F154" s="9">
        <f>AVERAGE('1_Du_lieu'!$E$131:$E$193)</f>
        <v>40.329629629629643</v>
      </c>
      <c r="G154" s="8">
        <f t="shared" si="5"/>
        <v>100.42244466893192</v>
      </c>
      <c r="H154" s="8">
        <f>'1_Du_lieu'!F180/AVERAGE('1_Du_lieu'!$F$131:$F$193)*100</f>
        <v>99.324534968305116</v>
      </c>
      <c r="I154" s="8">
        <f>'1_Du_lieu'!G180/AVERAGE('1_Du_lieu'!$G$131:$G$193)*100</f>
        <v>104.68426815914347</v>
      </c>
      <c r="J154" s="8">
        <f>'1_Du_lieu'!H180/AVERAGE('1_Du_lieu'!$H$131:$H$193)*100</f>
        <v>87.79959050945439</v>
      </c>
      <c r="K154" s="5">
        <f>'1_Du_lieu'!D180</f>
        <v>0</v>
      </c>
    </row>
    <row r="155" spans="1:11" x14ac:dyDescent="0.25">
      <c r="A155" t="s">
        <v>141</v>
      </c>
      <c r="B155">
        <v>2019</v>
      </c>
      <c r="C155" s="5" t="str">
        <f>'1_Du_lieu'!C181</f>
        <v>ĐBSCL</v>
      </c>
      <c r="D155" s="5" t="str">
        <f t="shared" si="4"/>
        <v>2017–2020</v>
      </c>
      <c r="E155" s="8">
        <f>'1_Du_lieu'!E181</f>
        <v>35.6</v>
      </c>
      <c r="F155" s="9">
        <f>AVERAGE('1_Du_lieu'!$E$131:$E$193)</f>
        <v>40.329629629629643</v>
      </c>
      <c r="G155" s="8">
        <f t="shared" si="5"/>
        <v>88.27256864725868</v>
      </c>
      <c r="H155" s="8">
        <f>'1_Du_lieu'!F181/AVERAGE('1_Du_lieu'!$F$131:$F$193)*100</f>
        <v>98.482801621116096</v>
      </c>
      <c r="I155" s="8">
        <f>'1_Du_lieu'!G181/AVERAGE('1_Du_lieu'!$G$131:$G$193)*100</f>
        <v>90.44895972746076</v>
      </c>
      <c r="J155" s="8">
        <f>'1_Du_lieu'!H181/AVERAGE('1_Du_lieu'!$H$131:$H$193)*100</f>
        <v>62.760448030832215</v>
      </c>
      <c r="K155" s="5">
        <f>'1_Du_lieu'!D181</f>
        <v>0</v>
      </c>
    </row>
    <row r="156" spans="1:11" x14ac:dyDescent="0.25">
      <c r="A156" t="s">
        <v>142</v>
      </c>
      <c r="B156">
        <v>2019</v>
      </c>
      <c r="C156" s="5" t="str">
        <f>'1_Du_lieu'!C182</f>
        <v>ĐBSCL</v>
      </c>
      <c r="D156" s="5" t="str">
        <f t="shared" si="4"/>
        <v>2017–2020</v>
      </c>
      <c r="E156" s="8">
        <f>'1_Du_lieu'!E182</f>
        <v>30.9</v>
      </c>
      <c r="F156" s="9">
        <f>AVERAGE('1_Du_lieu'!$E$131:$E$193)</f>
        <v>40.329629629629643</v>
      </c>
      <c r="G156" s="8">
        <f t="shared" si="5"/>
        <v>76.618605932592502</v>
      </c>
      <c r="H156" s="8">
        <f>'1_Du_lieu'!F182/AVERAGE('1_Du_lieu'!$F$131:$F$193)*100</f>
        <v>78.561779070975803</v>
      </c>
      <c r="I156" s="8">
        <f>'1_Du_lieu'!G182/AVERAGE('1_Du_lieu'!$G$131:$G$193)*100</f>
        <v>84.097822119479261</v>
      </c>
      <c r="J156" s="8">
        <f>'1_Du_lieu'!H182/AVERAGE('1_Du_lieu'!$H$131:$H$193)*100</f>
        <v>57.557509333975666</v>
      </c>
      <c r="K156" s="5">
        <f>'1_Du_lieu'!D182</f>
        <v>0</v>
      </c>
    </row>
    <row r="157" spans="1:11" x14ac:dyDescent="0.25">
      <c r="A157" t="s">
        <v>143</v>
      </c>
      <c r="B157">
        <v>2019</v>
      </c>
      <c r="C157" s="5" t="str">
        <f>'1_Du_lieu'!C183</f>
        <v>TDMNPB</v>
      </c>
      <c r="D157" s="5" t="str">
        <f t="shared" si="4"/>
        <v>2017–2020</v>
      </c>
      <c r="E157" s="8">
        <f>'1_Du_lieu'!E183</f>
        <v>28.9</v>
      </c>
      <c r="F157" s="9">
        <f>AVERAGE('1_Du_lieu'!$E$131:$E$193)</f>
        <v>40.329629629629643</v>
      </c>
      <c r="G157" s="8">
        <f t="shared" si="5"/>
        <v>71.659472862521781</v>
      </c>
      <c r="H157" s="8">
        <f>'1_Du_lieu'!F183/AVERAGE('1_Du_lieu'!$F$131:$F$193)*100</f>
        <v>77.158890158994097</v>
      </c>
      <c r="I157" s="8">
        <f>'1_Du_lieu'!G183/AVERAGE('1_Du_lieu'!$G$131:$G$193)*100</f>
        <v>60.664314393478534</v>
      </c>
      <c r="J157" s="8">
        <f>'1_Du_lieu'!H183/AVERAGE('1_Du_lieu'!$H$131:$H$193)*100</f>
        <v>66.662652053474631</v>
      </c>
      <c r="K157" s="5">
        <f>'1_Du_lieu'!D183</f>
        <v>0</v>
      </c>
    </row>
    <row r="158" spans="1:11" x14ac:dyDescent="0.25">
      <c r="A158" t="s">
        <v>144</v>
      </c>
      <c r="B158">
        <v>2019</v>
      </c>
      <c r="C158" s="5" t="str">
        <f>'1_Du_lieu'!C184</f>
        <v>ĐNB</v>
      </c>
      <c r="D158" s="5" t="str">
        <f t="shared" si="4"/>
        <v>2017–2020</v>
      </c>
      <c r="E158" s="8">
        <f>'1_Du_lieu'!E184</f>
        <v>38.700000000000003</v>
      </c>
      <c r="F158" s="9">
        <f>AVERAGE('1_Du_lieu'!$E$131:$E$193)</f>
        <v>40.329629629629643</v>
      </c>
      <c r="G158" s="8">
        <f t="shared" si="5"/>
        <v>95.959224905868282</v>
      </c>
      <c r="H158" s="8">
        <f>'1_Du_lieu'!F184/AVERAGE('1_Du_lieu'!$F$131:$F$193)*100</f>
        <v>80.245245765353872</v>
      </c>
      <c r="I158" s="8">
        <f>'1_Du_lieu'!G184/AVERAGE('1_Du_lieu'!$G$131:$G$193)*100</f>
        <v>111.03540576712498</v>
      </c>
      <c r="J158" s="8">
        <f>'1_Du_lieu'!H184/AVERAGE('1_Du_lieu'!$H$131:$H$193)*100</f>
        <v>75.117427435866546</v>
      </c>
      <c r="K158" s="5">
        <f>'1_Du_lieu'!D184</f>
        <v>1</v>
      </c>
    </row>
    <row r="159" spans="1:11" x14ac:dyDescent="0.25">
      <c r="A159" t="s">
        <v>145</v>
      </c>
      <c r="B159">
        <v>2019</v>
      </c>
      <c r="C159" s="5" t="str">
        <f>'1_Du_lieu'!C185</f>
        <v>ĐBSCL</v>
      </c>
      <c r="D159" s="5" t="str">
        <f t="shared" si="4"/>
        <v>2017–2020</v>
      </c>
      <c r="E159" s="8">
        <f>'1_Du_lieu'!E185</f>
        <v>31.4</v>
      </c>
      <c r="F159" s="9">
        <f>AVERAGE('1_Du_lieu'!$E$131:$E$193)</f>
        <v>40.329629629629643</v>
      </c>
      <c r="G159" s="8">
        <f t="shared" si="5"/>
        <v>77.858389200110182</v>
      </c>
      <c r="H159" s="8">
        <f>'1_Du_lieu'!F185/AVERAGE('1_Du_lieu'!$F$131:$F$193)*100</f>
        <v>95.677023797152685</v>
      </c>
      <c r="I159" s="8">
        <f>'1_Du_lieu'!G185/AVERAGE('1_Du_lieu'!$G$131:$G$193)*100</f>
        <v>84.097822119479261</v>
      </c>
      <c r="J159" s="8">
        <f>'1_Du_lieu'!H185/AVERAGE('1_Du_lieu'!$H$131:$H$193)*100</f>
        <v>62.435264362278687</v>
      </c>
      <c r="K159" s="5">
        <f>'1_Du_lieu'!D185</f>
        <v>0</v>
      </c>
    </row>
    <row r="160" spans="1:11" x14ac:dyDescent="0.25">
      <c r="A160" t="s">
        <v>146</v>
      </c>
      <c r="B160">
        <v>2019</v>
      </c>
      <c r="C160" s="5" t="str">
        <f>'1_Du_lieu'!C186</f>
        <v>ĐBSH</v>
      </c>
      <c r="D160" s="5" t="str">
        <f t="shared" si="4"/>
        <v>2017–2020</v>
      </c>
      <c r="E160" s="8">
        <f>'1_Du_lieu'!E186</f>
        <v>43.5</v>
      </c>
      <c r="F160" s="9">
        <f>AVERAGE('1_Du_lieu'!$E$131:$E$193)</f>
        <v>40.329629629629643</v>
      </c>
      <c r="G160" s="8">
        <f t="shared" si="5"/>
        <v>107.861144274038</v>
      </c>
      <c r="H160" s="8">
        <f>'1_Du_lieu'!F186/AVERAGE('1_Du_lieu'!$F$131:$F$193)*100</f>
        <v>98.763379403512459</v>
      </c>
      <c r="I160" s="8">
        <f>'1_Du_lieu'!G186/AVERAGE('1_Du_lieu'!$G$131:$G$193)*100</f>
        <v>97.457111570750712</v>
      </c>
      <c r="J160" s="8">
        <f>'1_Du_lieu'!H186/AVERAGE('1_Du_lieu'!$H$131:$H$193)*100</f>
        <v>127.14681440443212</v>
      </c>
      <c r="K160" s="5">
        <f>'1_Du_lieu'!D186</f>
        <v>1</v>
      </c>
    </row>
    <row r="161" spans="1:11" x14ac:dyDescent="0.25">
      <c r="A161" t="s">
        <v>147</v>
      </c>
      <c r="B161">
        <v>2019</v>
      </c>
      <c r="C161" s="5" t="str">
        <f>'1_Du_lieu'!C187</f>
        <v>TDMNPB</v>
      </c>
      <c r="D161" s="5" t="str">
        <f t="shared" si="4"/>
        <v>2017–2020</v>
      </c>
      <c r="E161" s="8">
        <f>'1_Du_lieu'!E187</f>
        <v>32.700000000000003</v>
      </c>
      <c r="F161" s="9">
        <f>AVERAGE('1_Du_lieu'!$E$131:$E$193)</f>
        <v>40.329629629629643</v>
      </c>
      <c r="G161" s="8">
        <f t="shared" si="5"/>
        <v>81.08182569565615</v>
      </c>
      <c r="H161" s="8">
        <f>'1_Du_lieu'!F187/AVERAGE('1_Du_lieu'!$F$131:$F$193)*100</f>
        <v>84.453912501299001</v>
      </c>
      <c r="I161" s="8">
        <f>'1_Du_lieu'!G187/AVERAGE('1_Du_lieu'!$G$131:$G$193)*100</f>
        <v>69.643508942693771</v>
      </c>
      <c r="J161" s="8">
        <f>'1_Du_lieu'!H187/AVERAGE('1_Du_lieu'!$H$131:$H$193)*100</f>
        <v>96.57954956039984</v>
      </c>
      <c r="K161" s="5">
        <f>'1_Du_lieu'!D187</f>
        <v>0</v>
      </c>
    </row>
    <row r="162" spans="1:11" x14ac:dyDescent="0.25">
      <c r="A162" t="s">
        <v>149</v>
      </c>
      <c r="B162">
        <v>2019</v>
      </c>
      <c r="C162" s="5" t="str">
        <f>'1_Du_lieu'!C189</f>
        <v>BTB&amp;DHMT</v>
      </c>
      <c r="D162" s="5" t="str">
        <f t="shared" si="4"/>
        <v>2017–2020</v>
      </c>
      <c r="E162" s="8">
        <f>'1_Du_lieu'!E189</f>
        <v>57.5</v>
      </c>
      <c r="F162" s="9">
        <f>AVERAGE('1_Du_lieu'!$E$131:$E$193)</f>
        <v>40.329629629629643</v>
      </c>
      <c r="G162" s="8">
        <f t="shared" si="5"/>
        <v>142.57507576453295</v>
      </c>
      <c r="H162" s="8">
        <f>'1_Du_lieu'!F189/AVERAGE('1_Du_lieu'!$F$131:$F$193)*100</f>
        <v>125.69884651356129</v>
      </c>
      <c r="I162" s="8">
        <f>'1_Du_lieu'!G189/AVERAGE('1_Du_lieu'!$G$131:$G$193)*100</f>
        <v>142.35308431682688</v>
      </c>
      <c r="J162" s="8">
        <f>'1_Du_lieu'!H189/AVERAGE('1_Du_lieu'!$H$131:$H$193)*100</f>
        <v>170.39624232205225</v>
      </c>
      <c r="K162" s="5">
        <f>'1_Du_lieu'!D189</f>
        <v>0</v>
      </c>
    </row>
    <row r="163" spans="1:11" x14ac:dyDescent="0.25">
      <c r="A163" t="s">
        <v>150</v>
      </c>
      <c r="B163">
        <v>2019</v>
      </c>
      <c r="C163" s="5" t="str">
        <f>'1_Du_lieu'!C190</f>
        <v>TN</v>
      </c>
      <c r="D163" s="5" t="str">
        <f t="shared" si="4"/>
        <v>2017–2020</v>
      </c>
      <c r="E163" s="8">
        <f>'1_Du_lieu'!E190</f>
        <v>35.6</v>
      </c>
      <c r="F163" s="9">
        <f>AVERAGE('1_Du_lieu'!$E$131:$E$193)</f>
        <v>40.329629629629643</v>
      </c>
      <c r="G163" s="8">
        <f t="shared" si="5"/>
        <v>88.27256864725868</v>
      </c>
      <c r="H163" s="8">
        <f>'1_Du_lieu'!F190/AVERAGE('1_Du_lieu'!$F$131:$F$193)*100</f>
        <v>85.576223630884357</v>
      </c>
      <c r="I163" s="8">
        <f>'1_Du_lieu'!G190/AVERAGE('1_Du_lieu'!$G$131:$G$193)*100</f>
        <v>81.031755688039922</v>
      </c>
      <c r="J163" s="8">
        <f>'1_Du_lieu'!H190/AVERAGE('1_Du_lieu'!$H$131:$H$193)*100</f>
        <v>93.978080211971559</v>
      </c>
      <c r="K163" s="5">
        <f>'1_Du_lieu'!D190</f>
        <v>0</v>
      </c>
    </row>
    <row r="164" spans="1:11" x14ac:dyDescent="0.25">
      <c r="A164" t="s">
        <v>151</v>
      </c>
      <c r="B164">
        <v>2019</v>
      </c>
      <c r="C164" s="5" t="str">
        <f>'1_Du_lieu'!C191</f>
        <v>TN</v>
      </c>
      <c r="D164" s="5" t="str">
        <f t="shared" si="4"/>
        <v>2017–2020</v>
      </c>
      <c r="E164" s="8">
        <f>'1_Du_lieu'!E191</f>
        <v>31.9</v>
      </c>
      <c r="F164" s="9">
        <f>AVERAGE('1_Du_lieu'!$E$131:$E$193)</f>
        <v>40.329629629629643</v>
      </c>
      <c r="G164" s="8">
        <f t="shared" si="5"/>
        <v>79.098172467627847</v>
      </c>
      <c r="H164" s="8">
        <f>'1_Du_lieu'!F191/AVERAGE('1_Du_lieu'!$F$131:$F$193)*100</f>
        <v>73.791956770237988</v>
      </c>
      <c r="I164" s="8">
        <f>'1_Du_lieu'!G191/AVERAGE('1_Du_lieu'!$G$131:$G$193)*100</f>
        <v>86.944883805815806</v>
      </c>
      <c r="J164" s="8">
        <f>'1_Du_lieu'!H191/AVERAGE('1_Du_lieu'!$H$131:$H$193)*100</f>
        <v>64.386366373599884</v>
      </c>
      <c r="K164" s="5">
        <f>'1_Du_lieu'!D191</f>
        <v>0</v>
      </c>
    </row>
    <row r="165" spans="1:11" x14ac:dyDescent="0.25">
      <c r="A165" t="s">
        <v>152</v>
      </c>
      <c r="B165">
        <v>2019</v>
      </c>
      <c r="C165" s="5" t="str">
        <f>'1_Du_lieu'!C192</f>
        <v>ĐNB</v>
      </c>
      <c r="D165" s="5" t="str">
        <f t="shared" si="4"/>
        <v>2017–2020</v>
      </c>
      <c r="E165" s="8">
        <f>'1_Du_lieu'!E192</f>
        <v>51.7</v>
      </c>
      <c r="F165" s="9">
        <f>AVERAGE('1_Du_lieu'!$E$131:$E$193)</f>
        <v>40.329629629629643</v>
      </c>
      <c r="G165" s="8">
        <f t="shared" si="5"/>
        <v>128.19358986132792</v>
      </c>
      <c r="H165" s="8">
        <f>'1_Du_lieu'!F192/AVERAGE('1_Du_lieu'!$F$131:$F$193)*100</f>
        <v>116.439779694482</v>
      </c>
      <c r="I165" s="8">
        <f>'1_Du_lieu'!G192/AVERAGE('1_Du_lieu'!$G$131:$G$193)*100</f>
        <v>137.75398466966786</v>
      </c>
      <c r="J165" s="8">
        <f>'1_Du_lieu'!H192/AVERAGE('1_Du_lieu'!$H$131:$H$193)*100</f>
        <v>131.04901842707451</v>
      </c>
      <c r="K165" s="5">
        <f>'1_Du_lieu'!D192</f>
        <v>1</v>
      </c>
    </row>
    <row r="166" spans="1:11" x14ac:dyDescent="0.25">
      <c r="A166" t="s">
        <v>153</v>
      </c>
      <c r="B166">
        <v>2019</v>
      </c>
      <c r="C166" s="5" t="str">
        <f>'1_Du_lieu'!C193</f>
        <v>ĐBSCL</v>
      </c>
      <c r="D166" s="5" t="str">
        <f t="shared" si="4"/>
        <v>2017–2020</v>
      </c>
      <c r="E166" s="8">
        <f>'1_Du_lieu'!E193</f>
        <v>34.9</v>
      </c>
      <c r="F166" s="9">
        <f>AVERAGE('1_Du_lieu'!$E$131:$E$193)</f>
        <v>40.329629629629643</v>
      </c>
      <c r="G166" s="8">
        <f t="shared" si="5"/>
        <v>86.536872072733914</v>
      </c>
      <c r="H166" s="8">
        <f>'1_Du_lieu'!F193/AVERAGE('1_Du_lieu'!$F$131:$F$193)*100</f>
        <v>96.518757144341706</v>
      </c>
      <c r="I166" s="8">
        <f>'1_Du_lieu'!G193/AVERAGE('1_Du_lieu'!$G$131:$G$193)*100</f>
        <v>85.849860080301752</v>
      </c>
      <c r="J166" s="8">
        <f>'1_Du_lieu'!H193/AVERAGE('1_Du_lieu'!$H$131:$H$193)*100</f>
        <v>66.337468384921095</v>
      </c>
      <c r="K166" s="5">
        <f>'1_Du_lieu'!D193</f>
        <v>0</v>
      </c>
    </row>
    <row r="167" spans="1:11" x14ac:dyDescent="0.25">
      <c r="A167" t="s">
        <v>85</v>
      </c>
      <c r="B167">
        <v>2020</v>
      </c>
      <c r="C167" s="5" t="str">
        <f>'1_Du_lieu'!C194</f>
        <v>ĐBSCL</v>
      </c>
      <c r="D167" s="5" t="str">
        <f t="shared" si="4"/>
        <v>2017–2020</v>
      </c>
      <c r="E167" s="8">
        <f>'1_Du_lieu'!E194</f>
        <v>39.200000000000003</v>
      </c>
      <c r="F167" s="9">
        <f>AVERAGE('1_Du_lieu'!$E$194:$E$256)</f>
        <v>41.616363636363644</v>
      </c>
      <c r="G167" s="8">
        <f t="shared" si="5"/>
        <v>94.193717506225681</v>
      </c>
      <c r="H167" s="8">
        <f>'1_Du_lieu'!F194/AVERAGE('1_Du_lieu'!$F$194:$F$256)*100</f>
        <v>87.40353371242891</v>
      </c>
      <c r="I167" s="8">
        <f>'1_Du_lieu'!G194/AVERAGE('1_Du_lieu'!$G$194:$G$256)*100</f>
        <v>103.39809643671836</v>
      </c>
      <c r="J167" s="8">
        <f>'1_Du_lieu'!H194/AVERAGE('1_Du_lieu'!$H$194:$H$256)*100</f>
        <v>86.644862360316182</v>
      </c>
      <c r="K167" s="5">
        <f>'1_Du_lieu'!D194</f>
        <v>0</v>
      </c>
    </row>
    <row r="168" spans="1:11" x14ac:dyDescent="0.25">
      <c r="A168" t="s">
        <v>87</v>
      </c>
      <c r="B168">
        <v>2020</v>
      </c>
      <c r="C168" s="5" t="str">
        <f>'1_Du_lieu'!C195</f>
        <v>ĐNB</v>
      </c>
      <c r="D168" s="5" t="str">
        <f t="shared" si="4"/>
        <v>2017–2020</v>
      </c>
      <c r="E168" s="8">
        <f>'1_Du_lieu'!E195</f>
        <v>48.6</v>
      </c>
      <c r="F168" s="9">
        <f>AVERAGE('1_Du_lieu'!$E$194:$E$256)</f>
        <v>41.616363636363644</v>
      </c>
      <c r="G168" s="8">
        <f t="shared" si="5"/>
        <v>116.78098650006552</v>
      </c>
      <c r="H168" s="8">
        <f>'1_Du_lieu'!F195/AVERAGE('1_Du_lieu'!$F$194:$F$256)*100</f>
        <v>103.59971567831032</v>
      </c>
      <c r="I168" s="8">
        <f>'1_Du_lieu'!G195/AVERAGE('1_Du_lieu'!$G$194:$G$256)*100</f>
        <v>138.2246519310942</v>
      </c>
      <c r="J168" s="8">
        <f>'1_Du_lieu'!H195/AVERAGE('1_Du_lieu'!$H$194:$H$256)*100</f>
        <v>107.63150722267652</v>
      </c>
      <c r="K168" s="5">
        <f>'1_Du_lieu'!D195</f>
        <v>1</v>
      </c>
    </row>
    <row r="169" spans="1:11" x14ac:dyDescent="0.25">
      <c r="A169" t="s">
        <v>89</v>
      </c>
      <c r="B169">
        <v>2020</v>
      </c>
      <c r="C169" s="5" t="str">
        <f>'1_Du_lieu'!C196</f>
        <v>ĐNB</v>
      </c>
      <c r="D169" s="5" t="str">
        <f t="shared" si="4"/>
        <v>2017–2020</v>
      </c>
      <c r="E169" s="8">
        <f>'1_Du_lieu'!E196</f>
        <v>54.9</v>
      </c>
      <c r="F169" s="9">
        <f>AVERAGE('1_Du_lieu'!$E$194:$E$256)</f>
        <v>41.616363636363644</v>
      </c>
      <c r="G169" s="8">
        <f t="shared" si="5"/>
        <v>131.91926252785177</v>
      </c>
      <c r="H169" s="8">
        <f>'1_Du_lieu'!F196/AVERAGE('1_Du_lieu'!$F$194:$F$256)*100</f>
        <v>115.60722989439481</v>
      </c>
      <c r="I169" s="8">
        <f>'1_Du_lieu'!G196/AVERAGE('1_Du_lieu'!$G$194:$G$256)*100</f>
        <v>164.61496106347838</v>
      </c>
      <c r="J169" s="8">
        <f>'1_Du_lieu'!H196/AVERAGE('1_Du_lieu'!$H$194:$H$256)*100</f>
        <v>116.02616516762066</v>
      </c>
      <c r="K169" s="5">
        <f>'1_Du_lieu'!D196</f>
        <v>1</v>
      </c>
    </row>
    <row r="170" spans="1:11" x14ac:dyDescent="0.25">
      <c r="A170" t="s">
        <v>90</v>
      </c>
      <c r="B170">
        <v>2020</v>
      </c>
      <c r="C170" s="5" t="str">
        <f>'1_Du_lieu'!C197</f>
        <v>ĐNB</v>
      </c>
      <c r="D170" s="5" t="str">
        <f t="shared" si="4"/>
        <v>2017–2020</v>
      </c>
      <c r="E170" s="8">
        <f>'1_Du_lieu'!E197</f>
        <v>29.8</v>
      </c>
      <c r="F170" s="9">
        <f>AVERAGE('1_Du_lieu'!$E$194:$E$256)</f>
        <v>41.616363636363644</v>
      </c>
      <c r="G170" s="8">
        <f t="shared" si="5"/>
        <v>71.606448512385839</v>
      </c>
      <c r="H170" s="8">
        <f>'1_Du_lieu'!F197/AVERAGE('1_Du_lieu'!$F$194:$F$256)*100</f>
        <v>72.32432981316002</v>
      </c>
      <c r="I170" s="8">
        <f>'1_Du_lieu'!G197/AVERAGE('1_Du_lieu'!$G$194:$G$256)*100</f>
        <v>68.138912923778832</v>
      </c>
      <c r="J170" s="8">
        <f>'1_Du_lieu'!H197/AVERAGE('1_Du_lieu'!$H$194:$H$256)*100</f>
        <v>58.162987189970025</v>
      </c>
      <c r="K170" s="5">
        <f>'1_Du_lieu'!D197</f>
        <v>1</v>
      </c>
    </row>
    <row r="171" spans="1:11" x14ac:dyDescent="0.25">
      <c r="A171" t="s">
        <v>91</v>
      </c>
      <c r="B171">
        <v>2020</v>
      </c>
      <c r="C171" s="5" t="str">
        <f>'1_Du_lieu'!C198</f>
        <v>BTB&amp;DHMT</v>
      </c>
      <c r="D171" s="5" t="str">
        <f t="shared" si="4"/>
        <v>2017–2020</v>
      </c>
      <c r="E171" s="8">
        <f>'1_Du_lieu'!E198</f>
        <v>37</v>
      </c>
      <c r="F171" s="9">
        <f>AVERAGE('1_Du_lieu'!$E$194:$E$256)</f>
        <v>41.616363636363644</v>
      </c>
      <c r="G171" s="8">
        <f t="shared" si="5"/>
        <v>88.907335401284442</v>
      </c>
      <c r="H171" s="8">
        <f>'1_Du_lieu'!F198/AVERAGE('1_Du_lieu'!$F$194:$F$256)*100</f>
        <v>93.826157595450852</v>
      </c>
      <c r="I171" s="8">
        <f>'1_Du_lieu'!G198/AVERAGE('1_Du_lieu'!$G$194:$G$256)*100</f>
        <v>94.961850074726684</v>
      </c>
      <c r="J171" s="8">
        <f>'1_Du_lieu'!H198/AVERAGE('1_Du_lieu'!$H$194:$H$256)*100</f>
        <v>72.553829381302819</v>
      </c>
      <c r="K171" s="5">
        <f>'1_Du_lieu'!D198</f>
        <v>0</v>
      </c>
    </row>
    <row r="172" spans="1:11" x14ac:dyDescent="0.25">
      <c r="A172" t="s">
        <v>93</v>
      </c>
      <c r="B172">
        <v>2020</v>
      </c>
      <c r="C172" s="5" t="str">
        <f>'1_Du_lieu'!C199</f>
        <v>BTB&amp;DHMT</v>
      </c>
      <c r="D172" s="5" t="str">
        <f t="shared" si="4"/>
        <v>2017–2020</v>
      </c>
      <c r="E172" s="8">
        <f>'1_Du_lieu'!E199</f>
        <v>42.4</v>
      </c>
      <c r="F172" s="9">
        <f>AVERAGE('1_Du_lieu'!$E$194:$E$256)</f>
        <v>41.616363636363644</v>
      </c>
      <c r="G172" s="8">
        <f t="shared" si="5"/>
        <v>101.88300056795838</v>
      </c>
      <c r="H172" s="8">
        <f>'1_Du_lieu'!F199/AVERAGE('1_Du_lieu'!$F$194:$F$256)*100</f>
        <v>97.735580828594635</v>
      </c>
      <c r="I172" s="8">
        <f>'1_Du_lieu'!G199/AVERAGE('1_Du_lieu'!$G$194:$G$256)*100</f>
        <v>95.610792102572205</v>
      </c>
      <c r="J172" s="8">
        <f>'1_Du_lieu'!H199/AVERAGE('1_Du_lieu'!$H$194:$H$256)*100</f>
        <v>107.93131643499594</v>
      </c>
      <c r="K172" s="5">
        <f>'1_Du_lieu'!D199</f>
        <v>0</v>
      </c>
    </row>
    <row r="173" spans="1:11" x14ac:dyDescent="0.25">
      <c r="A173" t="s">
        <v>95</v>
      </c>
      <c r="B173">
        <v>2020</v>
      </c>
      <c r="C173" s="5" t="str">
        <f>'1_Du_lieu'!C201</f>
        <v>TDMNPB</v>
      </c>
      <c r="D173" s="5" t="str">
        <f t="shared" si="4"/>
        <v>2017–2020</v>
      </c>
      <c r="E173" s="8">
        <f>'1_Du_lieu'!E201</f>
        <v>43.8</v>
      </c>
      <c r="F173" s="9">
        <f>AVERAGE('1_Du_lieu'!$E$194:$E$256)</f>
        <v>41.616363636363644</v>
      </c>
      <c r="G173" s="8">
        <f t="shared" si="5"/>
        <v>105.24706190746645</v>
      </c>
      <c r="H173" s="8">
        <f>'1_Du_lieu'!F201/AVERAGE('1_Du_lieu'!$F$194:$F$256)*100</f>
        <v>103.59971567831032</v>
      </c>
      <c r="I173" s="8">
        <f>'1_Du_lieu'!G201/AVERAGE('1_Du_lieu'!$G$194:$G$256)*100</f>
        <v>101.66758436246366</v>
      </c>
      <c r="J173" s="8">
        <f>'1_Du_lieu'!H201/AVERAGE('1_Du_lieu'!$H$194:$H$256)*100</f>
        <v>113.62769146906517</v>
      </c>
      <c r="K173" s="5">
        <f>'1_Du_lieu'!D201</f>
        <v>0</v>
      </c>
    </row>
    <row r="174" spans="1:11" x14ac:dyDescent="0.25">
      <c r="A174" t="s">
        <v>97</v>
      </c>
      <c r="B174">
        <v>2020</v>
      </c>
      <c r="C174" s="5" t="str">
        <f>'1_Du_lieu'!C202</f>
        <v>TDMNPB</v>
      </c>
      <c r="D174" s="5" t="str">
        <f t="shared" si="4"/>
        <v>2017–2020</v>
      </c>
      <c r="E174" s="8">
        <f>'1_Du_lieu'!E202</f>
        <v>27.9</v>
      </c>
      <c r="F174" s="9">
        <f>AVERAGE('1_Du_lieu'!$E$194:$E$256)</f>
        <v>41.616363636363644</v>
      </c>
      <c r="G174" s="8">
        <f t="shared" si="5"/>
        <v>67.040936694482042</v>
      </c>
      <c r="H174" s="8">
        <f>'1_Du_lieu'!F202/AVERAGE('1_Du_lieu'!$F$194:$F$256)*100</f>
        <v>67.01868399675061</v>
      </c>
      <c r="I174" s="8">
        <f>'1_Du_lieu'!G202/AVERAGE('1_Du_lieu'!$G$194:$G$256)*100</f>
        <v>56.025328403995921</v>
      </c>
      <c r="J174" s="8">
        <f>'1_Du_lieu'!H202/AVERAGE('1_Du_lieu'!$H$194:$H$256)*100</f>
        <v>63.559553011719828</v>
      </c>
      <c r="K174" s="5">
        <f>'1_Du_lieu'!D202</f>
        <v>0</v>
      </c>
    </row>
    <row r="175" spans="1:11" x14ac:dyDescent="0.25">
      <c r="A175" t="s">
        <v>98</v>
      </c>
      <c r="B175">
        <v>2020</v>
      </c>
      <c r="C175" s="5" t="str">
        <f>'1_Du_lieu'!C203</f>
        <v>ĐBSH</v>
      </c>
      <c r="D175" s="5" t="str">
        <f t="shared" si="4"/>
        <v>2017–2020</v>
      </c>
      <c r="E175" s="8">
        <f>'1_Du_lieu'!E203</f>
        <v>53.1</v>
      </c>
      <c r="F175" s="9">
        <f>AVERAGE('1_Du_lieu'!$E$194:$E$256)</f>
        <v>41.616363636363644</v>
      </c>
      <c r="G175" s="8">
        <f t="shared" si="5"/>
        <v>127.59404080562713</v>
      </c>
      <c r="H175" s="8">
        <f>'1_Du_lieu'!F203/AVERAGE('1_Du_lieu'!$F$194:$F$256)*100</f>
        <v>118.39967506092606</v>
      </c>
      <c r="I175" s="8">
        <f>'1_Du_lieu'!G203/AVERAGE('1_Du_lieu'!$G$194:$G$256)*100</f>
        <v>149.90560843231341</v>
      </c>
      <c r="J175" s="8">
        <f>'1_Du_lieu'!H203/AVERAGE('1_Du_lieu'!$H$194:$H$256)*100</f>
        <v>109.13055328427367</v>
      </c>
      <c r="K175" s="5">
        <f>'1_Du_lieu'!D203</f>
        <v>1</v>
      </c>
    </row>
    <row r="176" spans="1:11" x14ac:dyDescent="0.25">
      <c r="A176" t="s">
        <v>100</v>
      </c>
      <c r="B176">
        <v>2020</v>
      </c>
      <c r="C176" s="5" t="str">
        <f>'1_Du_lieu'!C204</f>
        <v>ĐBSCL</v>
      </c>
      <c r="D176" s="5" t="str">
        <f t="shared" si="4"/>
        <v>2017–2020</v>
      </c>
      <c r="E176" s="8">
        <f>'1_Du_lieu'!E204</f>
        <v>43.6</v>
      </c>
      <c r="F176" s="9">
        <f>AVERAGE('1_Du_lieu'!$E$194:$E$256)</f>
        <v>41.616363636363644</v>
      </c>
      <c r="G176" s="8">
        <f t="shared" si="5"/>
        <v>104.76648171610816</v>
      </c>
      <c r="H176" s="8">
        <f>'1_Du_lieu'!F204/AVERAGE('1_Du_lieu'!$F$194:$F$256)*100</f>
        <v>98.294069861900908</v>
      </c>
      <c r="I176" s="8">
        <f>'1_Du_lieu'!G204/AVERAGE('1_Du_lieu'!$G$194:$G$256)*100</f>
        <v>93.231338000471993</v>
      </c>
      <c r="J176" s="8">
        <f>'1_Du_lieu'!H204/AVERAGE('1_Du_lieu'!$H$194:$H$256)*100</f>
        <v>125.91986917416193</v>
      </c>
      <c r="K176" s="5">
        <f>'1_Du_lieu'!D204</f>
        <v>0</v>
      </c>
    </row>
    <row r="177" spans="1:11" x14ac:dyDescent="0.25">
      <c r="A177" t="s">
        <v>102</v>
      </c>
      <c r="B177">
        <v>2020</v>
      </c>
      <c r="C177" s="5" t="str">
        <f>'1_Du_lieu'!C206</f>
        <v>ĐBSCL</v>
      </c>
      <c r="D177" s="5" t="str">
        <f t="shared" si="4"/>
        <v>2017–2020</v>
      </c>
      <c r="E177" s="8">
        <f>'1_Du_lieu'!E206</f>
        <v>28.5</v>
      </c>
      <c r="F177" s="9">
        <f>AVERAGE('1_Du_lieu'!$E$194:$E$256)</f>
        <v>41.616363636363644</v>
      </c>
      <c r="G177" s="8">
        <f t="shared" si="5"/>
        <v>68.482677268556941</v>
      </c>
      <c r="H177" s="8">
        <f>'1_Du_lieu'!F206/AVERAGE('1_Du_lieu'!$F$194:$F$256)*100</f>
        <v>67.01868399675061</v>
      </c>
      <c r="I177" s="8">
        <f>'1_Du_lieu'!G206/AVERAGE('1_Du_lieu'!$G$194:$G$256)*100</f>
        <v>56.025328403995921</v>
      </c>
      <c r="J177" s="8">
        <f>'1_Du_lieu'!H206/AVERAGE('1_Du_lieu'!$H$194:$H$256)*100</f>
        <v>68.956118833469631</v>
      </c>
      <c r="K177" s="5">
        <f>'1_Du_lieu'!D206</f>
        <v>0</v>
      </c>
    </row>
    <row r="178" spans="1:11" x14ac:dyDescent="0.25">
      <c r="A178" t="s">
        <v>103</v>
      </c>
      <c r="B178">
        <v>2020</v>
      </c>
      <c r="C178" s="5" t="str">
        <f>'1_Du_lieu'!C207</f>
        <v>ĐBSCL</v>
      </c>
      <c r="D178" s="5" t="str">
        <f t="shared" si="4"/>
        <v>2017–2020</v>
      </c>
      <c r="E178" s="8">
        <f>'1_Du_lieu'!E207</f>
        <v>48.8</v>
      </c>
      <c r="F178" s="9">
        <f>AVERAGE('1_Du_lieu'!$E$194:$E$256)</f>
        <v>41.616363636363644</v>
      </c>
      <c r="G178" s="8">
        <f t="shared" si="5"/>
        <v>117.26156669142381</v>
      </c>
      <c r="H178" s="8">
        <f>'1_Du_lieu'!F207/AVERAGE('1_Du_lieu'!$F$194:$F$256)*100</f>
        <v>112.53554021121039</v>
      </c>
      <c r="I178" s="8">
        <f>'1_Du_lieu'!G207/AVERAGE('1_Du_lieu'!$G$194:$G$256)*100</f>
        <v>117.02587902147413</v>
      </c>
      <c r="J178" s="8">
        <f>'1_Du_lieu'!H207/AVERAGE('1_Du_lieu'!$H$194:$H$256)*100</f>
        <v>122.92177705096761</v>
      </c>
      <c r="K178" s="5">
        <f>'1_Du_lieu'!D207</f>
        <v>0</v>
      </c>
    </row>
    <row r="179" spans="1:11" x14ac:dyDescent="0.25">
      <c r="A179" t="s">
        <v>104</v>
      </c>
      <c r="B179">
        <v>2020</v>
      </c>
      <c r="C179" s="5" t="str">
        <f>'1_Du_lieu'!C208</f>
        <v>TN</v>
      </c>
      <c r="D179" s="5" t="str">
        <f t="shared" si="4"/>
        <v>2017–2020</v>
      </c>
      <c r="E179" s="8">
        <f>'1_Du_lieu'!E208</f>
        <v>32.299999999999997</v>
      </c>
      <c r="F179" s="9">
        <f>AVERAGE('1_Du_lieu'!$E$194:$E$256)</f>
        <v>41.616363636363644</v>
      </c>
      <c r="G179" s="8">
        <f t="shared" si="5"/>
        <v>77.613700904364521</v>
      </c>
      <c r="H179" s="8">
        <f>'1_Du_lieu'!F208/AVERAGE('1_Du_lieu'!$F$194:$F$256)*100</f>
        <v>61.713038180341186</v>
      </c>
      <c r="I179" s="8">
        <f>'1_Du_lieu'!G208/AVERAGE('1_Du_lieu'!$G$194:$G$256)*100</f>
        <v>85.444033666325836</v>
      </c>
      <c r="J179" s="8">
        <f>'1_Du_lieu'!H208/AVERAGE('1_Du_lieu'!$H$194:$H$256)*100</f>
        <v>63.859362224039273</v>
      </c>
      <c r="K179" s="5">
        <f>'1_Du_lieu'!D208</f>
        <v>0</v>
      </c>
    </row>
    <row r="180" spans="1:11" x14ac:dyDescent="0.25">
      <c r="A180" t="s">
        <v>107</v>
      </c>
      <c r="B180">
        <v>2020</v>
      </c>
      <c r="C180" s="5" t="str">
        <f>'1_Du_lieu'!C210</f>
        <v>ĐBSH</v>
      </c>
      <c r="D180" s="5" t="str">
        <f t="shared" si="4"/>
        <v>2017–2020</v>
      </c>
      <c r="E180" s="8">
        <f>'1_Du_lieu'!E210</f>
        <v>42</v>
      </c>
      <c r="F180" s="9">
        <f>AVERAGE('1_Du_lieu'!$E$194:$E$256)</f>
        <v>41.616363636363644</v>
      </c>
      <c r="G180" s="8">
        <f t="shared" si="5"/>
        <v>100.92184018524179</v>
      </c>
      <c r="H180" s="8">
        <f>'1_Du_lieu'!F210/AVERAGE('1_Du_lieu'!$F$194:$F$256)*100</f>
        <v>107.5091389114541</v>
      </c>
      <c r="I180" s="8">
        <f>'1_Du_lieu'!G210/AVERAGE('1_Du_lieu'!$G$194:$G$256)*100</f>
        <v>100.58601431605447</v>
      </c>
      <c r="J180" s="8">
        <f>'1_Du_lieu'!H210/AVERAGE('1_Du_lieu'!$H$194:$H$256)*100</f>
        <v>115.42654674298178</v>
      </c>
      <c r="K180" s="5">
        <f>'1_Du_lieu'!D210</f>
        <v>1</v>
      </c>
    </row>
    <row r="181" spans="1:11" x14ac:dyDescent="0.25">
      <c r="A181" t="s">
        <v>108</v>
      </c>
      <c r="B181">
        <v>2020</v>
      </c>
      <c r="C181" s="5" t="str">
        <f>'1_Du_lieu'!C211</f>
        <v>ĐBSH</v>
      </c>
      <c r="D181" s="5" t="str">
        <f t="shared" si="4"/>
        <v>2017–2020</v>
      </c>
      <c r="E181" s="8">
        <f>'1_Du_lieu'!E211</f>
        <v>85.7</v>
      </c>
      <c r="F181" s="9">
        <f>AVERAGE('1_Du_lieu'!$E$194:$E$256)</f>
        <v>41.616363636363644</v>
      </c>
      <c r="G181" s="8">
        <f t="shared" si="5"/>
        <v>205.92861199702912</v>
      </c>
      <c r="H181" s="8">
        <f>'1_Du_lieu'!F211/AVERAGE('1_Du_lieu'!$F$194:$F$256)*100</f>
        <v>249.36535337124286</v>
      </c>
      <c r="I181" s="8">
        <f>'1_Du_lieu'!G211/AVERAGE('1_Du_lieu'!$G$194:$G$256)*100</f>
        <v>189.27475812160787</v>
      </c>
      <c r="J181" s="8">
        <f>'1_Du_lieu'!H211/AVERAGE('1_Du_lieu'!$H$194:$H$256)*100</f>
        <v>251.24011992368497</v>
      </c>
      <c r="K181" s="5">
        <f>'1_Du_lieu'!D211</f>
        <v>1</v>
      </c>
    </row>
    <row r="182" spans="1:11" x14ac:dyDescent="0.25">
      <c r="A182" t="s">
        <v>109</v>
      </c>
      <c r="B182">
        <v>2020</v>
      </c>
      <c r="C182" s="5" t="str">
        <f>'1_Du_lieu'!C212</f>
        <v>BTB&amp;DHMT</v>
      </c>
      <c r="D182" s="5" t="str">
        <f t="shared" si="4"/>
        <v>2017–2020</v>
      </c>
      <c r="E182" s="8">
        <f>'1_Du_lieu'!E212</f>
        <v>36.200000000000003</v>
      </c>
      <c r="F182" s="9">
        <f>AVERAGE('1_Du_lieu'!$E$194:$E$256)</f>
        <v>41.616363636363644</v>
      </c>
      <c r="G182" s="8">
        <f t="shared" si="5"/>
        <v>86.985014635851272</v>
      </c>
      <c r="H182" s="8">
        <f>'1_Du_lieu'!F212/AVERAGE('1_Du_lieu'!$F$194:$F$256)*100</f>
        <v>96.060113728675873</v>
      </c>
      <c r="I182" s="8">
        <f>'1_Du_lieu'!G212/AVERAGE('1_Du_lieu'!$G$194:$G$256)*100</f>
        <v>78.089357350743356</v>
      </c>
      <c r="J182" s="8">
        <f>'1_Du_lieu'!H212/AVERAGE('1_Du_lieu'!$H$194:$H$256)*100</f>
        <v>91.741618969746554</v>
      </c>
      <c r="K182" s="5">
        <f>'1_Du_lieu'!D212</f>
        <v>0</v>
      </c>
    </row>
    <row r="183" spans="1:11" x14ac:dyDescent="0.25">
      <c r="A183" t="s">
        <v>110</v>
      </c>
      <c r="B183">
        <v>2020</v>
      </c>
      <c r="C183" s="5" t="str">
        <f>'1_Du_lieu'!C213</f>
        <v>TDMNPB</v>
      </c>
      <c r="D183" s="5" t="str">
        <f t="shared" si="4"/>
        <v>2017–2020</v>
      </c>
      <c r="E183" s="8">
        <f>'1_Du_lieu'!E213</f>
        <v>33.4</v>
      </c>
      <c r="F183" s="9">
        <f>AVERAGE('1_Du_lieu'!$E$194:$E$256)</f>
        <v>41.616363636363644</v>
      </c>
      <c r="G183" s="8">
        <f t="shared" si="5"/>
        <v>80.256891956835148</v>
      </c>
      <c r="H183" s="8">
        <f>'1_Du_lieu'!F213/AVERAGE('1_Du_lieu'!$F$194:$F$256)*100</f>
        <v>83.773354995938249</v>
      </c>
      <c r="I183" s="8">
        <f>'1_Du_lieu'!G213/AVERAGE('1_Du_lieu'!$G$194:$G$256)*100</f>
        <v>76.575159285770496</v>
      </c>
      <c r="J183" s="8">
        <f>'1_Du_lieu'!H213/AVERAGE('1_Du_lieu'!$H$194:$H$256)*100</f>
        <v>69.855546470427925</v>
      </c>
      <c r="K183" s="5">
        <f>'1_Du_lieu'!D213</f>
        <v>0</v>
      </c>
    </row>
    <row r="184" spans="1:11" x14ac:dyDescent="0.25">
      <c r="A184" t="s">
        <v>111</v>
      </c>
      <c r="B184">
        <v>2020</v>
      </c>
      <c r="C184" s="5" t="str">
        <f>'1_Du_lieu'!C214</f>
        <v>ĐBSH</v>
      </c>
      <c r="D184" s="5" t="str">
        <f t="shared" si="4"/>
        <v>2017–2020</v>
      </c>
      <c r="E184" s="8">
        <f>'1_Du_lieu'!E214</f>
        <v>42.4</v>
      </c>
      <c r="F184" s="9">
        <f>AVERAGE('1_Du_lieu'!$E$194:$E$256)</f>
        <v>41.616363636363644</v>
      </c>
      <c r="G184" s="8">
        <f t="shared" si="5"/>
        <v>101.88300056795838</v>
      </c>
      <c r="H184" s="8">
        <f>'1_Du_lieu'!F214/AVERAGE('1_Du_lieu'!$F$194:$F$256)*100</f>
        <v>95.222380178716492</v>
      </c>
      <c r="I184" s="8">
        <f>'1_Du_lieu'!G214/AVERAGE('1_Du_lieu'!$G$194:$G$256)*100</f>
        <v>91.284511916935458</v>
      </c>
      <c r="J184" s="8">
        <f>'1_Du_lieu'!H214/AVERAGE('1_Du_lieu'!$H$194:$H$256)*100</f>
        <v>119.92368492777328</v>
      </c>
      <c r="K184" s="5">
        <f>'1_Du_lieu'!D214</f>
        <v>1</v>
      </c>
    </row>
    <row r="185" spans="1:11" x14ac:dyDescent="0.25">
      <c r="A185" t="s">
        <v>112</v>
      </c>
      <c r="B185">
        <v>2020</v>
      </c>
      <c r="C185" s="5" t="str">
        <f>'1_Du_lieu'!C215</f>
        <v>ĐBSH</v>
      </c>
      <c r="D185" s="5" t="str">
        <f t="shared" si="4"/>
        <v>2017–2020</v>
      </c>
      <c r="E185" s="8">
        <f>'1_Du_lieu'!E215</f>
        <v>47.5</v>
      </c>
      <c r="F185" s="9">
        <f>AVERAGE('1_Du_lieu'!$E$194:$E$256)</f>
        <v>41.616363636363644</v>
      </c>
      <c r="G185" s="8">
        <f t="shared" si="5"/>
        <v>114.1377954475949</v>
      </c>
      <c r="H185" s="8">
        <f>'1_Du_lieu'!F215/AVERAGE('1_Du_lieu'!$F$194:$F$256)*100</f>
        <v>103.87896019496345</v>
      </c>
      <c r="I185" s="8">
        <f>'1_Du_lieu'!G215/AVERAGE('1_Du_lieu'!$G$194:$G$256)*100</f>
        <v>134.54731377330299</v>
      </c>
      <c r="J185" s="8">
        <f>'1_Du_lieu'!H215/AVERAGE('1_Du_lieu'!$H$194:$H$256)*100</f>
        <v>92.341237394385416</v>
      </c>
      <c r="K185" s="5">
        <f>'1_Du_lieu'!D215</f>
        <v>1</v>
      </c>
    </row>
    <row r="186" spans="1:11" x14ac:dyDescent="0.25">
      <c r="A186" t="s">
        <v>113</v>
      </c>
      <c r="B186">
        <v>2020</v>
      </c>
      <c r="C186" s="5" t="str">
        <f>'1_Du_lieu'!C216</f>
        <v>ĐBSH</v>
      </c>
      <c r="D186" s="5" t="str">
        <f t="shared" si="4"/>
        <v>2017–2020</v>
      </c>
      <c r="E186" s="8">
        <f>'1_Du_lieu'!E216</f>
        <v>60.6</v>
      </c>
      <c r="F186" s="9">
        <f>AVERAGE('1_Du_lieu'!$E$194:$E$256)</f>
        <v>41.616363636363644</v>
      </c>
      <c r="G186" s="8">
        <f t="shared" si="5"/>
        <v>145.61579798156316</v>
      </c>
      <c r="H186" s="8">
        <f>'1_Du_lieu'!F216/AVERAGE('1_Du_lieu'!$F$194:$F$256)*100</f>
        <v>127.05625507717302</v>
      </c>
      <c r="I186" s="8">
        <f>'1_Du_lieu'!G216/AVERAGE('1_Du_lieu'!$G$194:$G$256)*100</f>
        <v>160.07236686855978</v>
      </c>
      <c r="J186" s="8">
        <f>'1_Du_lieu'!H216/AVERAGE('1_Du_lieu'!$H$194:$H$256)*100</f>
        <v>153.20250749523038</v>
      </c>
      <c r="K186" s="5">
        <f>'1_Du_lieu'!D216</f>
        <v>1</v>
      </c>
    </row>
    <row r="187" spans="1:11" x14ac:dyDescent="0.25">
      <c r="A187" t="s">
        <v>115</v>
      </c>
      <c r="B187">
        <v>2020</v>
      </c>
      <c r="C187" s="5" t="str">
        <f>'1_Du_lieu'!C218</f>
        <v>BTB&amp;DHMT</v>
      </c>
      <c r="D187" s="5" t="str">
        <f t="shared" si="4"/>
        <v>2017–2020</v>
      </c>
      <c r="E187" s="8">
        <f>'1_Du_lieu'!E218</f>
        <v>43.4</v>
      </c>
      <c r="F187" s="9">
        <f>AVERAGE('1_Du_lieu'!$E$194:$E$256)</f>
        <v>41.616363636363644</v>
      </c>
      <c r="G187" s="8">
        <f t="shared" si="5"/>
        <v>104.28590152474986</v>
      </c>
      <c r="H187" s="8">
        <f>'1_Du_lieu'!F218/AVERAGE('1_Du_lieu'!$F$194:$F$256)*100</f>
        <v>106.67140536149473</v>
      </c>
      <c r="I187" s="8">
        <f>'1_Du_lieu'!G218/AVERAGE('1_Du_lieu'!$G$194:$G$256)*100</f>
        <v>115.51168095650127</v>
      </c>
      <c r="J187" s="8">
        <f>'1_Du_lieu'!H218/AVERAGE('1_Du_lieu'!$H$194:$H$256)*100</f>
        <v>103.73398746252388</v>
      </c>
      <c r="K187" s="5">
        <f>'1_Du_lieu'!D218</f>
        <v>0</v>
      </c>
    </row>
    <row r="188" spans="1:11" x14ac:dyDescent="0.25">
      <c r="A188" t="s">
        <v>116</v>
      </c>
      <c r="B188">
        <v>2020</v>
      </c>
      <c r="C188" s="5" t="str">
        <f>'1_Du_lieu'!C219</f>
        <v>ĐBSCL</v>
      </c>
      <c r="D188" s="5" t="str">
        <f t="shared" si="4"/>
        <v>2017–2020</v>
      </c>
      <c r="E188" s="8">
        <f>'1_Du_lieu'!E219</f>
        <v>38</v>
      </c>
      <c r="F188" s="9">
        <f>AVERAGE('1_Du_lieu'!$E$194:$E$256)</f>
        <v>41.616363636363644</v>
      </c>
      <c r="G188" s="8">
        <f t="shared" si="5"/>
        <v>91.310236358075912</v>
      </c>
      <c r="H188" s="8">
        <f>'1_Du_lieu'!F219/AVERAGE('1_Du_lieu'!$F$194:$F$256)*100</f>
        <v>88.79975629569455</v>
      </c>
      <c r="I188" s="8">
        <f>'1_Du_lieu'!G219/AVERAGE('1_Du_lieu'!$G$194:$G$256)*100</f>
        <v>107.72437662235509</v>
      </c>
      <c r="J188" s="8">
        <f>'1_Du_lieu'!H219/AVERAGE('1_Du_lieu'!$H$194:$H$256)*100</f>
        <v>75.851730716816604</v>
      </c>
      <c r="K188" s="5">
        <f>'1_Du_lieu'!D219</f>
        <v>0</v>
      </c>
    </row>
    <row r="189" spans="1:11" x14ac:dyDescent="0.25">
      <c r="A189" t="s">
        <v>117</v>
      </c>
      <c r="B189">
        <v>2020</v>
      </c>
      <c r="C189" s="5" t="str">
        <f>'1_Du_lieu'!C220</f>
        <v>TN</v>
      </c>
      <c r="D189" s="5" t="str">
        <f t="shared" si="4"/>
        <v>2017–2020</v>
      </c>
      <c r="E189" s="8">
        <f>'1_Du_lieu'!E220</f>
        <v>31.1</v>
      </c>
      <c r="F189" s="9">
        <f>AVERAGE('1_Du_lieu'!$E$194:$E$256)</f>
        <v>41.616363636363644</v>
      </c>
      <c r="G189" s="8">
        <f t="shared" si="5"/>
        <v>74.730219756214765</v>
      </c>
      <c r="H189" s="8">
        <f>'1_Du_lieu'!F220/AVERAGE('1_Du_lieu'!$F$194:$F$256)*100</f>
        <v>77.629975629569458</v>
      </c>
      <c r="I189" s="8">
        <f>'1_Du_lieu'!G220/AVERAGE('1_Du_lieu'!$G$194:$G$256)*100</f>
        <v>68.355226933060678</v>
      </c>
      <c r="J189" s="8">
        <f>'1_Du_lieu'!H220/AVERAGE('1_Du_lieu'!$H$194:$H$256)*100</f>
        <v>67.15726355955303</v>
      </c>
      <c r="K189" s="5">
        <f>'1_Du_lieu'!D220</f>
        <v>0</v>
      </c>
    </row>
    <row r="190" spans="1:11" x14ac:dyDescent="0.25">
      <c r="A190" t="s">
        <v>119</v>
      </c>
      <c r="B190">
        <v>2020</v>
      </c>
      <c r="C190" s="5" t="str">
        <f>'1_Du_lieu'!C222</f>
        <v>ĐBSCL</v>
      </c>
      <c r="D190" s="5" t="str">
        <f t="shared" si="4"/>
        <v>2017–2020</v>
      </c>
      <c r="E190" s="8">
        <f>'1_Du_lieu'!E222</f>
        <v>43</v>
      </c>
      <c r="F190" s="9">
        <f>AVERAGE('1_Du_lieu'!$E$194:$E$256)</f>
        <v>41.616363636363644</v>
      </c>
      <c r="G190" s="8">
        <f t="shared" si="5"/>
        <v>103.32474114203328</v>
      </c>
      <c r="H190" s="8">
        <f>'1_Du_lieu'!F222/AVERAGE('1_Du_lieu'!$F$194:$F$256)*100</f>
        <v>84.052599512591385</v>
      </c>
      <c r="I190" s="8">
        <f>'1_Du_lieu'!G222/AVERAGE('1_Du_lieu'!$G$194:$G$256)*100</f>
        <v>95.178164084008529</v>
      </c>
      <c r="J190" s="8">
        <f>'1_Du_lieu'!H222/AVERAGE('1_Du_lieu'!$H$194:$H$256)*100</f>
        <v>131.31643499591172</v>
      </c>
      <c r="K190" s="5">
        <f>'1_Du_lieu'!D222</f>
        <v>0</v>
      </c>
    </row>
    <row r="191" spans="1:11" x14ac:dyDescent="0.25">
      <c r="A191" t="s">
        <v>120</v>
      </c>
      <c r="B191">
        <v>2020</v>
      </c>
      <c r="C191" s="5" t="str">
        <f>'1_Du_lieu'!C223</f>
        <v>TDMNPB</v>
      </c>
      <c r="D191" s="5" t="str">
        <f t="shared" si="4"/>
        <v>2017–2020</v>
      </c>
      <c r="E191" s="8">
        <f>'1_Du_lieu'!E223</f>
        <v>36.1</v>
      </c>
      <c r="F191" s="9">
        <f>AVERAGE('1_Du_lieu'!$E$194:$E$256)</f>
        <v>41.616363636363644</v>
      </c>
      <c r="G191" s="8">
        <f t="shared" si="5"/>
        <v>86.744724540172129</v>
      </c>
      <c r="H191" s="8">
        <f>'1_Du_lieu'!F223/AVERAGE('1_Du_lieu'!$F$194:$F$256)*100</f>
        <v>109.463850528026</v>
      </c>
      <c r="I191" s="8">
        <f>'1_Du_lieu'!G223/AVERAGE('1_Du_lieu'!$G$194:$G$256)*100</f>
        <v>73.114135137261087</v>
      </c>
      <c r="J191" s="8">
        <f>'1_Du_lieu'!H223/AVERAGE('1_Du_lieu'!$H$194:$H$256)*100</f>
        <v>80.948487326246948</v>
      </c>
      <c r="K191" s="5">
        <f>'1_Du_lieu'!D223</f>
        <v>0</v>
      </c>
    </row>
    <row r="192" spans="1:11" x14ac:dyDescent="0.25">
      <c r="A192" t="s">
        <v>121</v>
      </c>
      <c r="B192">
        <v>2020</v>
      </c>
      <c r="C192" s="5" t="str">
        <f>'1_Du_lieu'!C224</f>
        <v>TN</v>
      </c>
      <c r="D192" s="5" t="str">
        <f t="shared" si="4"/>
        <v>2017–2020</v>
      </c>
      <c r="E192" s="8">
        <f>'1_Du_lieu'!E224</f>
        <v>41.1</v>
      </c>
      <c r="F192" s="9">
        <f>AVERAGE('1_Du_lieu'!$E$194:$E$256)</f>
        <v>41.616363636363644</v>
      </c>
      <c r="G192" s="8">
        <f t="shared" si="5"/>
        <v>98.759229324129478</v>
      </c>
      <c r="H192" s="8">
        <f>'1_Du_lieu'!F224/AVERAGE('1_Du_lieu'!$F$194:$F$256)*100</f>
        <v>93.546913078797729</v>
      </c>
      <c r="I192" s="8">
        <f>'1_Du_lieu'!G224/AVERAGE('1_Du_lieu'!$G$194:$G$256)*100</f>
        <v>106.85912058522776</v>
      </c>
      <c r="J192" s="8">
        <f>'1_Du_lieu'!H224/AVERAGE('1_Du_lieu'!$H$194:$H$256)*100</f>
        <v>90.842191332788261</v>
      </c>
      <c r="K192" s="5">
        <f>'1_Du_lieu'!D224</f>
        <v>0</v>
      </c>
    </row>
    <row r="193" spans="1:11" x14ac:dyDescent="0.25">
      <c r="A193" t="s">
        <v>122</v>
      </c>
      <c r="B193">
        <v>2020</v>
      </c>
      <c r="C193" s="5" t="str">
        <f>'1_Du_lieu'!C225</f>
        <v>TDMNPB</v>
      </c>
      <c r="D193" s="5" t="str">
        <f t="shared" si="4"/>
        <v>2017–2020</v>
      </c>
      <c r="E193" s="8">
        <f>'1_Du_lieu'!E225</f>
        <v>29.3</v>
      </c>
      <c r="F193" s="9">
        <f>AVERAGE('1_Du_lieu'!$E$194:$E$256)</f>
        <v>41.616363636363644</v>
      </c>
      <c r="G193" s="8">
        <f t="shared" si="5"/>
        <v>70.404998033990125</v>
      </c>
      <c r="H193" s="8">
        <f>'1_Du_lieu'!F225/AVERAGE('1_Du_lieu'!$F$194:$F$256)*100</f>
        <v>71.765840779853775</v>
      </c>
      <c r="I193" s="8">
        <f>'1_Du_lieu'!G225/AVERAGE('1_Du_lieu'!$G$194:$G$256)*100</f>
        <v>59.918980571069</v>
      </c>
      <c r="J193" s="8">
        <f>'1_Du_lieu'!H225/AVERAGE('1_Du_lieu'!$H$194:$H$256)*100</f>
        <v>74.35268465521942</v>
      </c>
      <c r="K193" s="5">
        <f>'1_Du_lieu'!D225</f>
        <v>0</v>
      </c>
    </row>
    <row r="194" spans="1:11" x14ac:dyDescent="0.25">
      <c r="A194" t="s">
        <v>123</v>
      </c>
      <c r="B194">
        <v>2020</v>
      </c>
      <c r="C194" s="5" t="str">
        <f>'1_Du_lieu'!C226</f>
        <v>ĐBSH</v>
      </c>
      <c r="D194" s="5" t="str">
        <f t="shared" si="4"/>
        <v>2017–2020</v>
      </c>
      <c r="E194" s="8">
        <f>'1_Du_lieu'!E226</f>
        <v>40.700000000000003</v>
      </c>
      <c r="F194" s="9">
        <f>AVERAGE('1_Du_lieu'!$E$194:$E$256)</f>
        <v>41.616363636363644</v>
      </c>
      <c r="G194" s="8">
        <f t="shared" si="5"/>
        <v>97.798068941412893</v>
      </c>
      <c r="H194" s="8">
        <f>'1_Du_lieu'!F226/AVERAGE('1_Du_lieu'!$F$194:$F$256)*100</f>
        <v>100.80727051177905</v>
      </c>
      <c r="I194" s="8">
        <f>'1_Du_lieu'!G226/AVERAGE('1_Du_lieu'!$G$194:$G$256)*100</f>
        <v>109.88751671517348</v>
      </c>
      <c r="J194" s="8">
        <f>'1_Du_lieu'!H226/AVERAGE('1_Du_lieu'!$H$194:$H$256)*100</f>
        <v>74.652493867538865</v>
      </c>
      <c r="K194" s="5">
        <f>'1_Du_lieu'!D226</f>
        <v>1</v>
      </c>
    </row>
    <row r="195" spans="1:11" x14ac:dyDescent="0.25">
      <c r="A195" t="s">
        <v>124</v>
      </c>
      <c r="B195">
        <v>2020</v>
      </c>
      <c r="C195" s="5" t="str">
        <f>'1_Du_lieu'!C227</f>
        <v>BTB&amp;DHMT</v>
      </c>
      <c r="D195" s="5" t="str">
        <f t="shared" si="4"/>
        <v>2017–2020</v>
      </c>
      <c r="E195" s="8">
        <f>'1_Du_lieu'!E227</f>
        <v>46.3</v>
      </c>
      <c r="F195" s="9">
        <f>AVERAGE('1_Du_lieu'!$E$194:$E$256)</f>
        <v>41.616363636363644</v>
      </c>
      <c r="G195" s="8">
        <f t="shared" si="5"/>
        <v>111.25431429944513</v>
      </c>
      <c r="H195" s="8">
        <f>'1_Du_lieu'!F227/AVERAGE('1_Du_lieu'!$F$194:$F$256)*100</f>
        <v>109.74309504467912</v>
      </c>
      <c r="I195" s="8">
        <f>'1_Du_lieu'!G227/AVERAGE('1_Du_lieu'!$G$194:$G$256)*100</f>
        <v>94.096594037599345</v>
      </c>
      <c r="J195" s="8">
        <f>'1_Du_lieu'!H227/AVERAGE('1_Du_lieu'!$H$194:$H$256)*100</f>
        <v>135.21395475606437</v>
      </c>
      <c r="K195" s="5">
        <f>'1_Du_lieu'!D227</f>
        <v>0</v>
      </c>
    </row>
    <row r="196" spans="1:11" x14ac:dyDescent="0.25">
      <c r="A196" t="s">
        <v>125</v>
      </c>
      <c r="B196">
        <v>2020</v>
      </c>
      <c r="C196" s="5" t="str">
        <f>'1_Du_lieu'!C228</f>
        <v>ĐBSH</v>
      </c>
      <c r="D196" s="5" t="str">
        <f t="shared" si="4"/>
        <v>2017–2020</v>
      </c>
      <c r="E196" s="8">
        <f>'1_Du_lieu'!E228</f>
        <v>43.2</v>
      </c>
      <c r="F196" s="9">
        <f>AVERAGE('1_Du_lieu'!$E$194:$E$256)</f>
        <v>41.616363636363644</v>
      </c>
      <c r="G196" s="8">
        <f t="shared" si="5"/>
        <v>103.80532133339157</v>
      </c>
      <c r="H196" s="8">
        <f>'1_Du_lieu'!F228/AVERAGE('1_Du_lieu'!$F$194:$F$256)*100</f>
        <v>99.131803411860275</v>
      </c>
      <c r="I196" s="8">
        <f>'1_Du_lieu'!G228/AVERAGE('1_Du_lieu'!$G$194:$G$256)*100</f>
        <v>102.31652639030916</v>
      </c>
      <c r="J196" s="8">
        <f>'1_Du_lieu'!H228/AVERAGE('1_Du_lieu'!$H$194:$H$256)*100</f>
        <v>108.53093485963481</v>
      </c>
      <c r="K196" s="5">
        <f>'1_Du_lieu'!D228</f>
        <v>1</v>
      </c>
    </row>
    <row r="197" spans="1:11" x14ac:dyDescent="0.25">
      <c r="A197" t="s">
        <v>126</v>
      </c>
      <c r="B197">
        <v>2020</v>
      </c>
      <c r="C197" s="5" t="str">
        <f>'1_Du_lieu'!C229</f>
        <v>BTB&amp;DHMT</v>
      </c>
      <c r="D197" s="5" t="str">
        <f t="shared" ref="D197:D260" si="6">IF(B197&lt;=2020,"2017–2020","2021–2024")</f>
        <v>2017–2020</v>
      </c>
      <c r="E197" s="8">
        <f>'1_Du_lieu'!E229</f>
        <v>34</v>
      </c>
      <c r="F197" s="9">
        <f>AVERAGE('1_Du_lieu'!$E$194:$E$256)</f>
        <v>41.616363636363644</v>
      </c>
      <c r="G197" s="8">
        <f t="shared" ref="G197:G260" si="7">E197/F197*100</f>
        <v>81.698632530910032</v>
      </c>
      <c r="H197" s="8">
        <f>'1_Du_lieu'!F229/AVERAGE('1_Du_lieu'!$F$194:$F$256)*100</f>
        <v>87.962022745735169</v>
      </c>
      <c r="I197" s="8">
        <f>'1_Du_lieu'!G229/AVERAGE('1_Du_lieu'!$G$194:$G$256)*100</f>
        <v>96.476048139699557</v>
      </c>
      <c r="J197" s="8">
        <f>'1_Du_lieu'!H229/AVERAGE('1_Du_lieu'!$H$194:$H$256)*100</f>
        <v>61.760697737803241</v>
      </c>
      <c r="K197" s="5">
        <f>'1_Du_lieu'!D229</f>
        <v>0</v>
      </c>
    </row>
    <row r="198" spans="1:11" x14ac:dyDescent="0.25">
      <c r="A198" t="s">
        <v>127</v>
      </c>
      <c r="B198">
        <v>2020</v>
      </c>
      <c r="C198" s="5" t="str">
        <f>'1_Du_lieu'!C230</f>
        <v>TDMNPB</v>
      </c>
      <c r="D198" s="5" t="str">
        <f t="shared" si="6"/>
        <v>2017–2020</v>
      </c>
      <c r="E198" s="8">
        <f>'1_Du_lieu'!E230</f>
        <v>39.4</v>
      </c>
      <c r="F198" s="9">
        <f>AVERAGE('1_Du_lieu'!$E$194:$E$256)</f>
        <v>41.616363636363644</v>
      </c>
      <c r="G198" s="8">
        <f t="shared" si="7"/>
        <v>94.674297697583981</v>
      </c>
      <c r="H198" s="8">
        <f>'1_Du_lieu'!F230/AVERAGE('1_Du_lieu'!$F$194:$F$256)*100</f>
        <v>94.663891145410233</v>
      </c>
      <c r="I198" s="8">
        <f>'1_Du_lieu'!G230/AVERAGE('1_Du_lieu'!$G$194:$G$256)*100</f>
        <v>91.068197907653612</v>
      </c>
      <c r="J198" s="8">
        <f>'1_Du_lieu'!H230/AVERAGE('1_Du_lieu'!$H$194:$H$256)*100</f>
        <v>95.938947942218604</v>
      </c>
      <c r="K198" s="5">
        <f>'1_Du_lieu'!D230</f>
        <v>0</v>
      </c>
    </row>
    <row r="199" spans="1:11" x14ac:dyDescent="0.25">
      <c r="A199" t="s">
        <v>128</v>
      </c>
      <c r="B199">
        <v>2020</v>
      </c>
      <c r="C199" s="5" t="str">
        <f>'1_Du_lieu'!C231</f>
        <v>BTB&amp;DHMT</v>
      </c>
      <c r="D199" s="5" t="str">
        <f t="shared" si="6"/>
        <v>2017–2020</v>
      </c>
      <c r="E199" s="8">
        <f>'1_Du_lieu'!E231</f>
        <v>35.5</v>
      </c>
      <c r="F199" s="9">
        <f>AVERAGE('1_Du_lieu'!$E$194:$E$256)</f>
        <v>41.616363636363644</v>
      </c>
      <c r="G199" s="8">
        <f t="shared" si="7"/>
        <v>85.30298396609723</v>
      </c>
      <c r="H199" s="8">
        <f>'1_Du_lieu'!F231/AVERAGE('1_Du_lieu'!$F$194:$F$256)*100</f>
        <v>107.78838342810724</v>
      </c>
      <c r="I199" s="8">
        <f>'1_Du_lieu'!G231/AVERAGE('1_Du_lieu'!$G$194:$G$256)*100</f>
        <v>74.844647211515806</v>
      </c>
      <c r="J199" s="8">
        <f>'1_Du_lieu'!H231/AVERAGE('1_Du_lieu'!$H$194:$H$256)*100</f>
        <v>76.751158353774898</v>
      </c>
      <c r="K199" s="5">
        <f>'1_Du_lieu'!D231</f>
        <v>0</v>
      </c>
    </row>
    <row r="200" spans="1:11" x14ac:dyDescent="0.25">
      <c r="A200" t="s">
        <v>129</v>
      </c>
      <c r="B200">
        <v>2020</v>
      </c>
      <c r="C200" s="5" t="str">
        <f>'1_Du_lieu'!C232</f>
        <v>BTB&amp;DHMT</v>
      </c>
      <c r="D200" s="5" t="str">
        <f t="shared" si="6"/>
        <v>2017–2020</v>
      </c>
      <c r="E200" s="8">
        <f>'1_Du_lieu'!E232</f>
        <v>32.4</v>
      </c>
      <c r="F200" s="9">
        <f>AVERAGE('1_Du_lieu'!$E$194:$E$256)</f>
        <v>41.616363636363644</v>
      </c>
      <c r="G200" s="8">
        <f t="shared" si="7"/>
        <v>77.853991000043678</v>
      </c>
      <c r="H200" s="8">
        <f>'1_Du_lieu'!F232/AVERAGE('1_Du_lieu'!$F$194:$F$256)*100</f>
        <v>79.863931762794479</v>
      </c>
      <c r="I200" s="8">
        <f>'1_Du_lieu'!G232/AVERAGE('1_Du_lieu'!$G$194:$G$256)*100</f>
        <v>89.553999842680753</v>
      </c>
      <c r="J200" s="8">
        <f>'1_Du_lieu'!H232/AVERAGE('1_Du_lieu'!$H$194:$H$256)*100</f>
        <v>58.762605614608908</v>
      </c>
      <c r="K200" s="5">
        <f>'1_Du_lieu'!D232</f>
        <v>0</v>
      </c>
    </row>
    <row r="201" spans="1:11" x14ac:dyDescent="0.25">
      <c r="A201" t="s">
        <v>130</v>
      </c>
      <c r="B201">
        <v>2020</v>
      </c>
      <c r="C201" s="5" t="str">
        <f>'1_Du_lieu'!C233</f>
        <v>BTB&amp;DHMT</v>
      </c>
      <c r="D201" s="5" t="str">
        <f t="shared" si="6"/>
        <v>2017–2020</v>
      </c>
      <c r="E201" s="8">
        <f>'1_Du_lieu'!E233</f>
        <v>39.799999999999997</v>
      </c>
      <c r="F201" s="9">
        <f>AVERAGE('1_Du_lieu'!$E$194:$E$256)</f>
        <v>41.616363636363644</v>
      </c>
      <c r="G201" s="8">
        <f t="shared" si="7"/>
        <v>95.635458080300566</v>
      </c>
      <c r="H201" s="8">
        <f>'1_Du_lieu'!F233/AVERAGE('1_Du_lieu'!$F$194:$F$256)*100</f>
        <v>98.573314378554016</v>
      </c>
      <c r="I201" s="8">
        <f>'1_Du_lieu'!G233/AVERAGE('1_Du_lieu'!$G$194:$G$256)*100</f>
        <v>92.14976795406281</v>
      </c>
      <c r="J201" s="8">
        <f>'1_Du_lieu'!H233/AVERAGE('1_Du_lieu'!$H$194:$H$256)*100</f>
        <v>87.54428999727449</v>
      </c>
      <c r="K201" s="5">
        <f>'1_Du_lieu'!D233</f>
        <v>0</v>
      </c>
    </row>
    <row r="202" spans="1:11" x14ac:dyDescent="0.25">
      <c r="A202" t="s">
        <v>131</v>
      </c>
      <c r="B202">
        <v>2020</v>
      </c>
      <c r="C202" s="5" t="str">
        <f>'1_Du_lieu'!C234</f>
        <v>BTB&amp;DHMT</v>
      </c>
      <c r="D202" s="5" t="str">
        <f t="shared" si="6"/>
        <v>2017–2020</v>
      </c>
      <c r="E202" s="8">
        <f>'1_Du_lieu'!E234</f>
        <v>35</v>
      </c>
      <c r="F202" s="9">
        <f>AVERAGE('1_Du_lieu'!$E$194:$E$256)</f>
        <v>41.616363636363644</v>
      </c>
      <c r="G202" s="8">
        <f t="shared" si="7"/>
        <v>84.101533487701502</v>
      </c>
      <c r="H202" s="8">
        <f>'1_Du_lieu'!F234/AVERAGE('1_Du_lieu'!$F$194:$F$256)*100</f>
        <v>87.124289195775788</v>
      </c>
      <c r="I202" s="8">
        <f>'1_Du_lieu'!G234/AVERAGE('1_Du_lieu'!$G$194:$G$256)*100</f>
        <v>78.954613387870708</v>
      </c>
      <c r="J202" s="8">
        <f>'1_Du_lieu'!H234/AVERAGE('1_Du_lieu'!$H$194:$H$256)*100</f>
        <v>86.644862360316182</v>
      </c>
      <c r="K202" s="5">
        <f>'1_Du_lieu'!D234</f>
        <v>0</v>
      </c>
    </row>
    <row r="203" spans="1:11" x14ac:dyDescent="0.25">
      <c r="A203" t="s">
        <v>132</v>
      </c>
      <c r="B203">
        <v>2020</v>
      </c>
      <c r="C203" s="5" t="str">
        <f>'1_Du_lieu'!C235</f>
        <v>ĐBSH</v>
      </c>
      <c r="D203" s="5" t="str">
        <f t="shared" si="6"/>
        <v>2017–2020</v>
      </c>
      <c r="E203" s="8">
        <f>'1_Du_lieu'!E235</f>
        <v>49.3</v>
      </c>
      <c r="F203" s="9">
        <f>AVERAGE('1_Du_lieu'!$E$194:$E$256)</f>
        <v>41.616363636363644</v>
      </c>
      <c r="G203" s="8">
        <f t="shared" si="7"/>
        <v>118.46301716981952</v>
      </c>
      <c r="H203" s="8">
        <f>'1_Du_lieu'!F235/AVERAGE('1_Du_lieu'!$F$194:$F$256)*100</f>
        <v>106.11291632818846</v>
      </c>
      <c r="I203" s="8">
        <f>'1_Du_lieu'!G235/AVERAGE('1_Du_lieu'!$G$194:$G$256)*100</f>
        <v>122.21741524423821</v>
      </c>
      <c r="J203" s="8">
        <f>'1_Du_lieu'!H235/AVERAGE('1_Du_lieu'!$H$194:$H$256)*100</f>
        <v>125.91986917416193</v>
      </c>
      <c r="K203" s="5">
        <f>'1_Du_lieu'!D235</f>
        <v>1</v>
      </c>
    </row>
    <row r="204" spans="1:11" x14ac:dyDescent="0.25">
      <c r="A204" t="s">
        <v>133</v>
      </c>
      <c r="B204">
        <v>2020</v>
      </c>
      <c r="C204" s="5" t="str">
        <f>'1_Du_lieu'!C236</f>
        <v>BTB&amp;DHMT</v>
      </c>
      <c r="D204" s="5" t="str">
        <f t="shared" si="6"/>
        <v>2017–2020</v>
      </c>
      <c r="E204" s="8">
        <f>'1_Du_lieu'!E236</f>
        <v>31.2</v>
      </c>
      <c r="F204" s="9">
        <f>AVERAGE('1_Du_lieu'!$E$194:$E$256)</f>
        <v>41.616363636363644</v>
      </c>
      <c r="G204" s="8">
        <f t="shared" si="7"/>
        <v>74.970509851893908</v>
      </c>
      <c r="H204" s="8">
        <f>'1_Du_lieu'!F236/AVERAGE('1_Du_lieu'!$F$194:$F$256)*100</f>
        <v>70.369618196588135</v>
      </c>
      <c r="I204" s="8">
        <f>'1_Du_lieu'!G236/AVERAGE('1_Du_lieu'!$G$194:$G$256)*100</f>
        <v>72.681507118697425</v>
      </c>
      <c r="J204" s="8">
        <f>'1_Du_lieu'!H236/AVERAGE('1_Du_lieu'!$H$194:$H$256)*100</f>
        <v>78.84982284001093</v>
      </c>
      <c r="K204" s="5">
        <f>'1_Du_lieu'!D236</f>
        <v>0</v>
      </c>
    </row>
    <row r="205" spans="1:11" x14ac:dyDescent="0.25">
      <c r="A205" t="s">
        <v>136</v>
      </c>
      <c r="B205">
        <v>2020</v>
      </c>
      <c r="C205" s="5" t="str">
        <f>'1_Du_lieu'!C239</f>
        <v>ĐNB</v>
      </c>
      <c r="D205" s="5" t="str">
        <f t="shared" si="6"/>
        <v>2017–2020</v>
      </c>
      <c r="E205" s="8">
        <f>'1_Du_lieu'!E239</f>
        <v>89.1</v>
      </c>
      <c r="F205" s="9">
        <f>AVERAGE('1_Du_lieu'!$E$194:$E$256)</f>
        <v>41.616363636363644</v>
      </c>
      <c r="G205" s="8">
        <f t="shared" si="7"/>
        <v>214.09847525012009</v>
      </c>
      <c r="H205" s="8">
        <f>'1_Du_lieu'!F239/AVERAGE('1_Du_lieu'!$F$194:$F$256)*100</f>
        <v>244.89744110479285</v>
      </c>
      <c r="I205" s="8">
        <f>'1_Du_lieu'!G239/AVERAGE('1_Du_lieu'!$G$194:$G$256)*100</f>
        <v>194.24998033509013</v>
      </c>
      <c r="J205" s="8">
        <f>'1_Du_lieu'!H239/AVERAGE('1_Du_lieu'!$H$194:$H$256)*100</f>
        <v>270.12810029980926</v>
      </c>
      <c r="K205" s="5">
        <f>'1_Du_lieu'!D239</f>
        <v>1</v>
      </c>
    </row>
    <row r="206" spans="1:11" x14ac:dyDescent="0.25">
      <c r="A206" t="s">
        <v>137</v>
      </c>
      <c r="B206">
        <v>2020</v>
      </c>
      <c r="C206" s="5" t="str">
        <f>'1_Du_lieu'!C240</f>
        <v>BTB&amp;DHMT</v>
      </c>
      <c r="D206" s="5" t="str">
        <f t="shared" si="6"/>
        <v>2017–2020</v>
      </c>
      <c r="E206" s="8">
        <f>'1_Du_lieu'!E240</f>
        <v>42.7</v>
      </c>
      <c r="F206" s="9">
        <f>AVERAGE('1_Du_lieu'!$E$194:$E$256)</f>
        <v>41.616363636363644</v>
      </c>
      <c r="G206" s="8">
        <f t="shared" si="7"/>
        <v>102.60387085499583</v>
      </c>
      <c r="H206" s="8">
        <f>'1_Du_lieu'!F240/AVERAGE('1_Du_lieu'!$F$194:$F$256)*100</f>
        <v>100.80727051177905</v>
      </c>
      <c r="I206" s="8">
        <f>'1_Du_lieu'!G240/AVERAGE('1_Du_lieu'!$G$194:$G$256)*100</f>
        <v>93.015023991190148</v>
      </c>
      <c r="J206" s="8">
        <f>'1_Du_lieu'!H240/AVERAGE('1_Du_lieu'!$H$194:$H$256)*100</f>
        <v>123.8212046879259</v>
      </c>
      <c r="K206" s="5">
        <f>'1_Du_lieu'!D240</f>
        <v>0</v>
      </c>
    </row>
    <row r="207" spans="1:11" x14ac:dyDescent="0.25">
      <c r="A207" t="s">
        <v>138</v>
      </c>
      <c r="B207">
        <v>2020</v>
      </c>
      <c r="C207" s="5" t="str">
        <f>'1_Du_lieu'!C241</f>
        <v>ĐBSH</v>
      </c>
      <c r="D207" s="5" t="str">
        <f t="shared" si="6"/>
        <v>2017–2020</v>
      </c>
      <c r="E207" s="8">
        <f>'1_Du_lieu'!E241</f>
        <v>38.5</v>
      </c>
      <c r="F207" s="9">
        <f>AVERAGE('1_Du_lieu'!$E$194:$E$256)</f>
        <v>41.616363636363644</v>
      </c>
      <c r="G207" s="8">
        <f t="shared" si="7"/>
        <v>92.511686836471654</v>
      </c>
      <c r="H207" s="8">
        <f>'1_Du_lieu'!F241/AVERAGE('1_Du_lieu'!$F$194:$F$256)*100</f>
        <v>97.735580828594635</v>
      </c>
      <c r="I207" s="8">
        <f>'1_Du_lieu'!G241/AVERAGE('1_Du_lieu'!$G$194:$G$256)*100</f>
        <v>85.01140564776216</v>
      </c>
      <c r="J207" s="8">
        <f>'1_Du_lieu'!H241/AVERAGE('1_Du_lieu'!$H$194:$H$256)*100</f>
        <v>92.641046606704847</v>
      </c>
      <c r="K207" s="5">
        <f>'1_Du_lieu'!D241</f>
        <v>1</v>
      </c>
    </row>
    <row r="208" spans="1:11" x14ac:dyDescent="0.25">
      <c r="A208" t="s">
        <v>139</v>
      </c>
      <c r="B208">
        <v>2020</v>
      </c>
      <c r="C208" s="5" t="str">
        <f>'1_Du_lieu'!C242</f>
        <v>TDMNPB</v>
      </c>
      <c r="D208" s="5" t="str">
        <f t="shared" si="6"/>
        <v>2017–2020</v>
      </c>
      <c r="E208" s="8">
        <f>'1_Du_lieu'!E242</f>
        <v>39.799999999999997</v>
      </c>
      <c r="F208" s="9">
        <f>AVERAGE('1_Du_lieu'!$E$194:$E$256)</f>
        <v>41.616363636363644</v>
      </c>
      <c r="G208" s="8">
        <f t="shared" si="7"/>
        <v>95.635458080300566</v>
      </c>
      <c r="H208" s="8">
        <f>'1_Du_lieu'!F242/AVERAGE('1_Du_lieu'!$F$194:$F$256)*100</f>
        <v>103.59971567831032</v>
      </c>
      <c r="I208" s="8">
        <f>'1_Du_lieu'!G242/AVERAGE('1_Du_lieu'!$G$194:$G$256)*100</f>
        <v>77.440415322897834</v>
      </c>
      <c r="J208" s="8">
        <f>'1_Du_lieu'!H242/AVERAGE('1_Du_lieu'!$H$194:$H$256)*100</f>
        <v>112.42845461978743</v>
      </c>
      <c r="K208" s="5">
        <f>'1_Du_lieu'!D242</f>
        <v>0</v>
      </c>
    </row>
    <row r="209" spans="1:11" x14ac:dyDescent="0.25">
      <c r="A209" t="s">
        <v>140</v>
      </c>
      <c r="B209">
        <v>2020</v>
      </c>
      <c r="C209" s="5" t="str">
        <f>'1_Du_lieu'!C243</f>
        <v>BTB&amp;DHMT</v>
      </c>
      <c r="D209" s="5" t="str">
        <f t="shared" si="6"/>
        <v>2017–2020</v>
      </c>
      <c r="E209" s="8">
        <f>'1_Du_lieu'!E243</f>
        <v>41.2</v>
      </c>
      <c r="F209" s="9">
        <f>AVERAGE('1_Du_lieu'!$E$194:$E$256)</f>
        <v>41.616363636363644</v>
      </c>
      <c r="G209" s="8">
        <f t="shared" si="7"/>
        <v>98.999519419808635</v>
      </c>
      <c r="H209" s="8">
        <f>'1_Du_lieu'!F243/AVERAGE('1_Du_lieu'!$F$194:$F$256)*100</f>
        <v>99.969536961819642</v>
      </c>
      <c r="I209" s="8">
        <f>'1_Du_lieu'!G243/AVERAGE('1_Du_lieu'!$G$194:$G$256)*100</f>
        <v>105.3449225202549</v>
      </c>
      <c r="J209" s="8">
        <f>'1_Du_lieu'!H243/AVERAGE('1_Du_lieu'!$H$194:$H$256)*100</f>
        <v>82.147724175524687</v>
      </c>
      <c r="K209" s="5">
        <f>'1_Du_lieu'!D243</f>
        <v>0</v>
      </c>
    </row>
    <row r="210" spans="1:11" x14ac:dyDescent="0.25">
      <c r="A210" t="s">
        <v>141</v>
      </c>
      <c r="B210">
        <v>2020</v>
      </c>
      <c r="C210" s="5" t="str">
        <f>'1_Du_lieu'!C244</f>
        <v>ĐBSCL</v>
      </c>
      <c r="D210" s="5" t="str">
        <f t="shared" si="6"/>
        <v>2017–2020</v>
      </c>
      <c r="E210" s="8">
        <f>'1_Du_lieu'!E244</f>
        <v>40</v>
      </c>
      <c r="F210" s="9">
        <f>AVERAGE('1_Du_lieu'!$E$194:$E$256)</f>
        <v>41.616363636363644</v>
      </c>
      <c r="G210" s="8">
        <f t="shared" si="7"/>
        <v>96.116038271658851</v>
      </c>
      <c r="H210" s="8">
        <f>'1_Du_lieu'!F244/AVERAGE('1_Du_lieu'!$F$194:$F$256)*100</f>
        <v>98.852558895207139</v>
      </c>
      <c r="I210" s="8">
        <f>'1_Du_lieu'!G244/AVERAGE('1_Du_lieu'!$G$194:$G$256)*100</f>
        <v>91.068197907653612</v>
      </c>
      <c r="J210" s="8">
        <f>'1_Du_lieu'!H244/AVERAGE('1_Du_lieu'!$H$194:$H$256)*100</f>
        <v>91.741618969746554</v>
      </c>
      <c r="K210" s="5">
        <f>'1_Du_lieu'!D244</f>
        <v>0</v>
      </c>
    </row>
    <row r="211" spans="1:11" x14ac:dyDescent="0.25">
      <c r="A211" t="s">
        <v>142</v>
      </c>
      <c r="B211">
        <v>2020</v>
      </c>
      <c r="C211" s="5" t="str">
        <f>'1_Du_lieu'!C245</f>
        <v>ĐBSCL</v>
      </c>
      <c r="D211" s="5" t="str">
        <f t="shared" si="6"/>
        <v>2017–2020</v>
      </c>
      <c r="E211" s="8">
        <f>'1_Du_lieu'!E245</f>
        <v>31.4</v>
      </c>
      <c r="F211" s="9">
        <f>AVERAGE('1_Du_lieu'!$E$194:$E$256)</f>
        <v>41.616363636363644</v>
      </c>
      <c r="G211" s="8">
        <f t="shared" si="7"/>
        <v>75.451090043252194</v>
      </c>
      <c r="H211" s="8">
        <f>'1_Du_lieu'!F245/AVERAGE('1_Du_lieu'!$F$194:$F$256)*100</f>
        <v>78.746953696181961</v>
      </c>
      <c r="I211" s="8">
        <f>'1_Du_lieu'!G245/AVERAGE('1_Du_lieu'!$G$194:$G$256)*100</f>
        <v>84.795091638480329</v>
      </c>
      <c r="J211" s="8">
        <f>'1_Du_lieu'!H245/AVERAGE('1_Du_lieu'!$H$194:$H$256)*100</f>
        <v>53.665849005178536</v>
      </c>
      <c r="K211" s="5">
        <f>'1_Du_lieu'!D245</f>
        <v>0</v>
      </c>
    </row>
    <row r="212" spans="1:11" x14ac:dyDescent="0.25">
      <c r="A212" t="s">
        <v>143</v>
      </c>
      <c r="B212">
        <v>2020</v>
      </c>
      <c r="C212" s="5" t="str">
        <f>'1_Du_lieu'!C246</f>
        <v>TDMNPB</v>
      </c>
      <c r="D212" s="5" t="str">
        <f t="shared" si="6"/>
        <v>2017–2020</v>
      </c>
      <c r="E212" s="8">
        <f>'1_Du_lieu'!E246</f>
        <v>29.4</v>
      </c>
      <c r="F212" s="9">
        <f>AVERAGE('1_Du_lieu'!$E$194:$E$256)</f>
        <v>41.616363636363644</v>
      </c>
      <c r="G212" s="8">
        <f t="shared" si="7"/>
        <v>70.645288129669254</v>
      </c>
      <c r="H212" s="8">
        <f>'1_Du_lieu'!F246/AVERAGE('1_Du_lieu'!$F$194:$F$256)*100</f>
        <v>77.629975629569458</v>
      </c>
      <c r="I212" s="8">
        <f>'1_Du_lieu'!G246/AVERAGE('1_Du_lieu'!$G$194:$G$256)*100</f>
        <v>61.00055061747819</v>
      </c>
      <c r="J212" s="8">
        <f>'1_Du_lieu'!H246/AVERAGE('1_Du_lieu'!$H$194:$H$256)*100</f>
        <v>62.360316162442096</v>
      </c>
      <c r="K212" s="5">
        <f>'1_Du_lieu'!D246</f>
        <v>0</v>
      </c>
    </row>
    <row r="213" spans="1:11" x14ac:dyDescent="0.25">
      <c r="A213" t="s">
        <v>144</v>
      </c>
      <c r="B213">
        <v>2020</v>
      </c>
      <c r="C213" s="5" t="str">
        <f>'1_Du_lieu'!C247</f>
        <v>ĐNB</v>
      </c>
      <c r="D213" s="5" t="str">
        <f t="shared" si="6"/>
        <v>2017–2020</v>
      </c>
      <c r="E213" s="8">
        <f>'1_Du_lieu'!E247</f>
        <v>39.4</v>
      </c>
      <c r="F213" s="9">
        <f>AVERAGE('1_Du_lieu'!$E$194:$E$256)</f>
        <v>41.616363636363644</v>
      </c>
      <c r="G213" s="8">
        <f t="shared" si="7"/>
        <v>94.674297697583981</v>
      </c>
      <c r="H213" s="8">
        <f>'1_Du_lieu'!F247/AVERAGE('1_Du_lieu'!$F$194:$F$256)*100</f>
        <v>80.70166531275386</v>
      </c>
      <c r="I213" s="8">
        <f>'1_Du_lieu'!G247/AVERAGE('1_Du_lieu'!$G$194:$G$256)*100</f>
        <v>111.83434279871003</v>
      </c>
      <c r="J213" s="8">
        <f>'1_Du_lieu'!H247/AVERAGE('1_Du_lieu'!$H$194:$H$256)*100</f>
        <v>70.455164895066801</v>
      </c>
      <c r="K213" s="5">
        <f>'1_Du_lieu'!D247</f>
        <v>1</v>
      </c>
    </row>
    <row r="214" spans="1:11" x14ac:dyDescent="0.25">
      <c r="A214" t="s">
        <v>145</v>
      </c>
      <c r="B214">
        <v>2020</v>
      </c>
      <c r="C214" s="5" t="str">
        <f>'1_Du_lieu'!C248</f>
        <v>ĐBSCL</v>
      </c>
      <c r="D214" s="5" t="str">
        <f t="shared" si="6"/>
        <v>2017–2020</v>
      </c>
      <c r="E214" s="8">
        <f>'1_Du_lieu'!E248</f>
        <v>31.9</v>
      </c>
      <c r="F214" s="9">
        <f>AVERAGE('1_Du_lieu'!$E$194:$E$256)</f>
        <v>41.616363636363644</v>
      </c>
      <c r="G214" s="8">
        <f t="shared" si="7"/>
        <v>76.652540521647936</v>
      </c>
      <c r="H214" s="8">
        <f>'1_Du_lieu'!F248/AVERAGE('1_Du_lieu'!$F$194:$F$256)*100</f>
        <v>96.339358245328995</v>
      </c>
      <c r="I214" s="8">
        <f>'1_Du_lieu'!G248/AVERAGE('1_Du_lieu'!$G$194:$G$256)*100</f>
        <v>84.795091638480329</v>
      </c>
      <c r="J214" s="8">
        <f>'1_Du_lieu'!H248/AVERAGE('1_Du_lieu'!$H$194:$H$256)*100</f>
        <v>58.462796402289477</v>
      </c>
      <c r="K214" s="5">
        <f>'1_Du_lieu'!D248</f>
        <v>0</v>
      </c>
    </row>
    <row r="215" spans="1:11" x14ac:dyDescent="0.25">
      <c r="A215" t="s">
        <v>146</v>
      </c>
      <c r="B215">
        <v>2020</v>
      </c>
      <c r="C215" s="5" t="str">
        <f>'1_Du_lieu'!C249</f>
        <v>ĐBSH</v>
      </c>
      <c r="D215" s="5" t="str">
        <f t="shared" si="6"/>
        <v>2017–2020</v>
      </c>
      <c r="E215" s="8">
        <f>'1_Du_lieu'!E249</f>
        <v>44.2</v>
      </c>
      <c r="F215" s="9">
        <f>AVERAGE('1_Du_lieu'!$E$194:$E$256)</f>
        <v>41.616363636363644</v>
      </c>
      <c r="G215" s="8">
        <f t="shared" si="7"/>
        <v>106.20822229018304</v>
      </c>
      <c r="H215" s="8">
        <f>'1_Du_lieu'!F249/AVERAGE('1_Du_lieu'!$F$194:$F$256)*100</f>
        <v>99.131803411860275</v>
      </c>
      <c r="I215" s="8">
        <f>'1_Du_lieu'!G249/AVERAGE('1_Du_lieu'!$G$194:$G$256)*100</f>
        <v>98.206560213954248</v>
      </c>
      <c r="J215" s="8">
        <f>'1_Du_lieu'!H249/AVERAGE('1_Du_lieu'!$H$194:$H$256)*100</f>
        <v>118.72444807849554</v>
      </c>
      <c r="K215" s="5">
        <f>'1_Du_lieu'!D249</f>
        <v>1</v>
      </c>
    </row>
    <row r="216" spans="1:11" x14ac:dyDescent="0.25">
      <c r="A216" t="s">
        <v>147</v>
      </c>
      <c r="B216">
        <v>2020</v>
      </c>
      <c r="C216" s="5" t="str">
        <f>'1_Du_lieu'!C250</f>
        <v>TDMNPB</v>
      </c>
      <c r="D216" s="5" t="str">
        <f t="shared" si="6"/>
        <v>2017–2020</v>
      </c>
      <c r="E216" s="8">
        <f>'1_Du_lieu'!E250</f>
        <v>34.299999999999997</v>
      </c>
      <c r="F216" s="9">
        <f>AVERAGE('1_Du_lieu'!$E$194:$E$256)</f>
        <v>41.616363636363644</v>
      </c>
      <c r="G216" s="8">
        <f t="shared" si="7"/>
        <v>82.41950281794746</v>
      </c>
      <c r="H216" s="8">
        <f>'1_Du_lieu'!F250/AVERAGE('1_Du_lieu'!$F$194:$F$256)*100</f>
        <v>84.890333062550766</v>
      </c>
      <c r="I216" s="8">
        <f>'1_Du_lieu'!G250/AVERAGE('1_Du_lieu'!$G$194:$G$256)*100</f>
        <v>70.085739007315368</v>
      </c>
      <c r="J216" s="8">
        <f>'1_Du_lieu'!H250/AVERAGE('1_Du_lieu'!$H$194:$H$256)*100</f>
        <v>98.937040065412958</v>
      </c>
      <c r="K216" s="5">
        <f>'1_Du_lieu'!D250</f>
        <v>0</v>
      </c>
    </row>
    <row r="217" spans="1:11" x14ac:dyDescent="0.25">
      <c r="A217" t="s">
        <v>149</v>
      </c>
      <c r="B217">
        <v>2020</v>
      </c>
      <c r="C217" s="5" t="str">
        <f>'1_Du_lieu'!C252</f>
        <v>BTB&amp;DHMT</v>
      </c>
      <c r="D217" s="5" t="str">
        <f t="shared" si="6"/>
        <v>2017–2020</v>
      </c>
      <c r="E217" s="8">
        <f>'1_Du_lieu'!E252</f>
        <v>58.4</v>
      </c>
      <c r="F217" s="9">
        <f>AVERAGE('1_Du_lieu'!$E$194:$E$256)</f>
        <v>41.616363636363644</v>
      </c>
      <c r="G217" s="8">
        <f t="shared" si="7"/>
        <v>140.32941587662194</v>
      </c>
      <c r="H217" s="8">
        <f>'1_Du_lieu'!F252/AVERAGE('1_Du_lieu'!$F$194:$F$256)*100</f>
        <v>126.49776604386676</v>
      </c>
      <c r="I217" s="8">
        <f>'1_Du_lieu'!G252/AVERAGE('1_Du_lieu'!$G$194:$G$256)*100</f>
        <v>143.41618815385831</v>
      </c>
      <c r="J217" s="8">
        <f>'1_Du_lieu'!H252/AVERAGE('1_Du_lieu'!$H$194:$H$256)*100</f>
        <v>159.49850095393845</v>
      </c>
      <c r="K217" s="5">
        <f>'1_Du_lieu'!D252</f>
        <v>0</v>
      </c>
    </row>
    <row r="218" spans="1:11" x14ac:dyDescent="0.25">
      <c r="A218" t="s">
        <v>150</v>
      </c>
      <c r="B218">
        <v>2020</v>
      </c>
      <c r="C218" s="5" t="str">
        <f>'1_Du_lieu'!C253</f>
        <v>TN</v>
      </c>
      <c r="D218" s="5" t="str">
        <f t="shared" si="6"/>
        <v>2017–2020</v>
      </c>
      <c r="E218" s="8">
        <f>'1_Du_lieu'!E253</f>
        <v>36.200000000000003</v>
      </c>
      <c r="F218" s="9">
        <f>AVERAGE('1_Du_lieu'!$E$194:$E$256)</f>
        <v>41.616363636363644</v>
      </c>
      <c r="G218" s="8">
        <f t="shared" si="7"/>
        <v>86.985014635851272</v>
      </c>
      <c r="H218" s="8">
        <f>'1_Du_lieu'!F253/AVERAGE('1_Du_lieu'!$F$194:$F$256)*100</f>
        <v>86.007311129163284</v>
      </c>
      <c r="I218" s="8">
        <f>'1_Du_lieu'!G253/AVERAGE('1_Du_lieu'!$G$194:$G$256)*100</f>
        <v>81.550381499252765</v>
      </c>
      <c r="J218" s="8">
        <f>'1_Du_lieu'!H253/AVERAGE('1_Du_lieu'!$H$194:$H$256)*100</f>
        <v>87.844099209593921</v>
      </c>
      <c r="K218" s="5">
        <f>'1_Du_lieu'!D253</f>
        <v>0</v>
      </c>
    </row>
    <row r="219" spans="1:11" x14ac:dyDescent="0.25">
      <c r="A219" t="s">
        <v>151</v>
      </c>
      <c r="B219">
        <v>2020</v>
      </c>
      <c r="C219" s="5" t="str">
        <f>'1_Du_lieu'!C254</f>
        <v>TN</v>
      </c>
      <c r="D219" s="5" t="str">
        <f t="shared" si="6"/>
        <v>2017–2020</v>
      </c>
      <c r="E219" s="8">
        <f>'1_Du_lieu'!E254</f>
        <v>32.4</v>
      </c>
      <c r="F219" s="9">
        <f>AVERAGE('1_Du_lieu'!$E$194:$E$256)</f>
        <v>41.616363636363644</v>
      </c>
      <c r="G219" s="8">
        <f t="shared" si="7"/>
        <v>77.853991000043678</v>
      </c>
      <c r="H219" s="8">
        <f>'1_Du_lieu'!F254/AVERAGE('1_Du_lieu'!$F$194:$F$256)*100</f>
        <v>73.999796913078796</v>
      </c>
      <c r="I219" s="8">
        <f>'1_Du_lieu'!G254/AVERAGE('1_Du_lieu'!$G$194:$G$256)*100</f>
        <v>87.390859749862372</v>
      </c>
      <c r="J219" s="8">
        <f>'1_Du_lieu'!H254/AVERAGE('1_Du_lieu'!$H$194:$H$256)*100</f>
        <v>60.261651676206071</v>
      </c>
      <c r="K219" s="5">
        <f>'1_Du_lieu'!D254</f>
        <v>0</v>
      </c>
    </row>
    <row r="220" spans="1:11" x14ac:dyDescent="0.25">
      <c r="A220" t="s">
        <v>152</v>
      </c>
      <c r="B220">
        <v>2020</v>
      </c>
      <c r="C220" s="5" t="str">
        <f>'1_Du_lieu'!C255</f>
        <v>ĐNB</v>
      </c>
      <c r="D220" s="5" t="str">
        <f t="shared" si="6"/>
        <v>2017–2020</v>
      </c>
      <c r="E220" s="8">
        <f>'1_Du_lieu'!E255</f>
        <v>54.9</v>
      </c>
      <c r="F220" s="9">
        <f>AVERAGE('1_Du_lieu'!$E$194:$E$256)</f>
        <v>41.616363636363644</v>
      </c>
      <c r="G220" s="8">
        <f t="shared" si="7"/>
        <v>131.91926252785177</v>
      </c>
      <c r="H220" s="8">
        <f>'1_Du_lieu'!F255/AVERAGE('1_Du_lieu'!$F$194:$F$256)*100</f>
        <v>117.00345247766042</v>
      </c>
      <c r="I220" s="8">
        <f>'1_Du_lieu'!G255/AVERAGE('1_Du_lieu'!$G$194:$G$256)*100</f>
        <v>138.65727994965786</v>
      </c>
      <c r="J220" s="8">
        <f>'1_Du_lieu'!H255/AVERAGE('1_Du_lieu'!$H$194:$H$256)*100</f>
        <v>142.70918506405019</v>
      </c>
      <c r="K220" s="5">
        <f>'1_Du_lieu'!D255</f>
        <v>1</v>
      </c>
    </row>
    <row r="221" spans="1:11" x14ac:dyDescent="0.25">
      <c r="A221" t="s">
        <v>153</v>
      </c>
      <c r="B221">
        <v>2020</v>
      </c>
      <c r="C221" s="5" t="str">
        <f>'1_Du_lieu'!C256</f>
        <v>ĐBSCL</v>
      </c>
      <c r="D221" s="5" t="str">
        <f t="shared" si="6"/>
        <v>2017–2020</v>
      </c>
      <c r="E221" s="8">
        <f>'1_Du_lieu'!E256</f>
        <v>38.6</v>
      </c>
      <c r="F221" s="9">
        <f>AVERAGE('1_Du_lieu'!$E$194:$E$256)</f>
        <v>41.616363636363644</v>
      </c>
      <c r="G221" s="8">
        <f t="shared" si="7"/>
        <v>92.751976932150797</v>
      </c>
      <c r="H221" s="8">
        <f>'1_Du_lieu'!F256/AVERAGE('1_Du_lieu'!$F$194:$F$256)*100</f>
        <v>97.177091795288376</v>
      </c>
      <c r="I221" s="8">
        <f>'1_Du_lieu'!G256/AVERAGE('1_Du_lieu'!$G$194:$G$256)*100</f>
        <v>86.52560371273502</v>
      </c>
      <c r="J221" s="8">
        <f>'1_Du_lieu'!H256/AVERAGE('1_Du_lieu'!$H$194:$H$256)*100</f>
        <v>88.743526846552228</v>
      </c>
      <c r="K221" s="5">
        <f>'1_Du_lieu'!D256</f>
        <v>0</v>
      </c>
    </row>
    <row r="222" spans="1:11" x14ac:dyDescent="0.25">
      <c r="A222" t="s">
        <v>85</v>
      </c>
      <c r="B222">
        <v>2021</v>
      </c>
      <c r="C222" s="5" t="str">
        <f>'1_Du_lieu'!C257</f>
        <v>ĐBSCL</v>
      </c>
      <c r="D222" s="5" t="str">
        <f t="shared" si="6"/>
        <v>2021–2024</v>
      </c>
      <c r="E222" s="8">
        <f>'1_Du_lieu'!E257</f>
        <v>5.44</v>
      </c>
      <c r="F222" s="9">
        <f>AVERAGE('1_Du_lieu'!$E$257:$E$319)</f>
        <v>8.5376785714285699</v>
      </c>
      <c r="G222" s="8">
        <f t="shared" si="7"/>
        <v>63.717554537658714</v>
      </c>
      <c r="H222" s="8">
        <f>'1_Du_lieu'!F257/AVERAGE('1_Du_lieu'!$F$257:$F$319)*100</f>
        <v>72.538543733781111</v>
      </c>
      <c r="I222" s="8">
        <f>'1_Du_lieu'!G257/AVERAGE('1_Du_lieu'!$G$257:$G$319)*100</f>
        <v>70.651466719470463</v>
      </c>
      <c r="J222" s="8">
        <f>'1_Du_lieu'!H257/AVERAGE('1_Du_lieu'!$H$257:$H$319)*100</f>
        <v>46.75311122126849</v>
      </c>
      <c r="K222" s="5">
        <f>'1_Du_lieu'!D257</f>
        <v>0</v>
      </c>
    </row>
    <row r="223" spans="1:11" x14ac:dyDescent="0.25">
      <c r="A223" t="s">
        <v>87</v>
      </c>
      <c r="B223">
        <v>2021</v>
      </c>
      <c r="C223" s="5" t="str">
        <f>'1_Du_lieu'!C258</f>
        <v>ĐNB</v>
      </c>
      <c r="D223" s="5" t="str">
        <f t="shared" si="6"/>
        <v>2021–2024</v>
      </c>
      <c r="E223" s="8">
        <f>'1_Du_lieu'!E258</f>
        <v>9.99</v>
      </c>
      <c r="F223" s="9">
        <f>AVERAGE('1_Du_lieu'!$E$257:$E$319)</f>
        <v>8.5376785714285699</v>
      </c>
      <c r="G223" s="8">
        <f t="shared" si="7"/>
        <v>117.01072974838429</v>
      </c>
      <c r="H223" s="8">
        <f>'1_Du_lieu'!F258/AVERAGE('1_Du_lieu'!$F$257:$F$319)*100</f>
        <v>119.12685086246377</v>
      </c>
      <c r="I223" s="8">
        <f>'1_Du_lieu'!G258/AVERAGE('1_Du_lieu'!$G$257:$G$319)*100</f>
        <v>96.947752538824943</v>
      </c>
      <c r="J223" s="8">
        <f>'1_Du_lieu'!H258/AVERAGE('1_Du_lieu'!$H$257:$H$319)*100</f>
        <v>132.95416003548226</v>
      </c>
      <c r="K223" s="5">
        <f>'1_Du_lieu'!D258</f>
        <v>1</v>
      </c>
    </row>
    <row r="224" spans="1:11" x14ac:dyDescent="0.25">
      <c r="A224" t="s">
        <v>89</v>
      </c>
      <c r="B224">
        <v>2021</v>
      </c>
      <c r="C224" s="5" t="str">
        <f>'1_Du_lieu'!C259</f>
        <v>ĐNB</v>
      </c>
      <c r="D224" s="5" t="str">
        <f t="shared" si="6"/>
        <v>2021–2024</v>
      </c>
      <c r="E224" s="8">
        <f>'1_Du_lieu'!E259</f>
        <v>14.76</v>
      </c>
      <c r="F224" s="9">
        <f>AVERAGE('1_Du_lieu'!$E$257:$E$319)</f>
        <v>8.5376785714285699</v>
      </c>
      <c r="G224" s="8">
        <f t="shared" si="7"/>
        <v>172.88071782644164</v>
      </c>
      <c r="H224" s="8">
        <f>'1_Du_lieu'!F259/AVERAGE('1_Du_lieu'!$F$257:$F$319)*100</f>
        <v>124.011601282247</v>
      </c>
      <c r="I224" s="8">
        <f>'1_Du_lieu'!G259/AVERAGE('1_Du_lieu'!$G$257:$G$319)*100</f>
        <v>187.87587338406269</v>
      </c>
      <c r="J224" s="8">
        <f>'1_Du_lieu'!H259/AVERAGE('1_Du_lieu'!$H$257:$H$319)*100</f>
        <v>217.69417412403138</v>
      </c>
      <c r="K224" s="5">
        <f>'1_Du_lieu'!D259</f>
        <v>1</v>
      </c>
    </row>
    <row r="225" spans="1:11" x14ac:dyDescent="0.25">
      <c r="A225" t="s">
        <v>90</v>
      </c>
      <c r="B225">
        <v>2021</v>
      </c>
      <c r="C225" s="5" t="str">
        <f>'1_Du_lieu'!C260</f>
        <v>ĐNB</v>
      </c>
      <c r="D225" s="5" t="str">
        <f t="shared" si="6"/>
        <v>2021–2024</v>
      </c>
      <c r="E225" s="8">
        <f>'1_Du_lieu'!E260</f>
        <v>5.09</v>
      </c>
      <c r="F225" s="9">
        <f>AVERAGE('1_Du_lieu'!$E$257:$E$319)</f>
        <v>8.5376785714285699</v>
      </c>
      <c r="G225" s="8">
        <f t="shared" si="7"/>
        <v>59.618079521449054</v>
      </c>
      <c r="H225" s="8">
        <f>'1_Du_lieu'!F260/AVERAGE('1_Du_lieu'!$F$257:$F$319)*100</f>
        <v>78.522362998015581</v>
      </c>
      <c r="I225" s="8">
        <f>'1_Du_lieu'!G260/AVERAGE('1_Du_lieu'!$G$257:$G$319)*100</f>
        <v>50.691635314418271</v>
      </c>
      <c r="J225" s="8">
        <f>'1_Du_lieu'!H260/AVERAGE('1_Du_lieu'!$H$257:$H$319)*100</f>
        <v>45.292076495603851</v>
      </c>
      <c r="K225" s="5">
        <f>'1_Du_lieu'!D260</f>
        <v>1</v>
      </c>
    </row>
    <row r="226" spans="1:11" x14ac:dyDescent="0.25">
      <c r="A226" t="s">
        <v>91</v>
      </c>
      <c r="B226">
        <v>2021</v>
      </c>
      <c r="C226" s="5" t="str">
        <f>'1_Du_lieu'!C261</f>
        <v>BTB&amp;DHMT</v>
      </c>
      <c r="D226" s="5" t="str">
        <f t="shared" si="6"/>
        <v>2021–2024</v>
      </c>
      <c r="E226" s="8">
        <f>'1_Du_lieu'!E261</f>
        <v>5.82</v>
      </c>
      <c r="F226" s="9">
        <f>AVERAGE('1_Du_lieu'!$E$257:$E$319)</f>
        <v>8.5376785714285699</v>
      </c>
      <c r="G226" s="8">
        <f t="shared" si="7"/>
        <v>68.168413126686346</v>
      </c>
      <c r="H226" s="8">
        <f>'1_Du_lieu'!F261/AVERAGE('1_Du_lieu'!$F$257:$F$319)*100</f>
        <v>82.430163333842174</v>
      </c>
      <c r="I226" s="8">
        <f>'1_Du_lieu'!G261/AVERAGE('1_Du_lieu'!$G$257:$G$319)*100</f>
        <v>53.226217080139172</v>
      </c>
      <c r="J226" s="8">
        <f>'1_Du_lieu'!H261/AVERAGE('1_Du_lieu'!$H$257:$H$319)*100</f>
        <v>64.869941819510032</v>
      </c>
      <c r="K226" s="5">
        <f>'1_Du_lieu'!D261</f>
        <v>0</v>
      </c>
    </row>
    <row r="227" spans="1:11" x14ac:dyDescent="0.25">
      <c r="A227" t="s">
        <v>93</v>
      </c>
      <c r="B227">
        <v>2021</v>
      </c>
      <c r="C227" s="5" t="str">
        <f>'1_Du_lieu'!C262</f>
        <v>BTB&amp;DHMT</v>
      </c>
      <c r="D227" s="5" t="str">
        <f t="shared" si="6"/>
        <v>2021–2024</v>
      </c>
      <c r="E227" s="8">
        <f>'1_Du_lieu'!E262</f>
        <v>6.33</v>
      </c>
      <c r="F227" s="9">
        <f>AVERAGE('1_Du_lieu'!$E$257:$E$319)</f>
        <v>8.5376785714285699</v>
      </c>
      <c r="G227" s="8">
        <f t="shared" si="7"/>
        <v>74.141933864591849</v>
      </c>
      <c r="H227" s="8">
        <f>'1_Du_lieu'!F262/AVERAGE('1_Du_lieu'!$F$257:$F$319)*100</f>
        <v>92.26072355365595</v>
      </c>
      <c r="I227" s="8">
        <f>'1_Du_lieu'!G262/AVERAGE('1_Du_lieu'!$G$257:$G$319)*100</f>
        <v>48.632287629770019</v>
      </c>
      <c r="J227" s="8">
        <f>'1_Du_lieu'!H262/AVERAGE('1_Du_lieu'!$H$257:$H$319)*100</f>
        <v>75.82770226199483</v>
      </c>
      <c r="K227" s="5">
        <f>'1_Du_lieu'!D262</f>
        <v>0</v>
      </c>
    </row>
    <row r="228" spans="1:11" x14ac:dyDescent="0.25">
      <c r="A228" t="s">
        <v>95</v>
      </c>
      <c r="B228">
        <v>2021</v>
      </c>
      <c r="C228" s="5" t="str">
        <f>'1_Du_lieu'!C264</f>
        <v>TDMNPB</v>
      </c>
      <c r="D228" s="5" t="str">
        <f t="shared" si="6"/>
        <v>2021–2024</v>
      </c>
      <c r="E228" s="8">
        <f>'1_Du_lieu'!E264</f>
        <v>6.41</v>
      </c>
      <c r="F228" s="9">
        <f>AVERAGE('1_Du_lieu'!$E$257:$E$319)</f>
        <v>8.5376785714285699</v>
      </c>
      <c r="G228" s="8">
        <f t="shared" si="7"/>
        <v>75.078956725439767</v>
      </c>
      <c r="H228" s="8">
        <f>'1_Du_lieu'!F264/AVERAGE('1_Du_lieu'!$F$257:$F$319)*100</f>
        <v>84.44512288200275</v>
      </c>
      <c r="I228" s="8">
        <f>'1_Du_lieu'!G264/AVERAGE('1_Du_lieu'!$G$257:$G$319)*100</f>
        <v>72.869225764476255</v>
      </c>
      <c r="J228" s="8">
        <f>'1_Du_lieu'!H264/AVERAGE('1_Du_lieu'!$H$257:$H$319)*100</f>
        <v>65.746562654908814</v>
      </c>
      <c r="K228" s="5">
        <f>'1_Du_lieu'!D264</f>
        <v>0</v>
      </c>
    </row>
    <row r="229" spans="1:11" x14ac:dyDescent="0.25">
      <c r="A229" t="s">
        <v>97</v>
      </c>
      <c r="B229">
        <v>2021</v>
      </c>
      <c r="C229" s="5" t="str">
        <f>'1_Du_lieu'!C265</f>
        <v>TDMNPB</v>
      </c>
      <c r="D229" s="5" t="str">
        <f t="shared" si="6"/>
        <v>2021–2024</v>
      </c>
      <c r="E229" s="8">
        <f>'1_Du_lieu'!E265</f>
        <v>3.98</v>
      </c>
      <c r="F229" s="9">
        <f>AVERAGE('1_Du_lieu'!$E$257:$E$319)</f>
        <v>8.5376785714285699</v>
      </c>
      <c r="G229" s="8">
        <f t="shared" si="7"/>
        <v>46.616887327184131</v>
      </c>
      <c r="H229" s="8">
        <f>'1_Du_lieu'!F265/AVERAGE('1_Du_lieu'!$F$257:$F$319)*100</f>
        <v>70.645702946115108</v>
      </c>
      <c r="I229" s="8">
        <f>'1_Du_lieu'!G265/AVERAGE('1_Du_lieu'!$G$257:$G$319)*100</f>
        <v>32.315917512941645</v>
      </c>
      <c r="J229" s="8">
        <f>'1_Du_lieu'!H265/AVERAGE('1_Du_lieu'!$H$257:$H$319)*100</f>
        <v>30.827832711523907</v>
      </c>
      <c r="K229" s="5">
        <f>'1_Du_lieu'!D265</f>
        <v>0</v>
      </c>
    </row>
    <row r="230" spans="1:11" x14ac:dyDescent="0.25">
      <c r="A230" t="s">
        <v>98</v>
      </c>
      <c r="B230">
        <v>2021</v>
      </c>
      <c r="C230" s="5" t="str">
        <f>'1_Du_lieu'!C266</f>
        <v>ĐBSH</v>
      </c>
      <c r="D230" s="5" t="str">
        <f t="shared" si="6"/>
        <v>2021–2024</v>
      </c>
      <c r="E230" s="8">
        <f>'1_Du_lieu'!E266</f>
        <v>9.41</v>
      </c>
      <c r="F230" s="9">
        <f>AVERAGE('1_Du_lieu'!$E$257:$E$319)</f>
        <v>8.5376785714285699</v>
      </c>
      <c r="G230" s="8">
        <f t="shared" si="7"/>
        <v>110.21731400723684</v>
      </c>
      <c r="H230" s="8">
        <f>'1_Du_lieu'!F266/AVERAGE('1_Du_lieu'!$F$257:$F$319)*100</f>
        <v>105.93802472904903</v>
      </c>
      <c r="I230" s="8">
        <f>'1_Du_lieu'!G266/AVERAGE('1_Du_lieu'!$G$257:$G$319)*100</f>
        <v>90.294475403807539</v>
      </c>
      <c r="J230" s="8">
        <f>'1_Du_lieu'!H266/AVERAGE('1_Du_lieu'!$H$257:$H$319)*100</f>
        <v>133.83078087088106</v>
      </c>
      <c r="K230" s="5">
        <f>'1_Du_lieu'!D266</f>
        <v>1</v>
      </c>
    </row>
    <row r="231" spans="1:11" x14ac:dyDescent="0.25">
      <c r="A231" t="s">
        <v>100</v>
      </c>
      <c r="B231">
        <v>2021</v>
      </c>
      <c r="C231" s="5" t="str">
        <f>'1_Du_lieu'!C267</f>
        <v>ĐBSCL</v>
      </c>
      <c r="D231" s="5" t="str">
        <f t="shared" si="6"/>
        <v>2021–2024</v>
      </c>
      <c r="E231" s="8">
        <f>'1_Du_lieu'!E267</f>
        <v>6.66</v>
      </c>
      <c r="F231" s="9">
        <f>AVERAGE('1_Du_lieu'!$E$257:$E$319)</f>
        <v>8.5376785714285699</v>
      </c>
      <c r="G231" s="8">
        <f t="shared" si="7"/>
        <v>78.007153165589528</v>
      </c>
      <c r="H231" s="8">
        <f>'1_Du_lieu'!F267/AVERAGE('1_Du_lieu'!$F$257:$F$319)*100</f>
        <v>94.031445580827366</v>
      </c>
      <c r="I231" s="8">
        <f>'1_Du_lieu'!G267/AVERAGE('1_Du_lieu'!$G$257:$G$319)*100</f>
        <v>71.126700800543134</v>
      </c>
      <c r="J231" s="8">
        <f>'1_Du_lieu'!H267/AVERAGE('1_Du_lieu'!$H$257:$H$319)*100</f>
        <v>65.162148764642964</v>
      </c>
      <c r="K231" s="5">
        <f>'1_Du_lieu'!D267</f>
        <v>0</v>
      </c>
    </row>
    <row r="232" spans="1:11" x14ac:dyDescent="0.25">
      <c r="A232" t="s">
        <v>102</v>
      </c>
      <c r="B232">
        <v>2021</v>
      </c>
      <c r="C232" s="5" t="str">
        <f>'1_Du_lieu'!C269</f>
        <v>ĐBSCL</v>
      </c>
      <c r="D232" s="5" t="str">
        <f t="shared" si="6"/>
        <v>2021–2024</v>
      </c>
      <c r="E232" s="8">
        <f>'1_Du_lieu'!E269</f>
        <v>4.68</v>
      </c>
      <c r="F232" s="9">
        <f>AVERAGE('1_Du_lieu'!$E$257:$E$319)</f>
        <v>8.5376785714285699</v>
      </c>
      <c r="G232" s="8">
        <f t="shared" si="7"/>
        <v>54.815837359603449</v>
      </c>
      <c r="H232" s="8">
        <f>'1_Du_lieu'!F269/AVERAGE('1_Du_lieu'!$F$257:$F$319)*100</f>
        <v>69.729812242405757</v>
      </c>
      <c r="I232" s="8">
        <f>'1_Du_lieu'!G269/AVERAGE('1_Du_lieu'!$G$257:$G$319)*100</f>
        <v>46.889762665836891</v>
      </c>
      <c r="J232" s="8">
        <f>'1_Du_lieu'!H269/AVERAGE('1_Du_lieu'!$H$257:$H$319)*100</f>
        <v>44.415455660205062</v>
      </c>
      <c r="K232" s="5">
        <f>'1_Du_lieu'!D269</f>
        <v>0</v>
      </c>
    </row>
    <row r="233" spans="1:11" x14ac:dyDescent="0.25">
      <c r="A233" t="s">
        <v>103</v>
      </c>
      <c r="B233">
        <v>2021</v>
      </c>
      <c r="C233" s="5" t="str">
        <f>'1_Du_lieu'!C270</f>
        <v>ĐBSCL</v>
      </c>
      <c r="D233" s="5" t="str">
        <f t="shared" si="6"/>
        <v>2021–2024</v>
      </c>
      <c r="E233" s="8">
        <f>'1_Du_lieu'!E270</f>
        <v>8.59</v>
      </c>
      <c r="F233" s="9">
        <f>AVERAGE('1_Du_lieu'!$E$257:$E$319)</f>
        <v>8.5376785714285699</v>
      </c>
      <c r="G233" s="8">
        <f t="shared" si="7"/>
        <v>100.61282968354564</v>
      </c>
      <c r="H233" s="8">
        <f>'1_Du_lieu'!F270/AVERAGE('1_Du_lieu'!$F$257:$F$319)*100</f>
        <v>104.96107464509237</v>
      </c>
      <c r="I233" s="8">
        <f>'1_Du_lieu'!G270/AVERAGE('1_Du_lieu'!$G$257:$G$319)*100</f>
        <v>89.977652683092415</v>
      </c>
      <c r="J233" s="8">
        <f>'1_Du_lieu'!H270/AVERAGE('1_Du_lieu'!$H$257:$H$319)*100</f>
        <v>105.34060372042056</v>
      </c>
      <c r="K233" s="5">
        <f>'1_Du_lieu'!D270</f>
        <v>0</v>
      </c>
    </row>
    <row r="234" spans="1:11" x14ac:dyDescent="0.25">
      <c r="A234" t="s">
        <v>104</v>
      </c>
      <c r="B234">
        <v>2021</v>
      </c>
      <c r="C234" s="5" t="str">
        <f>'1_Du_lieu'!C271</f>
        <v>TN</v>
      </c>
      <c r="D234" s="5" t="str">
        <f t="shared" si="6"/>
        <v>2021–2024</v>
      </c>
      <c r="E234" s="8">
        <f>'1_Du_lieu'!E271</f>
        <v>5.04</v>
      </c>
      <c r="F234" s="9">
        <f>AVERAGE('1_Du_lieu'!$E$257:$E$319)</f>
        <v>8.5376785714285699</v>
      </c>
      <c r="G234" s="8">
        <f t="shared" si="7"/>
        <v>59.032440233419102</v>
      </c>
      <c r="H234" s="8">
        <f>'1_Du_lieu'!F271/AVERAGE('1_Du_lieu'!$F$257:$F$319)*100</f>
        <v>71.3784155090826</v>
      </c>
      <c r="I234" s="8">
        <f>'1_Du_lieu'!G271/AVERAGE('1_Du_lieu'!$G$257:$G$319)*100</f>
        <v>51.642103476563605</v>
      </c>
      <c r="J234" s="8">
        <f>'1_Du_lieu'!H271/AVERAGE('1_Du_lieu'!$H$257:$H$319)*100</f>
        <v>50.990111925695949</v>
      </c>
      <c r="K234" s="5">
        <f>'1_Du_lieu'!D271</f>
        <v>0</v>
      </c>
    </row>
    <row r="235" spans="1:11" x14ac:dyDescent="0.25">
      <c r="A235" t="s">
        <v>107</v>
      </c>
      <c r="B235">
        <v>2021</v>
      </c>
      <c r="C235" s="5" t="str">
        <f>'1_Du_lieu'!C273</f>
        <v>ĐBSH</v>
      </c>
      <c r="D235" s="5" t="str">
        <f t="shared" si="6"/>
        <v>2021–2024</v>
      </c>
      <c r="E235" s="8">
        <f>'1_Du_lieu'!E273</f>
        <v>6.51</v>
      </c>
      <c r="F235" s="9">
        <f>AVERAGE('1_Du_lieu'!$E$257:$E$319)</f>
        <v>8.5376785714285699</v>
      </c>
      <c r="G235" s="8">
        <f t="shared" si="7"/>
        <v>76.250235301499671</v>
      </c>
      <c r="H235" s="8">
        <f>'1_Du_lieu'!F273/AVERAGE('1_Du_lieu'!$F$257:$F$319)*100</f>
        <v>98.183483437643119</v>
      </c>
      <c r="I235" s="8">
        <f>'1_Du_lieu'!G273/AVERAGE('1_Du_lieu'!$G$257:$G$319)*100</f>
        <v>55.919210206217642</v>
      </c>
      <c r="J235" s="8">
        <f>'1_Du_lieu'!H273/AVERAGE('1_Du_lieu'!$H$257:$H$319)*100</f>
        <v>68.668632106238093</v>
      </c>
      <c r="K235" s="5">
        <f>'1_Du_lieu'!D273</f>
        <v>1</v>
      </c>
    </row>
    <row r="236" spans="1:11" x14ac:dyDescent="0.25">
      <c r="A236" t="s">
        <v>108</v>
      </c>
      <c r="B236">
        <v>2021</v>
      </c>
      <c r="C236" s="5" t="str">
        <f>'1_Du_lieu'!C274</f>
        <v>ĐBSH</v>
      </c>
      <c r="D236" s="5" t="str">
        <f t="shared" si="6"/>
        <v>2021–2024</v>
      </c>
      <c r="E236" s="8">
        <f>'1_Du_lieu'!E274</f>
        <v>55.66</v>
      </c>
      <c r="F236" s="9">
        <f>AVERAGE('1_Du_lieu'!$E$257:$E$319)</f>
        <v>8.5376785714285699</v>
      </c>
      <c r="G236" s="8">
        <f t="shared" si="7"/>
        <v>651.93365543494178</v>
      </c>
      <c r="H236" s="8">
        <f>'1_Du_lieu'!F274/AVERAGE('1_Du_lieu'!$F$257:$F$319)*100</f>
        <v>393.28346817279811</v>
      </c>
      <c r="I236" s="8">
        <f>'1_Du_lieu'!G274/AVERAGE('1_Du_lieu'!$G$257:$G$319)*100</f>
        <v>965.04200729823776</v>
      </c>
      <c r="J236" s="8">
        <f>'1_Du_lieu'!H274/AVERAGE('1_Du_lieu'!$H$257:$H$319)*100</f>
        <v>672.36818075086751</v>
      </c>
      <c r="K236" s="5">
        <f>'1_Du_lieu'!D274</f>
        <v>1</v>
      </c>
    </row>
    <row r="237" spans="1:11" x14ac:dyDescent="0.25">
      <c r="A237" t="s">
        <v>109</v>
      </c>
      <c r="B237">
        <v>2021</v>
      </c>
      <c r="C237" s="5" t="str">
        <f>'1_Du_lieu'!C275</f>
        <v>BTB&amp;DHMT</v>
      </c>
      <c r="D237" s="5" t="str">
        <f t="shared" si="6"/>
        <v>2021–2024</v>
      </c>
      <c r="E237" s="8">
        <f>'1_Du_lieu'!E275</f>
        <v>5.76</v>
      </c>
      <c r="F237" s="9">
        <f>AVERAGE('1_Du_lieu'!$E$257:$E$319)</f>
        <v>8.5376785714285699</v>
      </c>
      <c r="G237" s="8">
        <f t="shared" si="7"/>
        <v>67.465645981050386</v>
      </c>
      <c r="H237" s="8">
        <f>'1_Du_lieu'!F275/AVERAGE('1_Du_lieu'!$F$257:$F$319)*100</f>
        <v>82.430163333842174</v>
      </c>
      <c r="I237" s="8">
        <f>'1_Du_lieu'!G275/AVERAGE('1_Du_lieu'!$G$257:$G$319)*100</f>
        <v>61.780430539447259</v>
      </c>
      <c r="J237" s="8">
        <f>'1_Du_lieu'!H275/AVERAGE('1_Du_lieu'!$H$257:$H$319)*100</f>
        <v>54.934905684990468</v>
      </c>
      <c r="K237" s="5">
        <f>'1_Du_lieu'!D275</f>
        <v>0</v>
      </c>
    </row>
    <row r="238" spans="1:11" x14ac:dyDescent="0.25">
      <c r="A238" t="s">
        <v>110</v>
      </c>
      <c r="B238">
        <v>2021</v>
      </c>
      <c r="C238" s="5" t="str">
        <f>'1_Du_lieu'!C276</f>
        <v>TDMNPB</v>
      </c>
      <c r="D238" s="5" t="str">
        <f t="shared" si="6"/>
        <v>2021–2024</v>
      </c>
      <c r="E238" s="8">
        <f>'1_Du_lieu'!E276</f>
        <v>4.5999999999999996</v>
      </c>
      <c r="F238" s="9">
        <f>AVERAGE('1_Du_lieu'!$E$257:$E$319)</f>
        <v>8.5376785714285699</v>
      </c>
      <c r="G238" s="8">
        <f t="shared" si="7"/>
        <v>53.878814498755524</v>
      </c>
      <c r="H238" s="8">
        <f>'1_Du_lieu'!F276/AVERAGE('1_Du_lieu'!$F$257:$F$319)*100</f>
        <v>76.324225309113132</v>
      </c>
      <c r="I238" s="8">
        <f>'1_Du_lieu'!G276/AVERAGE('1_Du_lieu'!$G$257:$G$319)*100</f>
        <v>37.701903765098585</v>
      </c>
      <c r="J238" s="8">
        <f>'1_Du_lieu'!H276/AVERAGE('1_Du_lieu'!$H$257:$H$319)*100</f>
        <v>41.931696626575174</v>
      </c>
      <c r="K238" s="5">
        <f>'1_Du_lieu'!D276</f>
        <v>0</v>
      </c>
    </row>
    <row r="239" spans="1:11" x14ac:dyDescent="0.25">
      <c r="A239" t="s">
        <v>111</v>
      </c>
      <c r="B239">
        <v>2021</v>
      </c>
      <c r="C239" s="5" t="str">
        <f>'1_Du_lieu'!C277</f>
        <v>ĐBSH</v>
      </c>
      <c r="D239" s="5" t="str">
        <f t="shared" si="6"/>
        <v>2021–2024</v>
      </c>
      <c r="E239" s="8">
        <f>'1_Du_lieu'!E277</f>
        <v>7.36</v>
      </c>
      <c r="F239" s="9">
        <f>AVERAGE('1_Du_lieu'!$E$257:$E$319)</f>
        <v>8.5376785714285699</v>
      </c>
      <c r="G239" s="8">
        <f t="shared" si="7"/>
        <v>86.206103198008847</v>
      </c>
      <c r="H239" s="8">
        <f>'1_Du_lieu'!F277/AVERAGE('1_Du_lieu'!$F$257:$F$319)*100</f>
        <v>101.90810563272785</v>
      </c>
      <c r="I239" s="8">
        <f>'1_Du_lieu'!G277/AVERAGE('1_Du_lieu'!$G$257:$G$319)*100</f>
        <v>62.889310061950162</v>
      </c>
      <c r="J239" s="8">
        <f>'1_Du_lieu'!H277/AVERAGE('1_Du_lieu'!$H$257:$H$319)*100</f>
        <v>88.684807847843658</v>
      </c>
      <c r="K239" s="5">
        <f>'1_Du_lieu'!D277</f>
        <v>1</v>
      </c>
    </row>
    <row r="240" spans="1:11" x14ac:dyDescent="0.25">
      <c r="A240" t="s">
        <v>112</v>
      </c>
      <c r="B240">
        <v>2021</v>
      </c>
      <c r="C240" s="5" t="str">
        <f>'1_Du_lieu'!C278</f>
        <v>ĐBSH</v>
      </c>
      <c r="D240" s="5" t="str">
        <f t="shared" si="6"/>
        <v>2021–2024</v>
      </c>
      <c r="E240" s="8">
        <f>'1_Du_lieu'!E278</f>
        <v>6.8</v>
      </c>
      <c r="F240" s="9">
        <f>AVERAGE('1_Du_lieu'!$E$257:$E$319)</f>
        <v>8.5376785714285699</v>
      </c>
      <c r="G240" s="8">
        <f t="shared" si="7"/>
        <v>79.646943172073378</v>
      </c>
      <c r="H240" s="8">
        <f>'1_Du_lieu'!F278/AVERAGE('1_Du_lieu'!$F$257:$F$319)*100</f>
        <v>92.443901694397823</v>
      </c>
      <c r="I240" s="8">
        <f>'1_Du_lieu'!G278/AVERAGE('1_Du_lieu'!$G$257:$G$319)*100</f>
        <v>70.334643998755354</v>
      </c>
      <c r="J240" s="8">
        <f>'1_Du_lieu'!H278/AVERAGE('1_Du_lieu'!$H$257:$H$319)*100</f>
        <v>73.051736283232017</v>
      </c>
      <c r="K240" s="5">
        <f>'1_Du_lieu'!D278</f>
        <v>1</v>
      </c>
    </row>
    <row r="241" spans="1:11" x14ac:dyDescent="0.25">
      <c r="A241" t="s">
        <v>113</v>
      </c>
      <c r="B241">
        <v>2021</v>
      </c>
      <c r="C241" s="5" t="str">
        <f>'1_Du_lieu'!C279</f>
        <v>ĐBSH</v>
      </c>
      <c r="D241" s="5" t="str">
        <f t="shared" si="6"/>
        <v>2021–2024</v>
      </c>
      <c r="E241" s="8">
        <f>'1_Du_lieu'!E279</f>
        <v>11.11</v>
      </c>
      <c r="F241" s="9">
        <f>AVERAGE('1_Du_lieu'!$E$257:$E$319)</f>
        <v>8.5376785714285699</v>
      </c>
      <c r="G241" s="8">
        <f t="shared" si="7"/>
        <v>130.12904980025519</v>
      </c>
      <c r="H241" s="8">
        <f>'1_Du_lieu'!F279/AVERAGE('1_Du_lieu'!$F$257:$F$319)*100</f>
        <v>123.95054190199973</v>
      </c>
      <c r="I241" s="8">
        <f>'1_Du_lieu'!G279/AVERAGE('1_Du_lieu'!$G$257:$G$319)*100</f>
        <v>102.80897287205455</v>
      </c>
      <c r="J241" s="8">
        <f>'1_Du_lieu'!H279/AVERAGE('1_Du_lieu'!$H$257:$H$319)*100</f>
        <v>162.46706149390798</v>
      </c>
      <c r="K241" s="5">
        <f>'1_Du_lieu'!D279</f>
        <v>1</v>
      </c>
    </row>
    <row r="242" spans="1:11" x14ac:dyDescent="0.25">
      <c r="A242" t="s">
        <v>114</v>
      </c>
      <c r="B242">
        <v>2021</v>
      </c>
      <c r="C242" s="5" t="str">
        <f>'1_Du_lieu'!C280</f>
        <v>ĐBSCL</v>
      </c>
      <c r="D242" s="5" t="str">
        <f t="shared" si="6"/>
        <v>2021–2024</v>
      </c>
      <c r="E242" s="8">
        <f>'1_Du_lieu'!E280</f>
        <v>4.45</v>
      </c>
      <c r="F242" s="9">
        <f>AVERAGE('1_Du_lieu'!$E$257:$E$319)</f>
        <v>8.5376785714285699</v>
      </c>
      <c r="G242" s="8">
        <f t="shared" si="7"/>
        <v>52.121896634665674</v>
      </c>
      <c r="H242" s="8">
        <f>'1_Du_lieu'!F280/AVERAGE('1_Du_lieu'!$F$257:$F$319)*100</f>
        <v>69.912990383147616</v>
      </c>
      <c r="I242" s="8">
        <f>'1_Du_lieu'!G280/AVERAGE('1_Du_lieu'!$G$257:$G$319)*100</f>
        <v>39.602840089389268</v>
      </c>
      <c r="J242" s="8">
        <f>'1_Du_lieu'!H280/AVERAGE('1_Du_lieu'!$H$257:$H$319)*100</f>
        <v>42.516110516841032</v>
      </c>
      <c r="K242" s="5">
        <f>'1_Du_lieu'!D280</f>
        <v>0</v>
      </c>
    </row>
    <row r="243" spans="1:11" x14ac:dyDescent="0.25">
      <c r="A243" t="s">
        <v>115</v>
      </c>
      <c r="B243">
        <v>2021</v>
      </c>
      <c r="C243" s="5" t="str">
        <f>'1_Du_lieu'!C281</f>
        <v>BTB&amp;DHMT</v>
      </c>
      <c r="D243" s="5" t="str">
        <f t="shared" si="6"/>
        <v>2021–2024</v>
      </c>
      <c r="E243" s="8">
        <f>'1_Du_lieu'!E281</f>
        <v>9.7100000000000009</v>
      </c>
      <c r="F243" s="9">
        <f>AVERAGE('1_Du_lieu'!$E$257:$E$319)</f>
        <v>8.5376785714285699</v>
      </c>
      <c r="G243" s="8">
        <f t="shared" si="7"/>
        <v>113.73114973541657</v>
      </c>
      <c r="H243" s="8">
        <f>'1_Du_lieu'!F281/AVERAGE('1_Du_lieu'!$F$257:$F$319)*100</f>
        <v>120.59227598839874</v>
      </c>
      <c r="I243" s="8">
        <f>'1_Du_lieu'!G281/AVERAGE('1_Du_lieu'!$G$257:$G$319)*100</f>
        <v>61.305196458374589</v>
      </c>
      <c r="J243" s="8">
        <f>'1_Du_lieu'!H281/AVERAGE('1_Du_lieu'!$H$257:$H$319)*100</f>
        <v>153.84695661248659</v>
      </c>
      <c r="K243" s="5">
        <f>'1_Du_lieu'!D281</f>
        <v>0</v>
      </c>
    </row>
    <row r="244" spans="1:11" x14ac:dyDescent="0.25">
      <c r="A244" t="s">
        <v>116</v>
      </c>
      <c r="B244">
        <v>2021</v>
      </c>
      <c r="C244" s="5" t="str">
        <f>'1_Du_lieu'!C282</f>
        <v>ĐBSCL</v>
      </c>
      <c r="D244" s="5" t="str">
        <f t="shared" si="6"/>
        <v>2021–2024</v>
      </c>
      <c r="E244" s="8">
        <f>'1_Du_lieu'!E282</f>
        <v>5.69</v>
      </c>
      <c r="F244" s="9">
        <f>AVERAGE('1_Du_lieu'!$E$257:$E$319)</f>
        <v>8.5376785714285699</v>
      </c>
      <c r="G244" s="8">
        <f t="shared" si="7"/>
        <v>66.645750977808476</v>
      </c>
      <c r="H244" s="8">
        <f>'1_Du_lieu'!F282/AVERAGE('1_Du_lieu'!$F$257:$F$319)*100</f>
        <v>77.11799725232791</v>
      </c>
      <c r="I244" s="8">
        <f>'1_Du_lieu'!G282/AVERAGE('1_Du_lieu'!$G$257:$G$319)*100</f>
        <v>61.780430539447259</v>
      </c>
      <c r="J244" s="8">
        <f>'1_Du_lieu'!H282/AVERAGE('1_Du_lieu'!$H$257:$H$319)*100</f>
        <v>58.441389026585611</v>
      </c>
      <c r="K244" s="5">
        <f>'1_Du_lieu'!D282</f>
        <v>0</v>
      </c>
    </row>
    <row r="245" spans="1:11" x14ac:dyDescent="0.25">
      <c r="A245" t="s">
        <v>117</v>
      </c>
      <c r="B245">
        <v>2021</v>
      </c>
      <c r="C245" s="5" t="str">
        <f>'1_Du_lieu'!C283</f>
        <v>TN</v>
      </c>
      <c r="D245" s="5" t="str">
        <f t="shared" si="6"/>
        <v>2021–2024</v>
      </c>
      <c r="E245" s="8">
        <f>'1_Du_lieu'!E283</f>
        <v>4.5</v>
      </c>
      <c r="F245" s="9">
        <f>AVERAGE('1_Du_lieu'!$E$257:$E$319)</f>
        <v>8.5376785714285699</v>
      </c>
      <c r="G245" s="8">
        <f t="shared" si="7"/>
        <v>52.707535922695627</v>
      </c>
      <c r="H245" s="8">
        <f>'1_Du_lieu'!F283/AVERAGE('1_Du_lieu'!$F$257:$F$319)*100</f>
        <v>72.599603114028412</v>
      </c>
      <c r="I245" s="8">
        <f>'1_Du_lieu'!G283/AVERAGE('1_Du_lieu'!$G$257:$G$319)*100</f>
        <v>33.424797035444541</v>
      </c>
      <c r="J245" s="8">
        <f>'1_Du_lieu'!H283/AVERAGE('1_Du_lieu'!$H$257:$H$319)*100</f>
        <v>46.607007748702024</v>
      </c>
      <c r="K245" s="5">
        <f>'1_Du_lieu'!D283</f>
        <v>0</v>
      </c>
    </row>
    <row r="246" spans="1:11" x14ac:dyDescent="0.25">
      <c r="A246" t="s">
        <v>119</v>
      </c>
      <c r="B246">
        <v>2021</v>
      </c>
      <c r="C246" s="5" t="str">
        <f>'1_Du_lieu'!C285</f>
        <v>ĐBSCL</v>
      </c>
      <c r="D246" s="5" t="str">
        <f t="shared" si="6"/>
        <v>2021–2024</v>
      </c>
      <c r="E246" s="8">
        <f>'1_Du_lieu'!E285</f>
        <v>7.32</v>
      </c>
      <c r="F246" s="9">
        <f>AVERAGE('1_Du_lieu'!$E$257:$E$319)</f>
        <v>8.5376785714285699</v>
      </c>
      <c r="G246" s="8">
        <f t="shared" si="7"/>
        <v>85.737591767584888</v>
      </c>
      <c r="H246" s="8">
        <f>'1_Du_lieu'!F285/AVERAGE('1_Du_lieu'!$F$257:$F$319)*100</f>
        <v>90.123645245000773</v>
      </c>
      <c r="I246" s="8">
        <f>'1_Du_lieu'!G285/AVERAGE('1_Du_lieu'!$G$257:$G$319)*100</f>
        <v>79.522502899493645</v>
      </c>
      <c r="J246" s="8">
        <f>'1_Du_lieu'!H285/AVERAGE('1_Du_lieu'!$H$257:$H$319)*100</f>
        <v>86.201048814213777</v>
      </c>
      <c r="K246" s="5">
        <f>'1_Du_lieu'!D285</f>
        <v>0</v>
      </c>
    </row>
    <row r="247" spans="1:11" x14ac:dyDescent="0.25">
      <c r="A247" t="s">
        <v>120</v>
      </c>
      <c r="B247">
        <v>2021</v>
      </c>
      <c r="C247" s="5" t="str">
        <f>'1_Du_lieu'!C286</f>
        <v>TDMNPB</v>
      </c>
      <c r="D247" s="5" t="str">
        <f t="shared" si="6"/>
        <v>2021–2024</v>
      </c>
      <c r="E247" s="8">
        <f>'1_Du_lieu'!E286</f>
        <v>4.96</v>
      </c>
      <c r="F247" s="9">
        <f>AVERAGE('1_Du_lieu'!$E$257:$E$319)</f>
        <v>8.5376785714285699</v>
      </c>
      <c r="G247" s="8">
        <f t="shared" si="7"/>
        <v>58.095417372571177</v>
      </c>
      <c r="H247" s="8">
        <f>'1_Du_lieu'!F286/AVERAGE('1_Du_lieu'!$F$257:$F$319)*100</f>
        <v>76.873759731338737</v>
      </c>
      <c r="I247" s="8">
        <f>'1_Du_lieu'!G286/AVERAGE('1_Du_lieu'!$G$257:$G$319)*100</f>
        <v>38.33554920652881</v>
      </c>
      <c r="J247" s="8">
        <f>'1_Du_lieu'!H286/AVERAGE('1_Du_lieu'!$H$257:$H$319)*100</f>
        <v>54.058284849591686</v>
      </c>
      <c r="K247" s="5">
        <f>'1_Du_lieu'!D286</f>
        <v>0</v>
      </c>
    </row>
    <row r="248" spans="1:11" x14ac:dyDescent="0.25">
      <c r="A248" t="s">
        <v>121</v>
      </c>
      <c r="B248">
        <v>2021</v>
      </c>
      <c r="C248" s="5" t="str">
        <f>'1_Du_lieu'!C287</f>
        <v>TN</v>
      </c>
      <c r="D248" s="5" t="str">
        <f t="shared" si="6"/>
        <v>2021–2024</v>
      </c>
      <c r="E248" s="8">
        <f>'1_Du_lieu'!E287</f>
        <v>6.65</v>
      </c>
      <c r="F248" s="9">
        <f>AVERAGE('1_Du_lieu'!$E$257:$E$319)</f>
        <v>8.5376785714285699</v>
      </c>
      <c r="G248" s="8">
        <f t="shared" si="7"/>
        <v>77.890025307983535</v>
      </c>
      <c r="H248" s="8">
        <f>'1_Du_lieu'!F287/AVERAGE('1_Du_lieu'!$F$257:$F$319)*100</f>
        <v>97.756067775912086</v>
      </c>
      <c r="I248" s="8">
        <f>'1_Du_lieu'!G287/AVERAGE('1_Du_lieu'!$G$257:$G$319)*100</f>
        <v>55.919210206217642</v>
      </c>
      <c r="J248" s="8">
        <f>'1_Du_lieu'!H287/AVERAGE('1_Du_lieu'!$H$257:$H$319)*100</f>
        <v>74.51277100889665</v>
      </c>
      <c r="K248" s="5">
        <f>'1_Du_lieu'!D287</f>
        <v>0</v>
      </c>
    </row>
    <row r="249" spans="1:11" x14ac:dyDescent="0.25">
      <c r="A249" t="s">
        <v>122</v>
      </c>
      <c r="B249">
        <v>2021</v>
      </c>
      <c r="C249" s="5" t="str">
        <f>'1_Du_lieu'!C288</f>
        <v>TDMNPB</v>
      </c>
      <c r="D249" s="5" t="str">
        <f t="shared" si="6"/>
        <v>2021–2024</v>
      </c>
      <c r="E249" s="8">
        <f>'1_Du_lieu'!E288</f>
        <v>4.21</v>
      </c>
      <c r="F249" s="9">
        <f>AVERAGE('1_Du_lieu'!$E$257:$E$319)</f>
        <v>8.5376785714285699</v>
      </c>
      <c r="G249" s="8">
        <f t="shared" si="7"/>
        <v>49.310828052121906</v>
      </c>
      <c r="H249" s="8">
        <f>'1_Du_lieu'!F288/AVERAGE('1_Du_lieu'!$F$257:$F$319)*100</f>
        <v>69.790871622653043</v>
      </c>
      <c r="I249" s="8">
        <f>'1_Du_lieu'!G288/AVERAGE('1_Du_lieu'!$G$257:$G$319)*100</f>
        <v>34.692087918304999</v>
      </c>
      <c r="J249" s="8">
        <f>'1_Du_lieu'!H288/AVERAGE('1_Du_lieu'!$H$257:$H$319)*100</f>
        <v>38.279109812413573</v>
      </c>
      <c r="K249" s="5">
        <f>'1_Du_lieu'!D288</f>
        <v>0</v>
      </c>
    </row>
    <row r="250" spans="1:11" x14ac:dyDescent="0.25">
      <c r="A250" t="s">
        <v>123</v>
      </c>
      <c r="B250">
        <v>2021</v>
      </c>
      <c r="C250" s="5" t="str">
        <f>'1_Du_lieu'!C289</f>
        <v>ĐBSH</v>
      </c>
      <c r="D250" s="5" t="str">
        <f t="shared" si="6"/>
        <v>2021–2024</v>
      </c>
      <c r="E250" s="8">
        <f>'1_Du_lieu'!E289</f>
        <v>6.73</v>
      </c>
      <c r="F250" s="9">
        <f>AVERAGE('1_Du_lieu'!$E$257:$E$319)</f>
        <v>8.5376785714285699</v>
      </c>
      <c r="G250" s="8">
        <f t="shared" si="7"/>
        <v>78.827048168831453</v>
      </c>
      <c r="H250" s="8">
        <f>'1_Du_lieu'!F289/AVERAGE('1_Du_lieu'!$F$257:$F$319)*100</f>
        <v>100.50373988704015</v>
      </c>
      <c r="I250" s="8">
        <f>'1_Du_lieu'!G289/AVERAGE('1_Du_lieu'!$G$257:$G$319)*100</f>
        <v>81.423439223784328</v>
      </c>
      <c r="J250" s="8">
        <f>'1_Du_lieu'!H289/AVERAGE('1_Du_lieu'!$H$257:$H$319)*100</f>
        <v>50.551801507996551</v>
      </c>
      <c r="K250" s="5">
        <f>'1_Du_lieu'!D289</f>
        <v>1</v>
      </c>
    </row>
    <row r="251" spans="1:11" x14ac:dyDescent="0.25">
      <c r="A251" t="s">
        <v>124</v>
      </c>
      <c r="B251">
        <v>2021</v>
      </c>
      <c r="C251" s="5" t="str">
        <f>'1_Du_lieu'!C290</f>
        <v>BTB&amp;DHMT</v>
      </c>
      <c r="D251" s="5" t="str">
        <f t="shared" si="6"/>
        <v>2021–2024</v>
      </c>
      <c r="E251" s="8">
        <f>'1_Du_lieu'!E290</f>
        <v>6.7</v>
      </c>
      <c r="F251" s="9">
        <f>AVERAGE('1_Du_lieu'!$E$257:$E$319)</f>
        <v>8.5376785714285699</v>
      </c>
      <c r="G251" s="8">
        <f t="shared" si="7"/>
        <v>78.475664596013488</v>
      </c>
      <c r="H251" s="8">
        <f>'1_Du_lieu'!F290/AVERAGE('1_Du_lieu'!$F$257:$F$319)*100</f>
        <v>90.978476568462838</v>
      </c>
      <c r="I251" s="8">
        <f>'1_Du_lieu'!G290/AVERAGE('1_Du_lieu'!$G$257:$G$319)*100</f>
        <v>73.027637124833817</v>
      </c>
      <c r="J251" s="8">
        <f>'1_Du_lieu'!H290/AVERAGE('1_Du_lieu'!$H$257:$H$319)*100</f>
        <v>68.668632106238093</v>
      </c>
      <c r="K251" s="5">
        <f>'1_Du_lieu'!D290</f>
        <v>0</v>
      </c>
    </row>
    <row r="252" spans="1:11" x14ac:dyDescent="0.25">
      <c r="A252" t="s">
        <v>125</v>
      </c>
      <c r="B252">
        <v>2021</v>
      </c>
      <c r="C252" s="5" t="str">
        <f>'1_Du_lieu'!C291</f>
        <v>ĐBSH</v>
      </c>
      <c r="D252" s="5" t="str">
        <f t="shared" si="6"/>
        <v>2021–2024</v>
      </c>
      <c r="E252" s="8">
        <f>'1_Du_lieu'!E291</f>
        <v>6.31</v>
      </c>
      <c r="F252" s="9">
        <f>AVERAGE('1_Du_lieu'!$E$257:$E$319)</f>
        <v>8.5376785714285699</v>
      </c>
      <c r="G252" s="8">
        <f t="shared" si="7"/>
        <v>73.907678149379862</v>
      </c>
      <c r="H252" s="8">
        <f>'1_Du_lieu'!F291/AVERAGE('1_Du_lieu'!$F$257:$F$319)*100</f>
        <v>92.688139215386983</v>
      </c>
      <c r="I252" s="8">
        <f>'1_Du_lieu'!G291/AVERAGE('1_Du_lieu'!$G$257:$G$319)*100</f>
        <v>56.869678368362983</v>
      </c>
      <c r="J252" s="8">
        <f>'1_Du_lieu'!H291/AVERAGE('1_Du_lieu'!$H$257:$H$319)*100</f>
        <v>67.207597380573446</v>
      </c>
      <c r="K252" s="5">
        <f>'1_Du_lieu'!D291</f>
        <v>1</v>
      </c>
    </row>
    <row r="253" spans="1:11" x14ac:dyDescent="0.25">
      <c r="A253" t="s">
        <v>126</v>
      </c>
      <c r="B253">
        <v>2021</v>
      </c>
      <c r="C253" s="5" t="str">
        <f>'1_Du_lieu'!C292</f>
        <v>BTB&amp;DHMT</v>
      </c>
      <c r="D253" s="5" t="str">
        <f t="shared" si="6"/>
        <v>2021–2024</v>
      </c>
      <c r="E253" s="8">
        <f>'1_Du_lieu'!E292</f>
        <v>5.26</v>
      </c>
      <c r="F253" s="9">
        <f>AVERAGE('1_Du_lieu'!$E$257:$E$319)</f>
        <v>8.5376785714285699</v>
      </c>
      <c r="G253" s="8">
        <f t="shared" si="7"/>
        <v>61.609253100750884</v>
      </c>
      <c r="H253" s="8">
        <f>'1_Du_lieu'!F292/AVERAGE('1_Du_lieu'!$F$257:$F$319)*100</f>
        <v>77.667531674553516</v>
      </c>
      <c r="I253" s="8">
        <f>'1_Du_lieu'!G292/AVERAGE('1_Du_lieu'!$G$257:$G$319)*100</f>
        <v>42.137421855110183</v>
      </c>
      <c r="J253" s="8">
        <f>'1_Du_lieu'!H292/AVERAGE('1_Du_lieu'!$H$257:$H$319)*100</f>
        <v>60.4868376425161</v>
      </c>
      <c r="K253" s="5">
        <f>'1_Du_lieu'!D292</f>
        <v>0</v>
      </c>
    </row>
    <row r="254" spans="1:11" x14ac:dyDescent="0.25">
      <c r="A254" t="s">
        <v>127</v>
      </c>
      <c r="B254">
        <v>2021</v>
      </c>
      <c r="C254" s="5" t="str">
        <f>'1_Du_lieu'!C293</f>
        <v>TDMNPB</v>
      </c>
      <c r="D254" s="5" t="str">
        <f t="shared" si="6"/>
        <v>2021–2024</v>
      </c>
      <c r="E254" s="8">
        <f>'1_Du_lieu'!E293</f>
        <v>5.28</v>
      </c>
      <c r="F254" s="9">
        <f>AVERAGE('1_Du_lieu'!$E$257:$E$319)</f>
        <v>8.5376785714285699</v>
      </c>
      <c r="G254" s="8">
        <f t="shared" si="7"/>
        <v>61.843508815962863</v>
      </c>
      <c r="H254" s="8">
        <f>'1_Du_lieu'!F293/AVERAGE('1_Du_lieu'!$F$257:$F$319)*100</f>
        <v>81.514272630132808</v>
      </c>
      <c r="I254" s="8">
        <f>'1_Du_lieu'!G293/AVERAGE('1_Du_lieu'!$G$257:$G$319)*100</f>
        <v>46.414528584764227</v>
      </c>
      <c r="J254" s="8">
        <f>'1_Du_lieu'!H293/AVERAGE('1_Du_lieu'!$H$257:$H$319)*100</f>
        <v>52.597250123927054</v>
      </c>
      <c r="K254" s="5">
        <f>'1_Du_lieu'!D293</f>
        <v>0</v>
      </c>
    </row>
    <row r="255" spans="1:11" x14ac:dyDescent="0.25">
      <c r="A255" t="s">
        <v>128</v>
      </c>
      <c r="B255">
        <v>2021</v>
      </c>
      <c r="C255" s="5" t="str">
        <f>'1_Du_lieu'!C294</f>
        <v>BTB&amp;DHMT</v>
      </c>
      <c r="D255" s="5" t="str">
        <f t="shared" si="6"/>
        <v>2021–2024</v>
      </c>
      <c r="E255" s="8">
        <f>'1_Du_lieu'!E294</f>
        <v>5</v>
      </c>
      <c r="F255" s="9">
        <f>AVERAGE('1_Du_lieu'!$E$257:$E$319)</f>
        <v>8.5376785714285699</v>
      </c>
      <c r="G255" s="8">
        <f t="shared" si="7"/>
        <v>58.563928802995136</v>
      </c>
      <c r="H255" s="8">
        <f>'1_Du_lieu'!F294/AVERAGE('1_Du_lieu'!$F$257:$F$319)*100</f>
        <v>77.606472294306229</v>
      </c>
      <c r="I255" s="8">
        <f>'1_Du_lieu'!G294/AVERAGE('1_Du_lieu'!$G$257:$G$319)*100</f>
        <v>45.147237701903769</v>
      </c>
      <c r="J255" s="8">
        <f>'1_Du_lieu'!H294/AVERAGE('1_Du_lieu'!$H$257:$H$319)*100</f>
        <v>48.214145946933122</v>
      </c>
      <c r="K255" s="5">
        <f>'1_Du_lieu'!D294</f>
        <v>0</v>
      </c>
    </row>
    <row r="256" spans="1:11" x14ac:dyDescent="0.25">
      <c r="A256" t="s">
        <v>129</v>
      </c>
      <c r="B256">
        <v>2021</v>
      </c>
      <c r="C256" s="5" t="str">
        <f>'1_Du_lieu'!C295</f>
        <v>BTB&amp;DHMT</v>
      </c>
      <c r="D256" s="5" t="str">
        <f t="shared" si="6"/>
        <v>2021–2024</v>
      </c>
      <c r="E256" s="8">
        <f>'1_Du_lieu'!E295</f>
        <v>5.32</v>
      </c>
      <c r="F256" s="9">
        <f>AVERAGE('1_Du_lieu'!$E$257:$E$319)</f>
        <v>8.5376785714285699</v>
      </c>
      <c r="G256" s="8">
        <f t="shared" si="7"/>
        <v>62.312020246386837</v>
      </c>
      <c r="H256" s="8">
        <f>'1_Du_lieu'!F295/AVERAGE('1_Du_lieu'!$F$257:$F$319)*100</f>
        <v>81.392153869638236</v>
      </c>
      <c r="I256" s="8">
        <f>'1_Du_lieu'!G295/AVERAGE('1_Du_lieu'!$G$257:$G$319)*100</f>
        <v>43.246301377613086</v>
      </c>
      <c r="J256" s="8">
        <f>'1_Du_lieu'!H295/AVERAGE('1_Du_lieu'!$H$257:$H$319)*100</f>
        <v>56.980354300920965</v>
      </c>
      <c r="K256" s="5">
        <f>'1_Du_lieu'!D295</f>
        <v>0</v>
      </c>
    </row>
    <row r="257" spans="1:11" x14ac:dyDescent="0.25">
      <c r="A257" t="s">
        <v>130</v>
      </c>
      <c r="B257">
        <v>2021</v>
      </c>
      <c r="C257" s="5" t="str">
        <f>'1_Du_lieu'!C296</f>
        <v>BTB&amp;DHMT</v>
      </c>
      <c r="D257" s="5" t="str">
        <f t="shared" si="6"/>
        <v>2021–2024</v>
      </c>
      <c r="E257" s="8">
        <f>'1_Du_lieu'!E296</f>
        <v>6.25</v>
      </c>
      <c r="F257" s="9">
        <f>AVERAGE('1_Du_lieu'!$E$257:$E$319)</f>
        <v>8.5376785714285699</v>
      </c>
      <c r="G257" s="8">
        <f t="shared" si="7"/>
        <v>73.204911003743916</v>
      </c>
      <c r="H257" s="8">
        <f>'1_Du_lieu'!F296/AVERAGE('1_Du_lieu'!$F$257:$F$319)*100</f>
        <v>93.054495496870729</v>
      </c>
      <c r="I257" s="8">
        <f>'1_Du_lieu'!G296/AVERAGE('1_Du_lieu'!$G$257:$G$319)*100</f>
        <v>46.572939945121774</v>
      </c>
      <c r="J257" s="8">
        <f>'1_Du_lieu'!H296/AVERAGE('1_Du_lieu'!$H$257:$H$319)*100</f>
        <v>74.074460591197266</v>
      </c>
      <c r="K257" s="5">
        <f>'1_Du_lieu'!D296</f>
        <v>0</v>
      </c>
    </row>
    <row r="258" spans="1:11" x14ac:dyDescent="0.25">
      <c r="A258" t="s">
        <v>131</v>
      </c>
      <c r="B258">
        <v>2021</v>
      </c>
      <c r="C258" s="5" t="str">
        <f>'1_Du_lieu'!C297</f>
        <v>BTB&amp;DHMT</v>
      </c>
      <c r="D258" s="5" t="str">
        <f t="shared" si="6"/>
        <v>2021–2024</v>
      </c>
      <c r="E258" s="8">
        <f>'1_Du_lieu'!E297</f>
        <v>5.53</v>
      </c>
      <c r="F258" s="9">
        <f>AVERAGE('1_Du_lieu'!$E$257:$E$319)</f>
        <v>8.5376785714285699</v>
      </c>
      <c r="G258" s="8">
        <f t="shared" si="7"/>
        <v>64.771705256112625</v>
      </c>
      <c r="H258" s="8">
        <f>'1_Du_lieu'!F297/AVERAGE('1_Du_lieu'!$F$257:$F$319)*100</f>
        <v>86.276904289421481</v>
      </c>
      <c r="I258" s="8">
        <f>'1_Du_lieu'!G297/AVERAGE('1_Du_lieu'!$G$257:$G$319)*100</f>
        <v>45.305649062261324</v>
      </c>
      <c r="J258" s="8">
        <f>'1_Du_lieu'!H297/AVERAGE('1_Du_lieu'!$H$257:$H$319)*100</f>
        <v>56.980354300920965</v>
      </c>
      <c r="K258" s="5">
        <f>'1_Du_lieu'!D297</f>
        <v>0</v>
      </c>
    </row>
    <row r="259" spans="1:11" x14ac:dyDescent="0.25">
      <c r="A259" t="s">
        <v>132</v>
      </c>
      <c r="B259">
        <v>2021</v>
      </c>
      <c r="C259" s="5" t="str">
        <f>'1_Du_lieu'!C298</f>
        <v>ĐBSH</v>
      </c>
      <c r="D259" s="5" t="str">
        <f t="shared" si="6"/>
        <v>2021–2024</v>
      </c>
      <c r="E259" s="8">
        <f>'1_Du_lieu'!E298</f>
        <v>8.02</v>
      </c>
      <c r="F259" s="9">
        <f>AVERAGE('1_Du_lieu'!$E$257:$E$319)</f>
        <v>8.5376785714285699</v>
      </c>
      <c r="G259" s="8">
        <f t="shared" si="7"/>
        <v>93.936541800004193</v>
      </c>
      <c r="H259" s="8">
        <f>'1_Du_lieu'!F298/AVERAGE('1_Du_lieu'!$F$257:$F$319)*100</f>
        <v>97.756067775912086</v>
      </c>
      <c r="I259" s="8">
        <f>'1_Du_lieu'!G298/AVERAGE('1_Du_lieu'!$G$257:$G$319)*100</f>
        <v>79.839325620208768</v>
      </c>
      <c r="J259" s="8">
        <f>'1_Du_lieu'!H298/AVERAGE('1_Du_lieu'!$H$257:$H$319)*100</f>
        <v>102.56463774165773</v>
      </c>
      <c r="K259" s="5">
        <f>'1_Du_lieu'!D298</f>
        <v>1</v>
      </c>
    </row>
    <row r="260" spans="1:11" x14ac:dyDescent="0.25">
      <c r="A260" t="s">
        <v>133</v>
      </c>
      <c r="B260">
        <v>2021</v>
      </c>
      <c r="C260" s="5" t="str">
        <f>'1_Du_lieu'!C299</f>
        <v>BTB&amp;DHMT</v>
      </c>
      <c r="D260" s="5" t="str">
        <f t="shared" si="6"/>
        <v>2021–2024</v>
      </c>
      <c r="E260" s="8">
        <f>'1_Du_lieu'!E299</f>
        <v>5.4</v>
      </c>
      <c r="F260" s="9">
        <f>AVERAGE('1_Du_lieu'!$E$257:$E$319)</f>
        <v>8.5376785714285699</v>
      </c>
      <c r="G260" s="8">
        <f t="shared" si="7"/>
        <v>63.249043107234748</v>
      </c>
      <c r="H260" s="8">
        <f>'1_Du_lieu'!F299/AVERAGE('1_Du_lieu'!$F$257:$F$319)*100</f>
        <v>78.827659899252041</v>
      </c>
      <c r="I260" s="8">
        <f>'1_Du_lieu'!G299/AVERAGE('1_Du_lieu'!$G$257:$G$319)*100</f>
        <v>41.186953692964842</v>
      </c>
      <c r="J260" s="8">
        <f>'1_Du_lieu'!H299/AVERAGE('1_Du_lieu'!$H$257:$H$319)*100</f>
        <v>64.869941819510032</v>
      </c>
      <c r="K260" s="5">
        <f>'1_Du_lieu'!D299</f>
        <v>0</v>
      </c>
    </row>
    <row r="261" spans="1:11" x14ac:dyDescent="0.25">
      <c r="A261" t="s">
        <v>136</v>
      </c>
      <c r="B261">
        <v>2021</v>
      </c>
      <c r="C261" s="5" t="str">
        <f>'1_Du_lieu'!C302</f>
        <v>ĐNB</v>
      </c>
      <c r="D261" s="5" t="str">
        <f t="shared" ref="D261:D324" si="8">IF(B261&lt;=2020,"2017–2020","2021–2024")</f>
        <v>2021–2024</v>
      </c>
      <c r="E261" s="8">
        <f>'1_Du_lieu'!E302</f>
        <v>67.63</v>
      </c>
      <c r="F261" s="9">
        <f>AVERAGE('1_Du_lieu'!$E$257:$E$319)</f>
        <v>8.5376785714285699</v>
      </c>
      <c r="G261" s="8">
        <f t="shared" ref="G261:G324" si="9">E261/F261*100</f>
        <v>792.13570098931211</v>
      </c>
      <c r="H261" s="8">
        <f>'1_Du_lieu'!F302/AVERAGE('1_Du_lieu'!$F$257:$F$319)*100</f>
        <v>391.57380552587398</v>
      </c>
      <c r="I261" s="8">
        <f>'1_Du_lieu'!G302/AVERAGE('1_Du_lieu'!$G$257:$G$319)*100</f>
        <v>1208.9955022488755</v>
      </c>
      <c r="J261" s="8">
        <f>'1_Du_lieu'!H302/AVERAGE('1_Du_lieu'!$H$257:$H$319)*100</f>
        <v>886.55587153330373</v>
      </c>
      <c r="K261" s="5">
        <f>'1_Du_lieu'!D302</f>
        <v>1</v>
      </c>
    </row>
    <row r="262" spans="1:11" x14ac:dyDescent="0.25">
      <c r="A262" t="s">
        <v>137</v>
      </c>
      <c r="B262">
        <v>2021</v>
      </c>
      <c r="C262" s="5" t="str">
        <f>'1_Du_lieu'!C303</f>
        <v>BTB&amp;DHMT</v>
      </c>
      <c r="D262" s="5" t="str">
        <f t="shared" si="8"/>
        <v>2021–2024</v>
      </c>
      <c r="E262" s="8">
        <f>'1_Du_lieu'!E303</f>
        <v>6.8</v>
      </c>
      <c r="F262" s="9">
        <f>AVERAGE('1_Du_lieu'!$E$257:$E$319)</f>
        <v>8.5376785714285699</v>
      </c>
      <c r="G262" s="8">
        <f t="shared" si="9"/>
        <v>79.646943172073378</v>
      </c>
      <c r="H262" s="8">
        <f>'1_Du_lieu'!F303/AVERAGE('1_Du_lieu'!$F$257:$F$319)*100</f>
        <v>92.810257975881555</v>
      </c>
      <c r="I262" s="8">
        <f>'1_Du_lieu'!G303/AVERAGE('1_Du_lieu'!$G$257:$G$319)*100</f>
        <v>73.661282566264035</v>
      </c>
      <c r="J262" s="8">
        <f>'1_Du_lieu'!H303/AVERAGE('1_Du_lieu'!$H$257:$H$319)*100</f>
        <v>69.399149469070409</v>
      </c>
      <c r="K262" s="5">
        <f>'1_Du_lieu'!D303</f>
        <v>0</v>
      </c>
    </row>
    <row r="263" spans="1:11" x14ac:dyDescent="0.25">
      <c r="A263" t="s">
        <v>138</v>
      </c>
      <c r="B263">
        <v>2021</v>
      </c>
      <c r="C263" s="5" t="str">
        <f>'1_Du_lieu'!C304</f>
        <v>ĐBSH</v>
      </c>
      <c r="D263" s="5" t="str">
        <f t="shared" si="8"/>
        <v>2021–2024</v>
      </c>
      <c r="E263" s="8">
        <f>'1_Du_lieu'!E304</f>
        <v>5.48</v>
      </c>
      <c r="F263" s="9">
        <f>AVERAGE('1_Du_lieu'!$E$257:$E$319)</f>
        <v>8.5376785714285699</v>
      </c>
      <c r="G263" s="8">
        <f t="shared" si="9"/>
        <v>64.186065968082673</v>
      </c>
      <c r="H263" s="8">
        <f>'1_Du_lieu'!F304/AVERAGE('1_Du_lieu'!$F$257:$F$319)*100</f>
        <v>88.902457640054962</v>
      </c>
      <c r="I263" s="8">
        <f>'1_Du_lieu'!G304/AVERAGE('1_Du_lieu'!$G$257:$G$319)*100</f>
        <v>55.127153404429862</v>
      </c>
      <c r="J263" s="8">
        <f>'1_Du_lieu'!H304/AVERAGE('1_Du_lieu'!$H$257:$H$319)*100</f>
        <v>42.954420934540423</v>
      </c>
      <c r="K263" s="5">
        <f>'1_Du_lieu'!D304</f>
        <v>1</v>
      </c>
    </row>
    <row r="264" spans="1:11" x14ac:dyDescent="0.25">
      <c r="A264" t="s">
        <v>139</v>
      </c>
      <c r="B264">
        <v>2021</v>
      </c>
      <c r="C264" s="5" t="str">
        <f>'1_Du_lieu'!C305</f>
        <v>TDMNPB</v>
      </c>
      <c r="D264" s="5" t="str">
        <f t="shared" si="8"/>
        <v>2021–2024</v>
      </c>
      <c r="E264" s="8">
        <f>'1_Du_lieu'!E305</f>
        <v>6.38</v>
      </c>
      <c r="F264" s="9">
        <f>AVERAGE('1_Du_lieu'!$E$257:$E$319)</f>
        <v>8.5376785714285699</v>
      </c>
      <c r="G264" s="8">
        <f t="shared" si="9"/>
        <v>74.727573152621801</v>
      </c>
      <c r="H264" s="8">
        <f>'1_Du_lieu'!F305/AVERAGE('1_Du_lieu'!$F$257:$F$319)*100</f>
        <v>88.597160738818516</v>
      </c>
      <c r="I264" s="8">
        <f>'1_Du_lieu'!G305/AVERAGE('1_Du_lieu'!$G$257:$G$319)*100</f>
        <v>65.265480467313523</v>
      </c>
      <c r="J264" s="8">
        <f>'1_Du_lieu'!H305/AVERAGE('1_Du_lieu'!$H$257:$H$319)*100</f>
        <v>67.06149390800698</v>
      </c>
      <c r="K264" s="5">
        <f>'1_Du_lieu'!D305</f>
        <v>0</v>
      </c>
    </row>
    <row r="265" spans="1:11" x14ac:dyDescent="0.25">
      <c r="A265" t="s">
        <v>140</v>
      </c>
      <c r="B265">
        <v>2021</v>
      </c>
      <c r="C265" s="5" t="str">
        <f>'1_Du_lieu'!C306</f>
        <v>BTB&amp;DHMT</v>
      </c>
      <c r="D265" s="5" t="str">
        <f t="shared" si="8"/>
        <v>2021–2024</v>
      </c>
      <c r="E265" s="8">
        <f>'1_Du_lieu'!E306</f>
        <v>6.15</v>
      </c>
      <c r="F265" s="9">
        <f>AVERAGE('1_Du_lieu'!$E$257:$E$319)</f>
        <v>8.5376785714285699</v>
      </c>
      <c r="G265" s="8">
        <f t="shared" si="9"/>
        <v>72.033632427684026</v>
      </c>
      <c r="H265" s="8">
        <f>'1_Du_lieu'!F306/AVERAGE('1_Du_lieu'!$F$257:$F$319)*100</f>
        <v>86.399023049916053</v>
      </c>
      <c r="I265" s="8">
        <f>'1_Du_lieu'!G306/AVERAGE('1_Du_lieu'!$G$257:$G$319)*100</f>
        <v>49.582755791915361</v>
      </c>
      <c r="J265" s="8">
        <f>'1_Du_lieu'!H306/AVERAGE('1_Du_lieu'!$H$257:$H$319)*100</f>
        <v>75.681598789428364</v>
      </c>
      <c r="K265" s="5">
        <f>'1_Du_lieu'!D306</f>
        <v>0</v>
      </c>
    </row>
    <row r="266" spans="1:11" x14ac:dyDescent="0.25">
      <c r="A266" t="s">
        <v>141</v>
      </c>
      <c r="B266">
        <v>2021</v>
      </c>
      <c r="C266" s="5" t="str">
        <f>'1_Du_lieu'!C307</f>
        <v>ĐBSCL</v>
      </c>
      <c r="D266" s="5" t="str">
        <f t="shared" si="8"/>
        <v>2021–2024</v>
      </c>
      <c r="E266" s="8">
        <f>'1_Du_lieu'!E307</f>
        <v>5.36</v>
      </c>
      <c r="F266" s="9">
        <f>AVERAGE('1_Du_lieu'!$E$257:$E$319)</f>
        <v>8.5376785714285699</v>
      </c>
      <c r="G266" s="8">
        <f t="shared" si="9"/>
        <v>62.780531676810789</v>
      </c>
      <c r="H266" s="8">
        <f>'1_Du_lieu'!F307/AVERAGE('1_Du_lieu'!$F$257:$F$319)*100</f>
        <v>74.187147000457955</v>
      </c>
      <c r="I266" s="8">
        <f>'1_Du_lieu'!G307/AVERAGE('1_Du_lieu'!$G$257:$G$319)*100</f>
        <v>60.513139656586802</v>
      </c>
      <c r="J266" s="8">
        <f>'1_Du_lieu'!H307/AVERAGE('1_Du_lieu'!$H$257:$H$319)*100</f>
        <v>51.136215398262408</v>
      </c>
      <c r="K266" s="5">
        <f>'1_Du_lieu'!D307</f>
        <v>0</v>
      </c>
    </row>
    <row r="267" spans="1:11" x14ac:dyDescent="0.25">
      <c r="A267" t="s">
        <v>142</v>
      </c>
      <c r="B267">
        <v>2021</v>
      </c>
      <c r="C267" s="5" t="str">
        <f>'1_Du_lieu'!C308</f>
        <v>ĐBSCL</v>
      </c>
      <c r="D267" s="5" t="str">
        <f t="shared" si="8"/>
        <v>2021–2024</v>
      </c>
      <c r="E267" s="8">
        <f>'1_Du_lieu'!E308</f>
        <v>4.38</v>
      </c>
      <c r="F267" s="9">
        <f>AVERAGE('1_Du_lieu'!$E$257:$E$319)</f>
        <v>8.5376785714285699</v>
      </c>
      <c r="G267" s="8">
        <f t="shared" si="9"/>
        <v>51.302001631423742</v>
      </c>
      <c r="H267" s="8">
        <f>'1_Du_lieu'!F308/AVERAGE('1_Du_lieu'!$F$257:$F$319)*100</f>
        <v>71.561593649824474</v>
      </c>
      <c r="I267" s="8">
        <f>'1_Du_lieu'!G308/AVERAGE('1_Du_lieu'!$G$257:$G$319)*100</f>
        <v>45.939294503691549</v>
      </c>
      <c r="J267" s="8">
        <f>'1_Du_lieu'!H308/AVERAGE('1_Du_lieu'!$H$257:$H$319)*100</f>
        <v>31.996660492055618</v>
      </c>
      <c r="K267" s="5">
        <f>'1_Du_lieu'!D308</f>
        <v>0</v>
      </c>
    </row>
    <row r="268" spans="1:11" x14ac:dyDescent="0.25">
      <c r="A268" t="s">
        <v>143</v>
      </c>
      <c r="B268">
        <v>2021</v>
      </c>
      <c r="C268" s="5" t="str">
        <f>'1_Du_lieu'!C309</f>
        <v>TDMNPB</v>
      </c>
      <c r="D268" s="5" t="str">
        <f t="shared" si="8"/>
        <v>2021–2024</v>
      </c>
      <c r="E268" s="8">
        <f>'1_Du_lieu'!E309</f>
        <v>4</v>
      </c>
      <c r="F268" s="9">
        <f>AVERAGE('1_Du_lieu'!$E$257:$E$319)</f>
        <v>8.5376785714285699</v>
      </c>
      <c r="G268" s="8">
        <f t="shared" si="9"/>
        <v>46.85114304239611</v>
      </c>
      <c r="H268" s="8">
        <f>'1_Du_lieu'!F309/AVERAGE('1_Du_lieu'!$F$257:$F$319)*100</f>
        <v>71.012059227598854</v>
      </c>
      <c r="I268" s="8">
        <f>'1_Du_lieu'!G309/AVERAGE('1_Du_lieu'!$G$257:$G$319)*100</f>
        <v>37.068258323668353</v>
      </c>
      <c r="J268" s="8">
        <f>'1_Du_lieu'!H309/AVERAGE('1_Du_lieu'!$H$257:$H$319)*100</f>
        <v>27.175245897362309</v>
      </c>
      <c r="K268" s="5">
        <f>'1_Du_lieu'!D309</f>
        <v>0</v>
      </c>
    </row>
    <row r="269" spans="1:11" x14ac:dyDescent="0.25">
      <c r="A269" t="s">
        <v>144</v>
      </c>
      <c r="B269">
        <v>2021</v>
      </c>
      <c r="C269" s="5" t="str">
        <f>'1_Du_lieu'!C310</f>
        <v>ĐNB</v>
      </c>
      <c r="D269" s="5" t="str">
        <f t="shared" si="8"/>
        <v>2021–2024</v>
      </c>
      <c r="E269" s="8">
        <f>'1_Du_lieu'!E310</f>
        <v>5.56</v>
      </c>
      <c r="F269" s="9">
        <f>AVERAGE('1_Du_lieu'!$E$257:$E$319)</f>
        <v>8.5376785714285699</v>
      </c>
      <c r="G269" s="8">
        <f t="shared" si="9"/>
        <v>65.123088828930591</v>
      </c>
      <c r="H269" s="8">
        <f>'1_Du_lieu'!F310/AVERAGE('1_Du_lieu'!$F$257:$F$319)*100</f>
        <v>75.835750267134799</v>
      </c>
      <c r="I269" s="8">
        <f>'1_Du_lieu'!G310/AVERAGE('1_Du_lieu'!$G$257:$G$319)*100</f>
        <v>63.839778224095511</v>
      </c>
      <c r="J269" s="8">
        <f>'1_Du_lieu'!H310/AVERAGE('1_Du_lieu'!$H$257:$H$319)*100</f>
        <v>53.473870959325829</v>
      </c>
      <c r="K269" s="5">
        <f>'1_Du_lieu'!D310</f>
        <v>1</v>
      </c>
    </row>
    <row r="270" spans="1:11" x14ac:dyDescent="0.25">
      <c r="A270" t="s">
        <v>145</v>
      </c>
      <c r="B270">
        <v>2021</v>
      </c>
      <c r="C270" s="5" t="str">
        <f>'1_Du_lieu'!C311</f>
        <v>ĐBSCL</v>
      </c>
      <c r="D270" s="5" t="str">
        <f t="shared" si="8"/>
        <v>2021–2024</v>
      </c>
      <c r="E270" s="8">
        <f>'1_Du_lieu'!E311</f>
        <v>4.5999999999999996</v>
      </c>
      <c r="F270" s="9">
        <f>AVERAGE('1_Du_lieu'!$E$257:$E$319)</f>
        <v>8.5376785714285699</v>
      </c>
      <c r="G270" s="8">
        <f t="shared" si="9"/>
        <v>53.878814498755524</v>
      </c>
      <c r="H270" s="8">
        <f>'1_Du_lieu'!F311/AVERAGE('1_Du_lieu'!$F$257:$F$319)*100</f>
        <v>70.950999847351554</v>
      </c>
      <c r="I270" s="8">
        <f>'1_Du_lieu'!G311/AVERAGE('1_Du_lieu'!$G$257:$G$319)*100</f>
        <v>48.315464909054903</v>
      </c>
      <c r="J270" s="8">
        <f>'1_Du_lieu'!H311/AVERAGE('1_Du_lieu'!$H$257:$H$319)*100</f>
        <v>38.425213284980039</v>
      </c>
      <c r="K270" s="5">
        <f>'1_Du_lieu'!D311</f>
        <v>0</v>
      </c>
    </row>
    <row r="271" spans="1:11" x14ac:dyDescent="0.25">
      <c r="A271" t="s">
        <v>146</v>
      </c>
      <c r="B271">
        <v>2021</v>
      </c>
      <c r="C271" s="5" t="str">
        <f>'1_Du_lieu'!C312</f>
        <v>ĐBSH</v>
      </c>
      <c r="D271" s="5" t="str">
        <f t="shared" si="8"/>
        <v>2021–2024</v>
      </c>
      <c r="E271" s="8">
        <f>'1_Du_lieu'!E312</f>
        <v>7.19</v>
      </c>
      <c r="F271" s="9">
        <f>AVERAGE('1_Du_lieu'!$E$257:$E$319)</f>
        <v>8.5376785714285699</v>
      </c>
      <c r="G271" s="8">
        <f t="shared" si="9"/>
        <v>84.214929618707018</v>
      </c>
      <c r="H271" s="8">
        <f>'1_Du_lieu'!F312/AVERAGE('1_Du_lieu'!$F$257:$F$319)*100</f>
        <v>96.168523889482543</v>
      </c>
      <c r="I271" s="8">
        <f>'1_Du_lieu'!G312/AVERAGE('1_Du_lieu'!$G$257:$G$319)*100</f>
        <v>59.087437413368789</v>
      </c>
      <c r="J271" s="8">
        <f>'1_Du_lieu'!H312/AVERAGE('1_Du_lieu'!$H$257:$H$319)*100</f>
        <v>93.067912024837582</v>
      </c>
      <c r="K271" s="5">
        <f>'1_Du_lieu'!D312</f>
        <v>1</v>
      </c>
    </row>
    <row r="272" spans="1:11" x14ac:dyDescent="0.25">
      <c r="A272" t="s">
        <v>147</v>
      </c>
      <c r="B272">
        <v>2021</v>
      </c>
      <c r="C272" s="5" t="str">
        <f>'1_Du_lieu'!C313</f>
        <v>TDMNPB</v>
      </c>
      <c r="D272" s="5" t="str">
        <f t="shared" si="8"/>
        <v>2021–2024</v>
      </c>
      <c r="E272" s="8">
        <f>'1_Du_lieu'!E313</f>
        <v>5.26</v>
      </c>
      <c r="F272" s="9">
        <f>AVERAGE('1_Du_lieu'!$E$257:$E$319)</f>
        <v>8.5376785714285699</v>
      </c>
      <c r="G272" s="8">
        <f t="shared" si="9"/>
        <v>61.609253100750884</v>
      </c>
      <c r="H272" s="8">
        <f>'1_Du_lieu'!F313/AVERAGE('1_Du_lieu'!$F$257:$F$319)*100</f>
        <v>72.477484353533811</v>
      </c>
      <c r="I272" s="8">
        <f>'1_Du_lieu'!G313/AVERAGE('1_Du_lieu'!$G$257:$G$319)*100</f>
        <v>58.612203332296119</v>
      </c>
      <c r="J272" s="8">
        <f>'1_Du_lieu'!H313/AVERAGE('1_Du_lieu'!$H$257:$H$319)*100</f>
        <v>51.42842234339534</v>
      </c>
      <c r="K272" s="5">
        <f>'1_Du_lieu'!D313</f>
        <v>0</v>
      </c>
    </row>
    <row r="273" spans="1:11" x14ac:dyDescent="0.25">
      <c r="A273" t="s">
        <v>149</v>
      </c>
      <c r="B273">
        <v>2021</v>
      </c>
      <c r="C273" s="5" t="str">
        <f>'1_Du_lieu'!C315</f>
        <v>BTB&amp;DHMT</v>
      </c>
      <c r="D273" s="5" t="str">
        <f t="shared" si="8"/>
        <v>2021–2024</v>
      </c>
      <c r="E273" s="8">
        <f>'1_Du_lieu'!E315</f>
        <v>19.04</v>
      </c>
      <c r="F273" s="9">
        <f>AVERAGE('1_Du_lieu'!$E$257:$E$319)</f>
        <v>8.5376785714285699</v>
      </c>
      <c r="G273" s="8">
        <f t="shared" si="9"/>
        <v>223.0114408818055</v>
      </c>
      <c r="H273" s="8">
        <f>'1_Du_lieu'!F315/AVERAGE('1_Du_lieu'!$F$257:$F$319)*100</f>
        <v>218.04304686307438</v>
      </c>
      <c r="I273" s="8">
        <f>'1_Du_lieu'!G315/AVERAGE('1_Du_lieu'!$G$257:$G$319)*100</f>
        <v>120.70945659245848</v>
      </c>
      <c r="J273" s="8">
        <f>'1_Du_lieu'!H315/AVERAGE('1_Du_lieu'!$H$257:$H$319)*100</f>
        <v>323.18088131701842</v>
      </c>
      <c r="K273" s="5">
        <f>'1_Du_lieu'!D315</f>
        <v>0</v>
      </c>
    </row>
    <row r="274" spans="1:11" x14ac:dyDescent="0.25">
      <c r="A274" t="s">
        <v>150</v>
      </c>
      <c r="B274">
        <v>2021</v>
      </c>
      <c r="C274" s="5" t="str">
        <f>'1_Du_lieu'!C316</f>
        <v>TN</v>
      </c>
      <c r="D274" s="5" t="str">
        <f t="shared" si="8"/>
        <v>2021–2024</v>
      </c>
      <c r="E274" s="8">
        <f>'1_Du_lieu'!E316</f>
        <v>5.6</v>
      </c>
      <c r="F274" s="9">
        <f>AVERAGE('1_Du_lieu'!$E$257:$E$319)</f>
        <v>8.5376785714285699</v>
      </c>
      <c r="G274" s="8">
        <f t="shared" si="9"/>
        <v>65.59160025935455</v>
      </c>
      <c r="H274" s="8">
        <f>'1_Du_lieu'!F316/AVERAGE('1_Du_lieu'!$F$257:$F$319)*100</f>
        <v>83.040757136315079</v>
      </c>
      <c r="I274" s="8">
        <f>'1_Du_lieu'!G316/AVERAGE('1_Du_lieu'!$G$257:$G$319)*100</f>
        <v>51.166869395490934</v>
      </c>
      <c r="J274" s="8">
        <f>'1_Du_lieu'!H316/AVERAGE('1_Du_lieu'!$H$257:$H$319)*100</f>
        <v>58.149182081452679</v>
      </c>
      <c r="K274" s="5">
        <f>'1_Du_lieu'!D316</f>
        <v>0</v>
      </c>
    </row>
    <row r="275" spans="1:11" x14ac:dyDescent="0.25">
      <c r="A275" t="s">
        <v>151</v>
      </c>
      <c r="B275">
        <v>2021</v>
      </c>
      <c r="C275" s="5" t="str">
        <f>'1_Du_lieu'!C317</f>
        <v>TN</v>
      </c>
      <c r="D275" s="5" t="str">
        <f t="shared" si="8"/>
        <v>2021–2024</v>
      </c>
      <c r="E275" s="8">
        <f>'1_Du_lieu'!E317</f>
        <v>4.67</v>
      </c>
      <c r="F275" s="9">
        <f>AVERAGE('1_Du_lieu'!$E$257:$E$319)</f>
        <v>8.5376785714285699</v>
      </c>
      <c r="G275" s="8">
        <f t="shared" si="9"/>
        <v>54.698709501997456</v>
      </c>
      <c r="H275" s="8">
        <f>'1_Du_lieu'!F317/AVERAGE('1_Du_lieu'!$F$257:$F$319)*100</f>
        <v>69.729812242405757</v>
      </c>
      <c r="I275" s="8">
        <f>'1_Du_lieu'!G317/AVERAGE('1_Du_lieu'!$G$257:$G$319)*100</f>
        <v>47.206585386552007</v>
      </c>
      <c r="J275" s="8">
        <f>'1_Du_lieu'!H317/AVERAGE('1_Du_lieu'!$H$257:$H$319)*100</f>
        <v>43.53883482480628</v>
      </c>
      <c r="K275" s="5">
        <f>'1_Du_lieu'!D317</f>
        <v>0</v>
      </c>
    </row>
    <row r="276" spans="1:11" x14ac:dyDescent="0.25">
      <c r="A276" t="s">
        <v>152</v>
      </c>
      <c r="B276">
        <v>2021</v>
      </c>
      <c r="C276" s="5" t="str">
        <f>'1_Du_lieu'!C318</f>
        <v>ĐNB</v>
      </c>
      <c r="D276" s="5" t="str">
        <f t="shared" si="8"/>
        <v>2021–2024</v>
      </c>
      <c r="E276" s="8">
        <f>'1_Du_lieu'!E318</f>
        <v>11.14</v>
      </c>
      <c r="F276" s="9">
        <f>AVERAGE('1_Du_lieu'!$E$257:$E$319)</f>
        <v>8.5376785714285699</v>
      </c>
      <c r="G276" s="8">
        <f t="shared" si="9"/>
        <v>130.48043337307317</v>
      </c>
      <c r="H276" s="8">
        <f>'1_Du_lieu'!F318/AVERAGE('1_Du_lieu'!$F$257:$F$319)*100</f>
        <v>100.80903678827661</v>
      </c>
      <c r="I276" s="8">
        <f>'1_Du_lieu'!G318/AVERAGE('1_Du_lieu'!$G$257:$G$319)*100</f>
        <v>169.34174422222853</v>
      </c>
      <c r="J276" s="8">
        <f>'1_Du_lieu'!H318/AVERAGE('1_Du_lieu'!$H$257:$H$319)*100</f>
        <v>130.32429752928593</v>
      </c>
      <c r="K276" s="5">
        <f>'1_Du_lieu'!D318</f>
        <v>1</v>
      </c>
    </row>
    <row r="277" spans="1:11" x14ac:dyDescent="0.25">
      <c r="A277" t="s">
        <v>153</v>
      </c>
      <c r="B277">
        <v>2021</v>
      </c>
      <c r="C277" s="5" t="str">
        <f>'1_Du_lieu'!C319</f>
        <v>ĐBSCL</v>
      </c>
      <c r="D277" s="5" t="str">
        <f t="shared" si="8"/>
        <v>2021–2024</v>
      </c>
      <c r="E277" s="8">
        <f>'1_Du_lieu'!E319</f>
        <v>5.58</v>
      </c>
      <c r="F277" s="9">
        <f>AVERAGE('1_Du_lieu'!$E$257:$E$319)</f>
        <v>8.5376785714285699</v>
      </c>
      <c r="G277" s="8">
        <f t="shared" si="9"/>
        <v>65.357344544142563</v>
      </c>
      <c r="H277" s="8">
        <f>'1_Du_lieu'!F319/AVERAGE('1_Du_lieu'!$F$257:$F$319)*100</f>
        <v>76.324225309113132</v>
      </c>
      <c r="I277" s="8">
        <f>'1_Du_lieu'!G319/AVERAGE('1_Du_lieu'!$G$257:$G$319)*100</f>
        <v>60.196316935871685</v>
      </c>
      <c r="J277" s="8">
        <f>'1_Du_lieu'!H319/AVERAGE('1_Du_lieu'!$H$257:$H$319)*100</f>
        <v>56.980354300920965</v>
      </c>
      <c r="K277" s="5">
        <f>'1_Du_lieu'!D319</f>
        <v>0</v>
      </c>
    </row>
    <row r="278" spans="1:11" x14ac:dyDescent="0.25">
      <c r="A278" t="s">
        <v>85</v>
      </c>
      <c r="B278">
        <v>2022</v>
      </c>
      <c r="C278" s="5" t="str">
        <f>'1_Du_lieu'!C320</f>
        <v>ĐBSCL</v>
      </c>
      <c r="D278" s="5" t="str">
        <f t="shared" si="8"/>
        <v>2021–2024</v>
      </c>
      <c r="E278" s="8">
        <f>'1_Du_lieu'!E320</f>
        <v>17</v>
      </c>
      <c r="F278" s="9">
        <f>AVERAGE('1_Du_lieu'!$E$320:$E$382)</f>
        <v>20.376785714285713</v>
      </c>
      <c r="G278" s="8">
        <f t="shared" si="9"/>
        <v>83.42827096661118</v>
      </c>
      <c r="H278" s="8">
        <f>'1_Du_lieu'!F320/AVERAGE('1_Du_lieu'!$F$320:$F$382)*100</f>
        <v>60.848733744010943</v>
      </c>
      <c r="I278" s="8">
        <f>'1_Du_lieu'!G320/AVERAGE('1_Du_lieu'!$G$320:$G$382)*100</f>
        <v>104.86891385767791</v>
      </c>
      <c r="J278" s="8">
        <f>'1_Du_lieu'!H320/AVERAGE('1_Du_lieu'!$H$320:$H$382)*100</f>
        <v>70.457164809834794</v>
      </c>
      <c r="K278" s="5">
        <f>'1_Du_lieu'!D320</f>
        <v>0</v>
      </c>
    </row>
    <row r="279" spans="1:11" x14ac:dyDescent="0.25">
      <c r="A279" t="s">
        <v>87</v>
      </c>
      <c r="B279">
        <v>2022</v>
      </c>
      <c r="C279" s="5" t="str">
        <f>'1_Du_lieu'!C321</f>
        <v>ĐNB</v>
      </c>
      <c r="D279" s="5" t="str">
        <f t="shared" si="8"/>
        <v>2021–2024</v>
      </c>
      <c r="E279" s="8">
        <f>'1_Du_lieu'!E321</f>
        <v>25.3</v>
      </c>
      <c r="F279" s="9">
        <f>AVERAGE('1_Du_lieu'!$E$320:$E$382)</f>
        <v>20.376785714285713</v>
      </c>
      <c r="G279" s="8">
        <f t="shared" si="9"/>
        <v>124.16089737972133</v>
      </c>
      <c r="H279" s="8">
        <f>'1_Du_lieu'!F321/AVERAGE('1_Du_lieu'!$F$320:$F$382)*100</f>
        <v>144.69541409993155</v>
      </c>
      <c r="I279" s="8">
        <f>'1_Du_lieu'!G321/AVERAGE('1_Du_lieu'!$G$320:$G$382)*100</f>
        <v>114.8998534440645</v>
      </c>
      <c r="J279" s="8">
        <f>'1_Du_lieu'!H321/AVERAGE('1_Du_lieu'!$H$320:$H$382)*100</f>
        <v>124.24126008451786</v>
      </c>
      <c r="K279" s="5">
        <f>'1_Du_lieu'!D321</f>
        <v>1</v>
      </c>
    </row>
    <row r="280" spans="1:11" x14ac:dyDescent="0.25">
      <c r="A280" t="s">
        <v>89</v>
      </c>
      <c r="B280">
        <v>2022</v>
      </c>
      <c r="C280" s="5" t="str">
        <f>'1_Du_lieu'!C322</f>
        <v>ĐNB</v>
      </c>
      <c r="D280" s="5" t="str">
        <f t="shared" si="8"/>
        <v>2021–2024</v>
      </c>
      <c r="E280" s="8">
        <f>'1_Du_lieu'!E322</f>
        <v>36.4</v>
      </c>
      <c r="F280" s="9">
        <f>AVERAGE('1_Du_lieu'!$E$320:$E$382)</f>
        <v>20.376785714285713</v>
      </c>
      <c r="G280" s="8">
        <f t="shared" si="9"/>
        <v>178.63465077556745</v>
      </c>
      <c r="H280" s="8">
        <f>'1_Du_lieu'!F322/AVERAGE('1_Du_lieu'!$F$320:$F$382)*100</f>
        <v>153.31964407939768</v>
      </c>
      <c r="I280" s="8">
        <f>'1_Du_lieu'!G322/AVERAGE('1_Du_lieu'!$G$320:$G$382)*100</f>
        <v>173.26168376485919</v>
      </c>
      <c r="J280" s="8">
        <f>'1_Du_lieu'!H322/AVERAGE('1_Du_lieu'!$H$320:$H$382)*100</f>
        <v>199.00115251632729</v>
      </c>
      <c r="K280" s="5">
        <f>'1_Du_lieu'!D322</f>
        <v>1</v>
      </c>
    </row>
    <row r="281" spans="1:11" x14ac:dyDescent="0.25">
      <c r="A281" t="s">
        <v>90</v>
      </c>
      <c r="B281">
        <v>2022</v>
      </c>
      <c r="C281" s="5" t="str">
        <f>'1_Du_lieu'!C323</f>
        <v>ĐNB</v>
      </c>
      <c r="D281" s="5" t="str">
        <f t="shared" si="8"/>
        <v>2021–2024</v>
      </c>
      <c r="E281" s="8">
        <f>'1_Du_lieu'!E323</f>
        <v>13.2</v>
      </c>
      <c r="F281" s="9">
        <f>AVERAGE('1_Du_lieu'!$E$320:$E$382)</f>
        <v>20.376785714285713</v>
      </c>
      <c r="G281" s="8">
        <f t="shared" si="9"/>
        <v>64.779598632898086</v>
      </c>
      <c r="H281" s="8">
        <f>'1_Du_lieu'!F323/AVERAGE('1_Du_lieu'!$F$320:$F$382)*100</f>
        <v>76.180698151950708</v>
      </c>
      <c r="I281" s="8">
        <f>'1_Du_lieu'!G323/AVERAGE('1_Du_lieu'!$G$320:$G$382)*100</f>
        <v>59.273733919557081</v>
      </c>
      <c r="J281" s="8">
        <f>'1_Du_lieu'!H323/AVERAGE('1_Du_lieu'!$H$320:$H$382)*100</f>
        <v>64.540914329619653</v>
      </c>
      <c r="K281" s="5">
        <f>'1_Du_lieu'!D323</f>
        <v>1</v>
      </c>
    </row>
    <row r="282" spans="1:11" x14ac:dyDescent="0.25">
      <c r="A282" t="s">
        <v>91</v>
      </c>
      <c r="B282">
        <v>2022</v>
      </c>
      <c r="C282" s="5" t="str">
        <f>'1_Du_lieu'!C324</f>
        <v>BTB&amp;DHMT</v>
      </c>
      <c r="D282" s="5" t="str">
        <f t="shared" si="8"/>
        <v>2021–2024</v>
      </c>
      <c r="E282" s="8">
        <f>'1_Du_lieu'!E324</f>
        <v>15.3</v>
      </c>
      <c r="F282" s="9">
        <f>AVERAGE('1_Du_lieu'!$E$320:$E$382)</f>
        <v>20.376785714285713</v>
      </c>
      <c r="G282" s="8">
        <f t="shared" si="9"/>
        <v>75.085443869950055</v>
      </c>
      <c r="H282" s="8">
        <f>'1_Du_lieu'!F324/AVERAGE('1_Du_lieu'!$F$320:$F$382)*100</f>
        <v>74.264202600958242</v>
      </c>
      <c r="I282" s="8">
        <f>'1_Du_lieu'!G324/AVERAGE('1_Du_lieu'!$G$320:$G$382)*100</f>
        <v>82.071323888617499</v>
      </c>
      <c r="J282" s="8">
        <f>'1_Du_lieu'!H324/AVERAGE('1_Du_lieu'!$H$320:$H$382)*100</f>
        <v>67.76796004610064</v>
      </c>
      <c r="K282" s="5">
        <f>'1_Du_lieu'!D324</f>
        <v>0</v>
      </c>
    </row>
    <row r="283" spans="1:11" x14ac:dyDescent="0.25">
      <c r="A283" t="s">
        <v>93</v>
      </c>
      <c r="B283">
        <v>2022</v>
      </c>
      <c r="C283" s="5" t="str">
        <f>'1_Du_lieu'!C325</f>
        <v>BTB&amp;DHMT</v>
      </c>
      <c r="D283" s="5" t="str">
        <f t="shared" si="8"/>
        <v>2021–2024</v>
      </c>
      <c r="E283" s="8">
        <f>'1_Du_lieu'!E325</f>
        <v>19.100000000000001</v>
      </c>
      <c r="F283" s="9">
        <f>AVERAGE('1_Du_lieu'!$E$320:$E$382)</f>
        <v>20.376785714285713</v>
      </c>
      <c r="G283" s="8">
        <f t="shared" si="9"/>
        <v>93.734116203663149</v>
      </c>
      <c r="H283" s="8">
        <f>'1_Du_lieu'!F325/AVERAGE('1_Du_lieu'!$F$320:$F$382)*100</f>
        <v>99.657768651608478</v>
      </c>
      <c r="I283" s="8">
        <f>'1_Du_lieu'!G325/AVERAGE('1_Du_lieu'!$G$320:$G$382)*100</f>
        <v>93.470118873147712</v>
      </c>
      <c r="J283" s="8">
        <f>'1_Du_lieu'!H325/AVERAGE('1_Du_lieu'!$H$320:$H$382)*100</f>
        <v>90.895121014214354</v>
      </c>
      <c r="K283" s="5">
        <f>'1_Du_lieu'!D325</f>
        <v>0</v>
      </c>
    </row>
    <row r="284" spans="1:11" x14ac:dyDescent="0.25">
      <c r="A284" t="s">
        <v>95</v>
      </c>
      <c r="B284">
        <v>2022</v>
      </c>
      <c r="C284" s="5" t="str">
        <f>'1_Du_lieu'!C327</f>
        <v>TDMNPB</v>
      </c>
      <c r="D284" s="5" t="str">
        <f t="shared" si="8"/>
        <v>2021–2024</v>
      </c>
      <c r="E284" s="8">
        <f>'1_Du_lieu'!E327</f>
        <v>17.2</v>
      </c>
      <c r="F284" s="9">
        <f>AVERAGE('1_Du_lieu'!$E$320:$E$382)</f>
        <v>20.376785714285713</v>
      </c>
      <c r="G284" s="8">
        <f t="shared" si="9"/>
        <v>84.409780036806595</v>
      </c>
      <c r="H284" s="8">
        <f>'1_Du_lieu'!F327/AVERAGE('1_Du_lieu'!$F$320:$F$382)*100</f>
        <v>72.826830937713879</v>
      </c>
      <c r="I284" s="8">
        <f>'1_Du_lieu'!G327/AVERAGE('1_Du_lieu'!$G$320:$G$382)*100</f>
        <v>98.029636866959791</v>
      </c>
      <c r="J284" s="8">
        <f>'1_Du_lieu'!H327/AVERAGE('1_Du_lieu'!$H$320:$H$382)*100</f>
        <v>74.759892431809433</v>
      </c>
      <c r="K284" s="5">
        <f>'1_Du_lieu'!D327</f>
        <v>0</v>
      </c>
    </row>
    <row r="285" spans="1:11" x14ac:dyDescent="0.25">
      <c r="A285" t="s">
        <v>97</v>
      </c>
      <c r="B285">
        <v>2022</v>
      </c>
      <c r="C285" s="5" t="str">
        <f>'1_Du_lieu'!C328</f>
        <v>TDMNPB</v>
      </c>
      <c r="D285" s="5" t="str">
        <f t="shared" si="8"/>
        <v>2021–2024</v>
      </c>
      <c r="E285" s="8">
        <f>'1_Du_lieu'!E328</f>
        <v>10.9</v>
      </c>
      <c r="F285" s="9">
        <f>AVERAGE('1_Du_lieu'!$E$320:$E$382)</f>
        <v>20.376785714285713</v>
      </c>
      <c r="G285" s="8">
        <f t="shared" si="9"/>
        <v>53.492244325650695</v>
      </c>
      <c r="H285" s="8">
        <f>'1_Du_lieu'!F328/AVERAGE('1_Du_lieu'!$F$320:$F$382)*100</f>
        <v>57.015742642025998</v>
      </c>
      <c r="I285" s="8">
        <f>'1_Du_lieu'!G328/AVERAGE('1_Du_lieu'!$G$320:$G$382)*100</f>
        <v>51.978505129457751</v>
      </c>
      <c r="J285" s="8">
        <f>'1_Du_lieu'!H328/AVERAGE('1_Du_lieu'!$H$320:$H$382)*100</f>
        <v>53.784095274683054</v>
      </c>
      <c r="K285" s="5">
        <f>'1_Du_lieu'!D328</f>
        <v>0</v>
      </c>
    </row>
    <row r="286" spans="1:11" x14ac:dyDescent="0.25">
      <c r="A286" t="s">
        <v>98</v>
      </c>
      <c r="B286">
        <v>2022</v>
      </c>
      <c r="C286" s="5" t="str">
        <f>'1_Du_lieu'!C329</f>
        <v>ĐBSH</v>
      </c>
      <c r="D286" s="5" t="str">
        <f t="shared" si="8"/>
        <v>2021–2024</v>
      </c>
      <c r="E286" s="8">
        <f>'1_Du_lieu'!E329</f>
        <v>26.6</v>
      </c>
      <c r="F286" s="9">
        <f>AVERAGE('1_Du_lieu'!$E$320:$E$382)</f>
        <v>20.376785714285713</v>
      </c>
      <c r="G286" s="8">
        <f t="shared" si="9"/>
        <v>130.54070633599159</v>
      </c>
      <c r="H286" s="8">
        <f>'1_Du_lieu'!F329/AVERAGE('1_Du_lieu'!$F$320:$F$382)*100</f>
        <v>116.42710472279261</v>
      </c>
      <c r="I286" s="8">
        <f>'1_Du_lieu'!G329/AVERAGE('1_Du_lieu'!$G$320:$G$382)*100</f>
        <v>144.08076860446184</v>
      </c>
      <c r="J286" s="8">
        <f>'1_Du_lieu'!H329/AVERAGE('1_Du_lieu'!$H$320:$H$382)*100</f>
        <v>122.62773722627736</v>
      </c>
      <c r="K286" s="5">
        <f>'1_Du_lieu'!D329</f>
        <v>1</v>
      </c>
    </row>
    <row r="287" spans="1:11" x14ac:dyDescent="0.25">
      <c r="A287" t="s">
        <v>100</v>
      </c>
      <c r="B287">
        <v>2022</v>
      </c>
      <c r="C287" s="5" t="str">
        <f>'1_Du_lieu'!C330</f>
        <v>ĐBSCL</v>
      </c>
      <c r="D287" s="5" t="str">
        <f t="shared" si="8"/>
        <v>2021–2024</v>
      </c>
      <c r="E287" s="8">
        <f>'1_Du_lieu'!E330</f>
        <v>17.600000000000001</v>
      </c>
      <c r="F287" s="9">
        <f>AVERAGE('1_Du_lieu'!$E$320:$E$382)</f>
        <v>20.376785714285713</v>
      </c>
      <c r="G287" s="8">
        <f t="shared" si="9"/>
        <v>86.372798177197453</v>
      </c>
      <c r="H287" s="8">
        <f>'1_Du_lieu'!F330/AVERAGE('1_Du_lieu'!$F$320:$F$382)*100</f>
        <v>76.659822039698838</v>
      </c>
      <c r="I287" s="8">
        <f>'1_Du_lieu'!G330/AVERAGE('1_Du_lieu'!$G$320:$G$382)*100</f>
        <v>77.51180589480542</v>
      </c>
      <c r="J287" s="8">
        <f>'1_Du_lieu'!H330/AVERAGE('1_Du_lieu'!$H$320:$H$382)*100</f>
        <v>102.1897810218978</v>
      </c>
      <c r="K287" s="5">
        <f>'1_Du_lieu'!D330</f>
        <v>0</v>
      </c>
    </row>
    <row r="288" spans="1:11" x14ac:dyDescent="0.25">
      <c r="A288" t="s">
        <v>102</v>
      </c>
      <c r="B288">
        <v>2022</v>
      </c>
      <c r="C288" s="5" t="str">
        <f>'1_Du_lieu'!C332</f>
        <v>ĐBSCL</v>
      </c>
      <c r="D288" s="5" t="str">
        <f t="shared" si="8"/>
        <v>2021–2024</v>
      </c>
      <c r="E288" s="8">
        <f>'1_Du_lieu'!E332</f>
        <v>12.3</v>
      </c>
      <c r="F288" s="9">
        <f>AVERAGE('1_Du_lieu'!$E$320:$E$382)</f>
        <v>20.376785714285713</v>
      </c>
      <c r="G288" s="8">
        <f t="shared" si="9"/>
        <v>60.36280781701867</v>
      </c>
      <c r="H288" s="8">
        <f>'1_Du_lieu'!F332/AVERAGE('1_Du_lieu'!$F$320:$F$382)*100</f>
        <v>52.703627652292937</v>
      </c>
      <c r="I288" s="8">
        <f>'1_Du_lieu'!G332/AVERAGE('1_Du_lieu'!$G$320:$G$382)*100</f>
        <v>63.833251913369168</v>
      </c>
      <c r="J288" s="8">
        <f>'1_Du_lieu'!H332/AVERAGE('1_Du_lieu'!$H$320:$H$382)*100</f>
        <v>60.238186707645013</v>
      </c>
      <c r="K288" s="5">
        <f>'1_Du_lieu'!D332</f>
        <v>0</v>
      </c>
    </row>
    <row r="289" spans="1:11" x14ac:dyDescent="0.25">
      <c r="A289" t="s">
        <v>103</v>
      </c>
      <c r="B289">
        <v>2022</v>
      </c>
      <c r="C289" s="5" t="str">
        <f>'1_Du_lieu'!C333</f>
        <v>ĐBSCL</v>
      </c>
      <c r="D289" s="5" t="str">
        <f t="shared" si="8"/>
        <v>2021–2024</v>
      </c>
      <c r="E289" s="8">
        <f>'1_Du_lieu'!E333</f>
        <v>26.8</v>
      </c>
      <c r="F289" s="9">
        <f>AVERAGE('1_Du_lieu'!$E$320:$E$382)</f>
        <v>20.376785714285713</v>
      </c>
      <c r="G289" s="8">
        <f t="shared" si="9"/>
        <v>131.52221540618703</v>
      </c>
      <c r="H289" s="8">
        <f>'1_Du_lieu'!F333/AVERAGE('1_Du_lieu'!$F$320:$F$382)*100</f>
        <v>121.21834360027377</v>
      </c>
      <c r="I289" s="8">
        <f>'1_Du_lieu'!G333/AVERAGE('1_Du_lieu'!$G$320:$G$382)*100</f>
        <v>136.78553981436249</v>
      </c>
      <c r="J289" s="8">
        <f>'1_Du_lieu'!H333/AVERAGE('1_Du_lieu'!$H$320:$H$382)*100</f>
        <v>130.69535151747982</v>
      </c>
      <c r="K289" s="5">
        <f>'1_Du_lieu'!D333</f>
        <v>0</v>
      </c>
    </row>
    <row r="290" spans="1:11" x14ac:dyDescent="0.25">
      <c r="A290" t="s">
        <v>104</v>
      </c>
      <c r="B290">
        <v>2022</v>
      </c>
      <c r="C290" s="5" t="str">
        <f>'1_Du_lieu'!C334</f>
        <v>TN</v>
      </c>
      <c r="D290" s="5" t="str">
        <f t="shared" si="8"/>
        <v>2021–2024</v>
      </c>
      <c r="E290" s="8">
        <f>'1_Du_lieu'!E334</f>
        <v>13.9</v>
      </c>
      <c r="F290" s="9">
        <f>AVERAGE('1_Du_lieu'!$E$320:$E$382)</f>
        <v>20.376785714285713</v>
      </c>
      <c r="G290" s="8">
        <f t="shared" si="9"/>
        <v>68.21488037858208</v>
      </c>
      <c r="H290" s="8">
        <f>'1_Du_lieu'!F334/AVERAGE('1_Du_lieu'!$F$320:$F$382)*100</f>
        <v>57.494866529774121</v>
      </c>
      <c r="I290" s="8">
        <f>'1_Du_lieu'!G334/AVERAGE('1_Du_lieu'!$G$320:$G$382)*100</f>
        <v>62.921348314606753</v>
      </c>
      <c r="J290" s="8">
        <f>'1_Du_lieu'!H334/AVERAGE('1_Du_lieu'!$H$320:$H$382)*100</f>
        <v>80.676142912024574</v>
      </c>
      <c r="K290" s="5">
        <f>'1_Du_lieu'!D334</f>
        <v>0</v>
      </c>
    </row>
    <row r="291" spans="1:11" x14ac:dyDescent="0.25">
      <c r="A291" t="s">
        <v>107</v>
      </c>
      <c r="B291">
        <v>2022</v>
      </c>
      <c r="C291" s="5" t="str">
        <f>'1_Du_lieu'!C336</f>
        <v>ĐBSH</v>
      </c>
      <c r="D291" s="5" t="str">
        <f t="shared" si="8"/>
        <v>2021–2024</v>
      </c>
      <c r="E291" s="8">
        <f>'1_Du_lieu'!E336</f>
        <v>18</v>
      </c>
      <c r="F291" s="9">
        <f>AVERAGE('1_Du_lieu'!$E$320:$E$382)</f>
        <v>20.376785714285713</v>
      </c>
      <c r="G291" s="8">
        <f t="shared" si="9"/>
        <v>88.335816317588296</v>
      </c>
      <c r="H291" s="8">
        <f>'1_Du_lieu'!F336/AVERAGE('1_Du_lieu'!$F$320:$F$382)*100</f>
        <v>111.63586584531143</v>
      </c>
      <c r="I291" s="8">
        <f>'1_Du_lieu'!G336/AVERAGE('1_Du_lieu'!$G$320:$G$382)*100</f>
        <v>81.615372089236288</v>
      </c>
      <c r="J291" s="8">
        <f>'1_Du_lieu'!H336/AVERAGE('1_Du_lieu'!$H$320:$H$382)*100</f>
        <v>83.365347675758727</v>
      </c>
      <c r="K291" s="5">
        <f>'1_Du_lieu'!D336</f>
        <v>1</v>
      </c>
    </row>
    <row r="292" spans="1:11" x14ac:dyDescent="0.25">
      <c r="A292" t="s">
        <v>108</v>
      </c>
      <c r="B292">
        <v>2022</v>
      </c>
      <c r="C292" s="5" t="str">
        <f>'1_Du_lieu'!C337</f>
        <v>ĐBSH</v>
      </c>
      <c r="D292" s="5" t="str">
        <f t="shared" si="8"/>
        <v>2021–2024</v>
      </c>
      <c r="E292" s="8">
        <f>'1_Du_lieu'!E337</f>
        <v>85.9</v>
      </c>
      <c r="F292" s="9">
        <f>AVERAGE('1_Du_lieu'!$E$320:$E$382)</f>
        <v>20.376785714285713</v>
      </c>
      <c r="G292" s="8">
        <f t="shared" si="9"/>
        <v>421.55814564893535</v>
      </c>
      <c r="H292" s="8">
        <f>'1_Du_lieu'!F337/AVERAGE('1_Du_lieu'!$F$320:$F$382)*100</f>
        <v>464.75017111567416</v>
      </c>
      <c r="I292" s="8">
        <f>'1_Du_lieu'!G337/AVERAGE('1_Du_lieu'!$G$320:$G$382)*100</f>
        <v>375.70428269011569</v>
      </c>
      <c r="J292" s="8">
        <f>'1_Du_lieu'!H337/AVERAGE('1_Du_lieu'!$H$320:$H$382)*100</f>
        <v>451.24855935459084</v>
      </c>
      <c r="K292" s="5">
        <f>'1_Du_lieu'!D337</f>
        <v>1</v>
      </c>
    </row>
    <row r="293" spans="1:11" x14ac:dyDescent="0.25">
      <c r="A293" t="s">
        <v>109</v>
      </c>
      <c r="B293">
        <v>2022</v>
      </c>
      <c r="C293" s="5" t="str">
        <f>'1_Du_lieu'!C338</f>
        <v>BTB&amp;DHMT</v>
      </c>
      <c r="D293" s="5" t="str">
        <f t="shared" si="8"/>
        <v>2021–2024</v>
      </c>
      <c r="E293" s="8">
        <f>'1_Du_lieu'!E338</f>
        <v>14</v>
      </c>
      <c r="F293" s="9">
        <f>AVERAGE('1_Du_lieu'!$E$320:$E$382)</f>
        <v>20.376785714285713</v>
      </c>
      <c r="G293" s="8">
        <f t="shared" si="9"/>
        <v>68.705634913679788</v>
      </c>
      <c r="H293" s="8">
        <f>'1_Du_lieu'!F338/AVERAGE('1_Du_lieu'!$F$320:$F$382)*100</f>
        <v>75.701574264202591</v>
      </c>
      <c r="I293" s="8">
        <f>'1_Du_lieu'!G338/AVERAGE('1_Du_lieu'!$G$320:$G$382)*100</f>
        <v>60.185637518319503</v>
      </c>
      <c r="J293" s="8">
        <f>'1_Du_lieu'!H338/AVERAGE('1_Du_lieu'!$H$320:$H$382)*100</f>
        <v>75.297733384556281</v>
      </c>
      <c r="K293" s="5">
        <f>'1_Du_lieu'!D338</f>
        <v>0</v>
      </c>
    </row>
    <row r="294" spans="1:11" x14ac:dyDescent="0.25">
      <c r="A294" t="s">
        <v>110</v>
      </c>
      <c r="B294">
        <v>2022</v>
      </c>
      <c r="C294" s="5" t="str">
        <f>'1_Du_lieu'!C339</f>
        <v>TDMNPB</v>
      </c>
      <c r="D294" s="5" t="str">
        <f t="shared" si="8"/>
        <v>2021–2024</v>
      </c>
      <c r="E294" s="8">
        <f>'1_Du_lieu'!E339</f>
        <v>10.7</v>
      </c>
      <c r="F294" s="9">
        <f>AVERAGE('1_Du_lieu'!$E$320:$E$382)</f>
        <v>20.376785714285713</v>
      </c>
      <c r="G294" s="8">
        <f t="shared" si="9"/>
        <v>52.510735255455266</v>
      </c>
      <c r="H294" s="8">
        <f>'1_Du_lieu'!F339/AVERAGE('1_Du_lieu'!$F$320:$F$382)*100</f>
        <v>57.015742642025998</v>
      </c>
      <c r="I294" s="8">
        <f>'1_Du_lieu'!G339/AVERAGE('1_Du_lieu'!$G$320:$G$382)*100</f>
        <v>55.626119524507409</v>
      </c>
      <c r="J294" s="8">
        <f>'1_Du_lieu'!H339/AVERAGE('1_Du_lieu'!$H$320:$H$382)*100</f>
        <v>46.25432193622742</v>
      </c>
      <c r="K294" s="5">
        <f>'1_Du_lieu'!D339</f>
        <v>0</v>
      </c>
    </row>
    <row r="295" spans="1:11" x14ac:dyDescent="0.25">
      <c r="A295" t="s">
        <v>111</v>
      </c>
      <c r="B295">
        <v>2022</v>
      </c>
      <c r="C295" s="5" t="str">
        <f>'1_Du_lieu'!C340</f>
        <v>ĐBSH</v>
      </c>
      <c r="D295" s="5" t="str">
        <f t="shared" si="8"/>
        <v>2021–2024</v>
      </c>
      <c r="E295" s="8">
        <f>'1_Du_lieu'!E340</f>
        <v>23.4</v>
      </c>
      <c r="F295" s="9">
        <f>AVERAGE('1_Du_lieu'!$E$320:$E$382)</f>
        <v>20.376785714285713</v>
      </c>
      <c r="G295" s="8">
        <f t="shared" si="9"/>
        <v>114.83656121286478</v>
      </c>
      <c r="H295" s="8">
        <f>'1_Du_lieu'!F340/AVERAGE('1_Du_lieu'!$F$320:$F$382)*100</f>
        <v>128.40520191649554</v>
      </c>
      <c r="I295" s="8">
        <f>'1_Du_lieu'!G340/AVERAGE('1_Du_lieu'!$G$320:$G$382)*100</f>
        <v>124.01888943168866</v>
      </c>
      <c r="J295" s="8">
        <f>'1_Du_lieu'!H340/AVERAGE('1_Du_lieu'!$H$320:$H$382)*100</f>
        <v>96.811371494429494</v>
      </c>
      <c r="K295" s="5">
        <f>'1_Du_lieu'!D340</f>
        <v>1</v>
      </c>
    </row>
    <row r="296" spans="1:11" x14ac:dyDescent="0.25">
      <c r="A296" t="s">
        <v>112</v>
      </c>
      <c r="B296">
        <v>2022</v>
      </c>
      <c r="C296" s="5" t="str">
        <f>'1_Du_lieu'!C341</f>
        <v>ĐBSH</v>
      </c>
      <c r="D296" s="5" t="str">
        <f t="shared" si="8"/>
        <v>2021–2024</v>
      </c>
      <c r="E296" s="8">
        <f>'1_Du_lieu'!E341</f>
        <v>22.4</v>
      </c>
      <c r="F296" s="9">
        <f>AVERAGE('1_Du_lieu'!$E$320:$E$382)</f>
        <v>20.376785714285713</v>
      </c>
      <c r="G296" s="8">
        <f t="shared" si="9"/>
        <v>109.92901586188766</v>
      </c>
      <c r="H296" s="8">
        <f>'1_Du_lieu'!F341/AVERAGE('1_Du_lieu'!$F$320:$F$382)*100</f>
        <v>100.13689253935658</v>
      </c>
      <c r="I296" s="8">
        <f>'1_Du_lieu'!G341/AVERAGE('1_Du_lieu'!$G$320:$G$382)*100</f>
        <v>120.8272268360202</v>
      </c>
      <c r="J296" s="8">
        <f>'1_Du_lieu'!H341/AVERAGE('1_Du_lieu'!$H$320:$H$382)*100</f>
        <v>102.72762197464465</v>
      </c>
      <c r="K296" s="5">
        <f>'1_Du_lieu'!D341</f>
        <v>1</v>
      </c>
    </row>
    <row r="297" spans="1:11" x14ac:dyDescent="0.25">
      <c r="A297" t="s">
        <v>113</v>
      </c>
      <c r="B297">
        <v>2022</v>
      </c>
      <c r="C297" s="5" t="str">
        <f>'1_Du_lieu'!C342</f>
        <v>ĐBSH</v>
      </c>
      <c r="D297" s="5" t="str">
        <f t="shared" si="8"/>
        <v>2021–2024</v>
      </c>
      <c r="E297" s="8">
        <f>'1_Du_lieu'!E342</f>
        <v>32.1</v>
      </c>
      <c r="F297" s="9">
        <f>AVERAGE('1_Du_lieu'!$E$320:$E$382)</f>
        <v>20.376785714285713</v>
      </c>
      <c r="G297" s="8">
        <f t="shared" si="9"/>
        <v>157.53220576636579</v>
      </c>
      <c r="H297" s="8">
        <f>'1_Du_lieu'!F342/AVERAGE('1_Du_lieu'!$F$320:$F$382)*100</f>
        <v>169.60985626283366</v>
      </c>
      <c r="I297" s="8">
        <f>'1_Du_lieu'!G342/AVERAGE('1_Du_lieu'!$G$320:$G$382)*100</f>
        <v>139.97720241003094</v>
      </c>
      <c r="J297" s="8">
        <f>'1_Du_lieu'!H342/AVERAGE('1_Du_lieu'!$H$320:$H$382)*100</f>
        <v>170.49558202074527</v>
      </c>
      <c r="K297" s="5">
        <f>'1_Du_lieu'!D342</f>
        <v>1</v>
      </c>
    </row>
    <row r="298" spans="1:11" x14ac:dyDescent="0.25">
      <c r="A298" t="s">
        <v>114</v>
      </c>
      <c r="B298">
        <v>2022</v>
      </c>
      <c r="C298" s="5" t="str">
        <f>'1_Du_lieu'!C343</f>
        <v>ĐBSCL</v>
      </c>
      <c r="D298" s="5" t="str">
        <f t="shared" si="8"/>
        <v>2021–2024</v>
      </c>
      <c r="E298" s="8">
        <f>'1_Du_lieu'!E343</f>
        <v>11.3</v>
      </c>
      <c r="F298" s="9">
        <f>AVERAGE('1_Du_lieu'!$E$320:$E$382)</f>
        <v>20.376785714285713</v>
      </c>
      <c r="G298" s="8">
        <f t="shared" si="9"/>
        <v>55.455262466041546</v>
      </c>
      <c r="H298" s="8">
        <f>'1_Du_lieu'!F343/AVERAGE('1_Du_lieu'!$F$320:$F$382)*100</f>
        <v>40.725530458590001</v>
      </c>
      <c r="I298" s="8">
        <f>'1_Du_lieu'!G343/AVERAGE('1_Du_lieu'!$G$320:$G$382)*100</f>
        <v>71.128480703468497</v>
      </c>
      <c r="J298" s="8">
        <f>'1_Du_lieu'!H343/AVERAGE('1_Du_lieu'!$H$320:$H$382)*100</f>
        <v>45.17864003073376</v>
      </c>
      <c r="K298" s="5">
        <f>'1_Du_lieu'!D343</f>
        <v>0</v>
      </c>
    </row>
    <row r="299" spans="1:11" x14ac:dyDescent="0.25">
      <c r="A299" t="s">
        <v>115</v>
      </c>
      <c r="B299">
        <v>2022</v>
      </c>
      <c r="C299" s="5" t="str">
        <f>'1_Du_lieu'!C344</f>
        <v>BTB&amp;DHMT</v>
      </c>
      <c r="D299" s="5" t="str">
        <f t="shared" si="8"/>
        <v>2021–2024</v>
      </c>
      <c r="E299" s="8">
        <f>'1_Du_lieu'!E344</f>
        <v>23</v>
      </c>
      <c r="F299" s="9">
        <f>AVERAGE('1_Du_lieu'!$E$320:$E$382)</f>
        <v>20.376785714285713</v>
      </c>
      <c r="G299" s="8">
        <f t="shared" si="9"/>
        <v>112.87354307247392</v>
      </c>
      <c r="H299" s="8">
        <f>'1_Du_lieu'!F344/AVERAGE('1_Du_lieu'!$F$320:$F$382)*100</f>
        <v>140.86242299794657</v>
      </c>
      <c r="I299" s="8">
        <f>'1_Du_lieu'!G344/AVERAGE('1_Du_lieu'!$G$320:$G$382)*100</f>
        <v>86.630841882429593</v>
      </c>
      <c r="J299" s="8">
        <f>'1_Du_lieu'!H344/AVERAGE('1_Du_lieu'!$H$320:$H$382)*100</f>
        <v>127.46830580099883</v>
      </c>
      <c r="K299" s="5">
        <f>'1_Du_lieu'!D344</f>
        <v>0</v>
      </c>
    </row>
    <row r="300" spans="1:11" x14ac:dyDescent="0.25">
      <c r="A300" t="s">
        <v>116</v>
      </c>
      <c r="B300">
        <v>2022</v>
      </c>
      <c r="C300" s="5" t="str">
        <f>'1_Du_lieu'!C345</f>
        <v>ĐBSCL</v>
      </c>
      <c r="D300" s="5" t="str">
        <f t="shared" si="8"/>
        <v>2021–2024</v>
      </c>
      <c r="E300" s="8">
        <f>'1_Du_lieu'!E345</f>
        <v>14.1</v>
      </c>
      <c r="F300" s="9">
        <f>AVERAGE('1_Du_lieu'!$E$320:$E$382)</f>
        <v>20.376785714285713</v>
      </c>
      <c r="G300" s="8">
        <f t="shared" si="9"/>
        <v>69.196389448777495</v>
      </c>
      <c r="H300" s="8">
        <f>'1_Du_lieu'!F345/AVERAGE('1_Du_lieu'!$F$320:$F$382)*100</f>
        <v>58.932238193018485</v>
      </c>
      <c r="I300" s="8">
        <f>'1_Du_lieu'!G345/AVERAGE('1_Du_lieu'!$G$320:$G$382)*100</f>
        <v>83.439179286761131</v>
      </c>
      <c r="J300" s="8">
        <f>'1_Du_lieu'!H345/AVERAGE('1_Du_lieu'!$H$320:$H$382)*100</f>
        <v>58.086822896657694</v>
      </c>
      <c r="K300" s="5">
        <f>'1_Du_lieu'!D345</f>
        <v>0</v>
      </c>
    </row>
    <row r="301" spans="1:11" x14ac:dyDescent="0.25">
      <c r="A301" t="s">
        <v>117</v>
      </c>
      <c r="B301">
        <v>2022</v>
      </c>
      <c r="C301" s="5" t="str">
        <f>'1_Du_lieu'!C346</f>
        <v>TN</v>
      </c>
      <c r="D301" s="5" t="str">
        <f t="shared" si="8"/>
        <v>2021–2024</v>
      </c>
      <c r="E301" s="8">
        <f>'1_Du_lieu'!E346</f>
        <v>10.7</v>
      </c>
      <c r="F301" s="9">
        <f>AVERAGE('1_Du_lieu'!$E$320:$E$382)</f>
        <v>20.376785714285713</v>
      </c>
      <c r="G301" s="8">
        <f t="shared" si="9"/>
        <v>52.510735255455266</v>
      </c>
      <c r="H301" s="8">
        <f>'1_Du_lieu'!F346/AVERAGE('1_Du_lieu'!$F$320:$F$382)*100</f>
        <v>52.703627652292937</v>
      </c>
      <c r="I301" s="8">
        <f>'1_Du_lieu'!G346/AVERAGE('1_Du_lieu'!$G$320:$G$382)*100</f>
        <v>49.242794333170501</v>
      </c>
      <c r="J301" s="8">
        <f>'1_Du_lieu'!H346/AVERAGE('1_Du_lieu'!$H$320:$H$382)*100</f>
        <v>56.473300038417207</v>
      </c>
      <c r="K301" s="5">
        <f>'1_Du_lieu'!D346</f>
        <v>0</v>
      </c>
    </row>
    <row r="302" spans="1:11" x14ac:dyDescent="0.25">
      <c r="A302" t="s">
        <v>119</v>
      </c>
      <c r="B302">
        <v>2022</v>
      </c>
      <c r="C302" s="5" t="str">
        <f>'1_Du_lieu'!C348</f>
        <v>ĐBSCL</v>
      </c>
      <c r="D302" s="5" t="str">
        <f t="shared" si="8"/>
        <v>2021–2024</v>
      </c>
      <c r="E302" s="8">
        <f>'1_Du_lieu'!E348</f>
        <v>20.100000000000001</v>
      </c>
      <c r="F302" s="9">
        <f>AVERAGE('1_Du_lieu'!$E$320:$E$382)</f>
        <v>20.376785714285713</v>
      </c>
      <c r="G302" s="8">
        <f t="shared" si="9"/>
        <v>98.641661554640265</v>
      </c>
      <c r="H302" s="8">
        <f>'1_Du_lieu'!F348/AVERAGE('1_Du_lieu'!$F$320:$F$382)*100</f>
        <v>89.117043121149891</v>
      </c>
      <c r="I302" s="8">
        <f>'1_Du_lieu'!G348/AVERAGE('1_Du_lieu'!$G$320:$G$382)*100</f>
        <v>111.70819084839604</v>
      </c>
      <c r="J302" s="8">
        <f>'1_Du_lieu'!H348/AVERAGE('1_Du_lieu'!$H$320:$H$382)*100</f>
        <v>88.2059162504802</v>
      </c>
      <c r="K302" s="5">
        <f>'1_Du_lieu'!D348</f>
        <v>0</v>
      </c>
    </row>
    <row r="303" spans="1:11" x14ac:dyDescent="0.25">
      <c r="A303" t="s">
        <v>120</v>
      </c>
      <c r="B303">
        <v>2022</v>
      </c>
      <c r="C303" s="5" t="str">
        <f>'1_Du_lieu'!C349</f>
        <v>TDMNPB</v>
      </c>
      <c r="D303" s="5" t="str">
        <f t="shared" si="8"/>
        <v>2021–2024</v>
      </c>
      <c r="E303" s="8">
        <f>'1_Du_lieu'!E349</f>
        <v>13</v>
      </c>
      <c r="F303" s="9">
        <f>AVERAGE('1_Du_lieu'!$E$320:$E$382)</f>
        <v>20.376785714285713</v>
      </c>
      <c r="G303" s="8">
        <f t="shared" si="9"/>
        <v>63.798089562702657</v>
      </c>
      <c r="H303" s="8">
        <f>'1_Du_lieu'!F349/AVERAGE('1_Du_lieu'!$F$320:$F$382)*100</f>
        <v>60.369609856262826</v>
      </c>
      <c r="I303" s="8">
        <f>'1_Du_lieu'!G349/AVERAGE('1_Du_lieu'!$G$320:$G$382)*100</f>
        <v>67.024914509037629</v>
      </c>
      <c r="J303" s="8">
        <f>'1_Du_lieu'!H349/AVERAGE('1_Du_lieu'!$H$320:$H$382)*100</f>
        <v>62.927391471379167</v>
      </c>
      <c r="K303" s="5">
        <f>'1_Du_lieu'!D349</f>
        <v>0</v>
      </c>
    </row>
    <row r="304" spans="1:11" x14ac:dyDescent="0.25">
      <c r="A304" t="s">
        <v>121</v>
      </c>
      <c r="B304">
        <v>2022</v>
      </c>
      <c r="C304" s="5" t="str">
        <f>'1_Du_lieu'!C350</f>
        <v>TN</v>
      </c>
      <c r="D304" s="5" t="str">
        <f t="shared" si="8"/>
        <v>2021–2024</v>
      </c>
      <c r="E304" s="8">
        <f>'1_Du_lieu'!E350</f>
        <v>19.600000000000001</v>
      </c>
      <c r="F304" s="9">
        <f>AVERAGE('1_Du_lieu'!$E$320:$E$382)</f>
        <v>20.376785714285713</v>
      </c>
      <c r="G304" s="8">
        <f t="shared" si="9"/>
        <v>96.1878888791517</v>
      </c>
      <c r="H304" s="8">
        <f>'1_Du_lieu'!F350/AVERAGE('1_Du_lieu'!$F$320:$F$382)*100</f>
        <v>107.32375085557835</v>
      </c>
      <c r="I304" s="8">
        <f>'1_Du_lieu'!G350/AVERAGE('1_Du_lieu'!$G$320:$G$382)*100</f>
        <v>101.22129946262825</v>
      </c>
      <c r="J304" s="8">
        <f>'1_Du_lieu'!H350/AVERAGE('1_Du_lieu'!$H$320:$H$382)*100</f>
        <v>84.441029581252394</v>
      </c>
      <c r="K304" s="5">
        <f>'1_Du_lieu'!D350</f>
        <v>0</v>
      </c>
    </row>
    <row r="305" spans="1:11" x14ac:dyDescent="0.25">
      <c r="A305" t="s">
        <v>122</v>
      </c>
      <c r="B305">
        <v>2022</v>
      </c>
      <c r="C305" s="5" t="str">
        <f>'1_Du_lieu'!C351</f>
        <v>TDMNPB</v>
      </c>
      <c r="D305" s="5" t="str">
        <f t="shared" si="8"/>
        <v>2021–2024</v>
      </c>
      <c r="E305" s="8">
        <f>'1_Du_lieu'!E351</f>
        <v>11.5</v>
      </c>
      <c r="F305" s="9">
        <f>AVERAGE('1_Du_lieu'!$E$320:$E$382)</f>
        <v>20.376785714285713</v>
      </c>
      <c r="G305" s="8">
        <f t="shared" si="9"/>
        <v>56.436771536236961</v>
      </c>
      <c r="H305" s="8">
        <f>'1_Du_lieu'!F351/AVERAGE('1_Du_lieu'!$F$320:$F$382)*100</f>
        <v>51.745379876796719</v>
      </c>
      <c r="I305" s="8">
        <f>'1_Du_lieu'!G351/AVERAGE('1_Du_lieu'!$G$320:$G$382)*100</f>
        <v>63.377300113987964</v>
      </c>
      <c r="J305" s="8">
        <f>'1_Du_lieu'!H351/AVERAGE('1_Du_lieu'!$H$320:$H$382)*100</f>
        <v>50.557049558202074</v>
      </c>
      <c r="K305" s="5">
        <f>'1_Du_lieu'!D351</f>
        <v>0</v>
      </c>
    </row>
    <row r="306" spans="1:11" x14ac:dyDescent="0.25">
      <c r="A306" t="s">
        <v>123</v>
      </c>
      <c r="B306">
        <v>2022</v>
      </c>
      <c r="C306" s="5" t="str">
        <f>'1_Du_lieu'!C352</f>
        <v>ĐBSH</v>
      </c>
      <c r="D306" s="5" t="str">
        <f t="shared" si="8"/>
        <v>2021–2024</v>
      </c>
      <c r="E306" s="8">
        <f>'1_Du_lieu'!E352</f>
        <v>24.3</v>
      </c>
      <c r="F306" s="9">
        <f>AVERAGE('1_Du_lieu'!$E$320:$E$382)</f>
        <v>20.376785714285713</v>
      </c>
      <c r="G306" s="8">
        <f t="shared" si="9"/>
        <v>119.2533520287442</v>
      </c>
      <c r="H306" s="8">
        <f>'1_Du_lieu'!F352/AVERAGE('1_Du_lieu'!$F$320:$F$382)*100</f>
        <v>124.5722108145106</v>
      </c>
      <c r="I306" s="8">
        <f>'1_Du_lieu'!G352/AVERAGE('1_Du_lieu'!$G$320:$G$382)*100</f>
        <v>134.96173261683768</v>
      </c>
      <c r="J306" s="8">
        <f>'1_Du_lieu'!H352/AVERAGE('1_Du_lieu'!$H$320:$H$382)*100</f>
        <v>97.349212447176328</v>
      </c>
      <c r="K306" s="5">
        <f>'1_Du_lieu'!D352</f>
        <v>1</v>
      </c>
    </row>
    <row r="307" spans="1:11" x14ac:dyDescent="0.25">
      <c r="A307" t="s">
        <v>124</v>
      </c>
      <c r="B307">
        <v>2022</v>
      </c>
      <c r="C307" s="5" t="str">
        <f>'1_Du_lieu'!C353</f>
        <v>BTB&amp;DHMT</v>
      </c>
      <c r="D307" s="5" t="str">
        <f t="shared" si="8"/>
        <v>2021–2024</v>
      </c>
      <c r="E307" s="8">
        <f>'1_Du_lieu'!E353</f>
        <v>21.3</v>
      </c>
      <c r="F307" s="9">
        <f>AVERAGE('1_Du_lieu'!$E$320:$E$382)</f>
        <v>20.376785714285713</v>
      </c>
      <c r="G307" s="8">
        <f t="shared" si="9"/>
        <v>104.53071597581283</v>
      </c>
      <c r="H307" s="8">
        <f>'1_Du_lieu'!F353/AVERAGE('1_Du_lieu'!$F$320:$F$382)*100</f>
        <v>82.888432580424364</v>
      </c>
      <c r="I307" s="8">
        <f>'1_Du_lieu'!G353/AVERAGE('1_Du_lieu'!$G$320:$G$382)*100</f>
        <v>112.62009444715846</v>
      </c>
      <c r="J307" s="8">
        <f>'1_Du_lieu'!H353/AVERAGE('1_Du_lieu'!$H$320:$H$382)*100</f>
        <v>107.56819054936611</v>
      </c>
      <c r="K307" s="5">
        <f>'1_Du_lieu'!D353</f>
        <v>0</v>
      </c>
    </row>
    <row r="308" spans="1:11" x14ac:dyDescent="0.25">
      <c r="A308" t="s">
        <v>125</v>
      </c>
      <c r="B308">
        <v>2022</v>
      </c>
      <c r="C308" s="5" t="str">
        <f>'1_Du_lieu'!C354</f>
        <v>ĐBSH</v>
      </c>
      <c r="D308" s="5" t="str">
        <f t="shared" si="8"/>
        <v>2021–2024</v>
      </c>
      <c r="E308" s="8">
        <f>'1_Du_lieu'!E354</f>
        <v>17.899999999999999</v>
      </c>
      <c r="F308" s="9">
        <f>AVERAGE('1_Du_lieu'!$E$320:$E$382)</f>
        <v>20.376785714285713</v>
      </c>
      <c r="G308" s="8">
        <f t="shared" si="9"/>
        <v>87.845061782490575</v>
      </c>
      <c r="H308" s="8">
        <f>'1_Du_lieu'!F354/AVERAGE('1_Du_lieu'!$F$320:$F$382)*100</f>
        <v>91.033538672142356</v>
      </c>
      <c r="I308" s="8">
        <f>'1_Du_lieu'!G354/AVERAGE('1_Du_lieu'!$G$320:$G$382)*100</f>
        <v>81.159420289855092</v>
      </c>
      <c r="J308" s="8">
        <f>'1_Du_lieu'!H354/AVERAGE('1_Du_lieu'!$H$320:$H$382)*100</f>
        <v>93.584325777948493</v>
      </c>
      <c r="K308" s="5">
        <f>'1_Du_lieu'!D354</f>
        <v>1</v>
      </c>
    </row>
    <row r="309" spans="1:11" x14ac:dyDescent="0.25">
      <c r="A309" t="s">
        <v>126</v>
      </c>
      <c r="B309">
        <v>2022</v>
      </c>
      <c r="C309" s="5" t="str">
        <f>'1_Du_lieu'!C355</f>
        <v>BTB&amp;DHMT</v>
      </c>
      <c r="D309" s="5" t="str">
        <f t="shared" si="8"/>
        <v>2021–2024</v>
      </c>
      <c r="E309" s="8">
        <f>'1_Du_lieu'!E355</f>
        <v>13.6</v>
      </c>
      <c r="F309" s="9">
        <f>AVERAGE('1_Du_lieu'!$E$320:$E$382)</f>
        <v>20.376785714285713</v>
      </c>
      <c r="G309" s="8">
        <f t="shared" si="9"/>
        <v>66.74261677328893</v>
      </c>
      <c r="H309" s="8">
        <f>'1_Du_lieu'!F355/AVERAGE('1_Du_lieu'!$F$320:$F$382)*100</f>
        <v>95.824777549623533</v>
      </c>
      <c r="I309" s="8">
        <f>'1_Du_lieu'!G355/AVERAGE('1_Du_lieu'!$G$320:$G$382)*100</f>
        <v>56.538023123269831</v>
      </c>
      <c r="J309" s="8">
        <f>'1_Du_lieu'!H355/AVERAGE('1_Du_lieu'!$H$320:$H$382)*100</f>
        <v>61.851709565885507</v>
      </c>
      <c r="K309" s="5">
        <f>'1_Du_lieu'!D355</f>
        <v>0</v>
      </c>
    </row>
    <row r="310" spans="1:11" x14ac:dyDescent="0.25">
      <c r="A310" t="s">
        <v>127</v>
      </c>
      <c r="B310">
        <v>2022</v>
      </c>
      <c r="C310" s="5" t="str">
        <f>'1_Du_lieu'!C356</f>
        <v>TDMNPB</v>
      </c>
      <c r="D310" s="5" t="str">
        <f t="shared" si="8"/>
        <v>2021–2024</v>
      </c>
      <c r="E310" s="8">
        <f>'1_Du_lieu'!E356</f>
        <v>14.1</v>
      </c>
      <c r="F310" s="9">
        <f>AVERAGE('1_Du_lieu'!$E$320:$E$382)</f>
        <v>20.376785714285713</v>
      </c>
      <c r="G310" s="8">
        <f t="shared" si="9"/>
        <v>69.196389448777495</v>
      </c>
      <c r="H310" s="8">
        <f>'1_Du_lieu'!F356/AVERAGE('1_Du_lieu'!$F$320:$F$382)*100</f>
        <v>82.409308692676248</v>
      </c>
      <c r="I310" s="8">
        <f>'1_Du_lieu'!G356/AVERAGE('1_Du_lieu'!$G$320:$G$382)*100</f>
        <v>59.273733919557081</v>
      </c>
      <c r="J310" s="8">
        <f>'1_Du_lieu'!H356/AVERAGE('1_Du_lieu'!$H$320:$H$382)*100</f>
        <v>73.68421052631578</v>
      </c>
      <c r="K310" s="5">
        <f>'1_Du_lieu'!D356</f>
        <v>0</v>
      </c>
    </row>
    <row r="311" spans="1:11" x14ac:dyDescent="0.25">
      <c r="A311" t="s">
        <v>128</v>
      </c>
      <c r="B311">
        <v>2022</v>
      </c>
      <c r="C311" s="5" t="str">
        <f>'1_Du_lieu'!C357</f>
        <v>BTB&amp;DHMT</v>
      </c>
      <c r="D311" s="5" t="str">
        <f t="shared" si="8"/>
        <v>2021–2024</v>
      </c>
      <c r="E311" s="8">
        <f>'1_Du_lieu'!E357</f>
        <v>14</v>
      </c>
      <c r="F311" s="9">
        <f>AVERAGE('1_Du_lieu'!$E$320:$E$382)</f>
        <v>20.376785714285713</v>
      </c>
      <c r="G311" s="8">
        <f t="shared" si="9"/>
        <v>68.705634913679788</v>
      </c>
      <c r="H311" s="8">
        <f>'1_Du_lieu'!F357/AVERAGE('1_Du_lieu'!$F$320:$F$382)*100</f>
        <v>69.952087611225181</v>
      </c>
      <c r="I311" s="8">
        <f>'1_Du_lieu'!G357/AVERAGE('1_Du_lieu'!$G$320:$G$382)*100</f>
        <v>63.833251913369168</v>
      </c>
      <c r="J311" s="8">
        <f>'1_Du_lieu'!H357/AVERAGE('1_Du_lieu'!$H$320:$H$382)*100</f>
        <v>74.222051479062614</v>
      </c>
      <c r="K311" s="5">
        <f>'1_Du_lieu'!D357</f>
        <v>0</v>
      </c>
    </row>
    <row r="312" spans="1:11" x14ac:dyDescent="0.25">
      <c r="A312" t="s">
        <v>129</v>
      </c>
      <c r="B312">
        <v>2022</v>
      </c>
      <c r="C312" s="5" t="str">
        <f>'1_Du_lieu'!C358</f>
        <v>BTB&amp;DHMT</v>
      </c>
      <c r="D312" s="5" t="str">
        <f t="shared" si="8"/>
        <v>2021–2024</v>
      </c>
      <c r="E312" s="8">
        <f>'1_Du_lieu'!E358</f>
        <v>14.2</v>
      </c>
      <c r="F312" s="9">
        <f>AVERAGE('1_Du_lieu'!$E$320:$E$382)</f>
        <v>20.376785714285713</v>
      </c>
      <c r="G312" s="8">
        <f t="shared" si="9"/>
        <v>69.687143983875217</v>
      </c>
      <c r="H312" s="8">
        <f>'1_Du_lieu'!F358/AVERAGE('1_Du_lieu'!$F$320:$F$382)*100</f>
        <v>76.659822039698838</v>
      </c>
      <c r="I312" s="8">
        <f>'1_Du_lieu'!G358/AVERAGE('1_Du_lieu'!$G$320:$G$382)*100</f>
        <v>63.833251913369168</v>
      </c>
      <c r="J312" s="8">
        <f>'1_Du_lieu'!H358/AVERAGE('1_Du_lieu'!$H$320:$H$382)*100</f>
        <v>72.608528620822128</v>
      </c>
      <c r="K312" s="5">
        <f>'1_Du_lieu'!D358</f>
        <v>0</v>
      </c>
    </row>
    <row r="313" spans="1:11" x14ac:dyDescent="0.25">
      <c r="A313" t="s">
        <v>130</v>
      </c>
      <c r="B313">
        <v>2022</v>
      </c>
      <c r="C313" s="5" t="str">
        <f>'1_Du_lieu'!C359</f>
        <v>BTB&amp;DHMT</v>
      </c>
      <c r="D313" s="5" t="str">
        <f t="shared" si="8"/>
        <v>2021–2024</v>
      </c>
      <c r="E313" s="8">
        <f>'1_Du_lieu'!E359</f>
        <v>16</v>
      </c>
      <c r="F313" s="9">
        <f>AVERAGE('1_Du_lieu'!$E$320:$E$382)</f>
        <v>20.376785714285713</v>
      </c>
      <c r="G313" s="8">
        <f t="shared" si="9"/>
        <v>78.520725615634049</v>
      </c>
      <c r="H313" s="8">
        <f>'1_Du_lieu'!F359/AVERAGE('1_Du_lieu'!$F$320:$F$382)*100</f>
        <v>98.699520876112246</v>
      </c>
      <c r="I313" s="8">
        <f>'1_Du_lieu'!G359/AVERAGE('1_Du_lieu'!$G$320:$G$382)*100</f>
        <v>71.128480703468497</v>
      </c>
      <c r="J313" s="8">
        <f>'1_Du_lieu'!H359/AVERAGE('1_Du_lieu'!$H$320:$H$382)*100</f>
        <v>75.8355743373031</v>
      </c>
      <c r="K313" s="5">
        <f>'1_Du_lieu'!D359</f>
        <v>0</v>
      </c>
    </row>
    <row r="314" spans="1:11" x14ac:dyDescent="0.25">
      <c r="A314" t="s">
        <v>131</v>
      </c>
      <c r="B314">
        <v>2022</v>
      </c>
      <c r="C314" s="5" t="str">
        <f>'1_Du_lieu'!C360</f>
        <v>BTB&amp;DHMT</v>
      </c>
      <c r="D314" s="5" t="str">
        <f t="shared" si="8"/>
        <v>2021–2024</v>
      </c>
      <c r="E314" s="8">
        <f>'1_Du_lieu'!E360</f>
        <v>14.1</v>
      </c>
      <c r="F314" s="9">
        <f>AVERAGE('1_Du_lieu'!$E$320:$E$382)</f>
        <v>20.376785714285713</v>
      </c>
      <c r="G314" s="8">
        <f t="shared" si="9"/>
        <v>69.196389448777495</v>
      </c>
      <c r="H314" s="8">
        <f>'1_Du_lieu'!F360/AVERAGE('1_Du_lieu'!$F$320:$F$382)*100</f>
        <v>79.534565366187536</v>
      </c>
      <c r="I314" s="8">
        <f>'1_Du_lieu'!G360/AVERAGE('1_Du_lieu'!$G$320:$G$382)*100</f>
        <v>66.568962709656418</v>
      </c>
      <c r="J314" s="8">
        <f>'1_Du_lieu'!H360/AVERAGE('1_Du_lieu'!$H$320:$H$382)*100</f>
        <v>65.61659623511332</v>
      </c>
      <c r="K314" s="5">
        <f>'1_Du_lieu'!D360</f>
        <v>0</v>
      </c>
    </row>
    <row r="315" spans="1:11" x14ac:dyDescent="0.25">
      <c r="A315" t="s">
        <v>132</v>
      </c>
      <c r="B315">
        <v>2022</v>
      </c>
      <c r="C315" s="5" t="str">
        <f>'1_Du_lieu'!C361</f>
        <v>ĐBSH</v>
      </c>
      <c r="D315" s="5" t="str">
        <f t="shared" si="8"/>
        <v>2021–2024</v>
      </c>
      <c r="E315" s="8">
        <f>'1_Du_lieu'!E361</f>
        <v>21.3</v>
      </c>
      <c r="F315" s="9">
        <f>AVERAGE('1_Du_lieu'!$E$320:$E$382)</f>
        <v>20.376785714285713</v>
      </c>
      <c r="G315" s="8">
        <f t="shared" si="9"/>
        <v>104.53071597581283</v>
      </c>
      <c r="H315" s="8">
        <f>'1_Du_lieu'!F361/AVERAGE('1_Du_lieu'!$F$320:$F$382)*100</f>
        <v>108.7611225188227</v>
      </c>
      <c r="I315" s="8">
        <f>'1_Du_lieu'!G361/AVERAGE('1_Du_lieu'!$G$320:$G$382)*100</f>
        <v>101.22129946262825</v>
      </c>
      <c r="J315" s="8">
        <f>'1_Du_lieu'!H361/AVERAGE('1_Du_lieu'!$H$320:$H$382)*100</f>
        <v>105.41682673837877</v>
      </c>
      <c r="K315" s="5">
        <f>'1_Du_lieu'!D361</f>
        <v>1</v>
      </c>
    </row>
    <row r="316" spans="1:11" x14ac:dyDescent="0.25">
      <c r="A316" t="s">
        <v>133</v>
      </c>
      <c r="B316">
        <v>2022</v>
      </c>
      <c r="C316" s="5" t="str">
        <f>'1_Du_lieu'!C362</f>
        <v>BTB&amp;DHMT</v>
      </c>
      <c r="D316" s="5" t="str">
        <f t="shared" si="8"/>
        <v>2021–2024</v>
      </c>
      <c r="E316" s="8">
        <f>'1_Du_lieu'!E362</f>
        <v>13.9</v>
      </c>
      <c r="F316" s="9">
        <f>AVERAGE('1_Du_lieu'!$E$320:$E$382)</f>
        <v>20.376785714285713</v>
      </c>
      <c r="G316" s="8">
        <f t="shared" si="9"/>
        <v>68.21488037858208</v>
      </c>
      <c r="H316" s="8">
        <f>'1_Du_lieu'!F362/AVERAGE('1_Du_lieu'!$F$320:$F$382)*100</f>
        <v>71.38945927446953</v>
      </c>
      <c r="I316" s="8">
        <f>'1_Du_lieu'!G362/AVERAGE('1_Du_lieu'!$G$320:$G$382)*100</f>
        <v>63.833251913369168</v>
      </c>
      <c r="J316" s="8">
        <f>'1_Du_lieu'!H362/AVERAGE('1_Du_lieu'!$H$320:$H$382)*100</f>
        <v>71.532846715328461</v>
      </c>
      <c r="K316" s="5">
        <f>'1_Du_lieu'!D362</f>
        <v>0</v>
      </c>
    </row>
    <row r="317" spans="1:11" x14ac:dyDescent="0.25">
      <c r="A317" t="s">
        <v>136</v>
      </c>
      <c r="B317">
        <v>2022</v>
      </c>
      <c r="C317" s="5" t="str">
        <f>'1_Du_lieu'!C365</f>
        <v>ĐNB</v>
      </c>
      <c r="D317" s="5" t="str">
        <f t="shared" si="8"/>
        <v>2021–2024</v>
      </c>
      <c r="E317" s="8">
        <f>'1_Du_lieu'!E365</f>
        <v>90.6</v>
      </c>
      <c r="F317" s="9">
        <f>AVERAGE('1_Du_lieu'!$E$320:$E$382)</f>
        <v>20.376785714285713</v>
      </c>
      <c r="G317" s="8">
        <f t="shared" si="9"/>
        <v>444.62360879852775</v>
      </c>
      <c r="H317" s="8">
        <f>'1_Du_lieu'!F365/AVERAGE('1_Du_lieu'!$F$320:$F$382)*100</f>
        <v>465.22929500342218</v>
      </c>
      <c r="I317" s="8">
        <f>'1_Du_lieu'!G365/AVERAGE('1_Du_lieu'!$G$320:$G$382)*100</f>
        <v>379.8078488845465</v>
      </c>
      <c r="J317" s="8">
        <f>'1_Du_lieu'!H365/AVERAGE('1_Du_lieu'!$H$320:$H$382)*100</f>
        <v>509.33538225124852</v>
      </c>
      <c r="K317" s="5">
        <f>'1_Du_lieu'!D365</f>
        <v>1</v>
      </c>
    </row>
    <row r="318" spans="1:11" x14ac:dyDescent="0.25">
      <c r="A318" t="s">
        <v>137</v>
      </c>
      <c r="B318">
        <v>2022</v>
      </c>
      <c r="C318" s="5" t="str">
        <f>'1_Du_lieu'!C366</f>
        <v>BTB&amp;DHMT</v>
      </c>
      <c r="D318" s="5" t="str">
        <f t="shared" si="8"/>
        <v>2021–2024</v>
      </c>
      <c r="E318" s="8">
        <f>'1_Du_lieu'!E366</f>
        <v>21.3</v>
      </c>
      <c r="F318" s="9">
        <f>AVERAGE('1_Du_lieu'!$E$320:$E$382)</f>
        <v>20.376785714285713</v>
      </c>
      <c r="G318" s="8">
        <f t="shared" si="9"/>
        <v>104.53071597581283</v>
      </c>
      <c r="H318" s="8">
        <f>'1_Du_lieu'!F366/AVERAGE('1_Du_lieu'!$F$320:$F$382)*100</f>
        <v>80.971937029431885</v>
      </c>
      <c r="I318" s="8">
        <f>'1_Du_lieu'!G366/AVERAGE('1_Du_lieu'!$G$320:$G$382)*100</f>
        <v>121.73913043478262</v>
      </c>
      <c r="J318" s="8">
        <f>'1_Du_lieu'!H366/AVERAGE('1_Du_lieu'!$H$320:$H$382)*100</f>
        <v>96.811371494429494</v>
      </c>
      <c r="K318" s="5">
        <f>'1_Du_lieu'!D366</f>
        <v>0</v>
      </c>
    </row>
    <row r="319" spans="1:11" x14ac:dyDescent="0.25">
      <c r="A319" t="s">
        <v>138</v>
      </c>
      <c r="B319">
        <v>2022</v>
      </c>
      <c r="C319" s="5" t="str">
        <f>'1_Du_lieu'!C367</f>
        <v>ĐBSH</v>
      </c>
      <c r="D319" s="5" t="str">
        <f t="shared" si="8"/>
        <v>2021–2024</v>
      </c>
      <c r="E319" s="8">
        <f>'1_Du_lieu'!E367</f>
        <v>16.600000000000001</v>
      </c>
      <c r="F319" s="9">
        <f>AVERAGE('1_Du_lieu'!$E$320:$E$382)</f>
        <v>20.376785714285713</v>
      </c>
      <c r="G319" s="8">
        <f t="shared" si="9"/>
        <v>81.465252826220322</v>
      </c>
      <c r="H319" s="8">
        <f>'1_Du_lieu'!F367/AVERAGE('1_Du_lieu'!$F$320:$F$382)*100</f>
        <v>89.596167008897993</v>
      </c>
      <c r="I319" s="8">
        <f>'1_Du_lieu'!G367/AVERAGE('1_Du_lieu'!$G$320:$G$382)*100</f>
        <v>82.071323888617499</v>
      </c>
      <c r="J319" s="8">
        <f>'1_Du_lieu'!H367/AVERAGE('1_Du_lieu'!$H$320:$H$382)*100</f>
        <v>76.911256242796767</v>
      </c>
      <c r="K319" s="5">
        <f>'1_Du_lieu'!D367</f>
        <v>1</v>
      </c>
    </row>
    <row r="320" spans="1:11" x14ac:dyDescent="0.25">
      <c r="A320" t="s">
        <v>139</v>
      </c>
      <c r="B320">
        <v>2022</v>
      </c>
      <c r="C320" s="5" t="str">
        <f>'1_Du_lieu'!C368</f>
        <v>TDMNPB</v>
      </c>
      <c r="D320" s="5" t="str">
        <f t="shared" si="8"/>
        <v>2021–2024</v>
      </c>
      <c r="E320" s="8">
        <f>'1_Du_lieu'!E368</f>
        <v>20.399999999999999</v>
      </c>
      <c r="F320" s="9">
        <f>AVERAGE('1_Du_lieu'!$E$320:$E$382)</f>
        <v>20.376785714285713</v>
      </c>
      <c r="G320" s="8">
        <f t="shared" si="9"/>
        <v>100.1139251599334</v>
      </c>
      <c r="H320" s="8">
        <f>'1_Du_lieu'!F368/AVERAGE('1_Du_lieu'!$F$320:$F$382)*100</f>
        <v>87.200547570157411</v>
      </c>
      <c r="I320" s="8">
        <f>'1_Du_lieu'!G368/AVERAGE('1_Du_lieu'!$G$320:$G$382)*100</f>
        <v>114.44390164468329</v>
      </c>
      <c r="J320" s="8">
        <f>'1_Du_lieu'!H368/AVERAGE('1_Du_lieu'!$H$320:$H$382)*100</f>
        <v>90.895121014214354</v>
      </c>
      <c r="K320" s="5">
        <f>'1_Du_lieu'!D368</f>
        <v>0</v>
      </c>
    </row>
    <row r="321" spans="1:11" x14ac:dyDescent="0.25">
      <c r="A321" t="s">
        <v>140</v>
      </c>
      <c r="B321">
        <v>2022</v>
      </c>
      <c r="C321" s="5" t="str">
        <f>'1_Du_lieu'!C369</f>
        <v>BTB&amp;DHMT</v>
      </c>
      <c r="D321" s="5" t="str">
        <f t="shared" si="8"/>
        <v>2021–2024</v>
      </c>
      <c r="E321" s="8">
        <f>'1_Du_lieu'!E369</f>
        <v>14.1</v>
      </c>
      <c r="F321" s="9">
        <f>AVERAGE('1_Du_lieu'!$E$320:$E$382)</f>
        <v>20.376785714285713</v>
      </c>
      <c r="G321" s="8">
        <f t="shared" si="9"/>
        <v>69.196389448777495</v>
      </c>
      <c r="H321" s="8">
        <f>'1_Du_lieu'!F369/AVERAGE('1_Du_lieu'!$F$320:$F$382)*100</f>
        <v>79.534565366187536</v>
      </c>
      <c r="I321" s="8">
        <f>'1_Du_lieu'!G369/AVERAGE('1_Du_lieu'!$G$320:$G$382)*100</f>
        <v>63.833251913369168</v>
      </c>
      <c r="J321" s="8">
        <f>'1_Du_lieu'!H369/AVERAGE('1_Du_lieu'!$H$320:$H$382)*100</f>
        <v>69.91932385708796</v>
      </c>
      <c r="K321" s="5">
        <f>'1_Du_lieu'!D369</f>
        <v>0</v>
      </c>
    </row>
    <row r="322" spans="1:11" x14ac:dyDescent="0.25">
      <c r="A322" t="s">
        <v>141</v>
      </c>
      <c r="B322">
        <v>2022</v>
      </c>
      <c r="C322" s="5" t="str">
        <f>'1_Du_lieu'!C370</f>
        <v>ĐBSCL</v>
      </c>
      <c r="D322" s="5" t="str">
        <f t="shared" si="8"/>
        <v>2021–2024</v>
      </c>
      <c r="E322" s="8">
        <f>'1_Du_lieu'!E370</f>
        <v>13.7</v>
      </c>
      <c r="F322" s="9">
        <f>AVERAGE('1_Du_lieu'!$E$320:$E$382)</f>
        <v>20.376785714285713</v>
      </c>
      <c r="G322" s="8">
        <f t="shared" si="9"/>
        <v>67.233371308386651</v>
      </c>
      <c r="H322" s="8">
        <f>'1_Du_lieu'!F370/AVERAGE('1_Du_lieu'!$F$320:$F$382)*100</f>
        <v>61.80698151950719</v>
      </c>
      <c r="I322" s="8">
        <f>'1_Du_lieu'!G370/AVERAGE('1_Du_lieu'!$G$320:$G$382)*100</f>
        <v>79.791564891711459</v>
      </c>
      <c r="J322" s="8">
        <f>'1_Du_lieu'!H370/AVERAGE('1_Du_lieu'!$H$320:$H$382)*100</f>
        <v>55.39761813292354</v>
      </c>
      <c r="K322" s="5">
        <f>'1_Du_lieu'!D370</f>
        <v>0</v>
      </c>
    </row>
    <row r="323" spans="1:11" x14ac:dyDescent="0.25">
      <c r="A323" t="s">
        <v>142</v>
      </c>
      <c r="B323">
        <v>2022</v>
      </c>
      <c r="C323" s="5" t="str">
        <f>'1_Du_lieu'!C371</f>
        <v>ĐBSCL</v>
      </c>
      <c r="D323" s="5" t="str">
        <f t="shared" si="8"/>
        <v>2021–2024</v>
      </c>
      <c r="E323" s="8">
        <f>'1_Du_lieu'!E371</f>
        <v>10.7</v>
      </c>
      <c r="F323" s="9">
        <f>AVERAGE('1_Du_lieu'!$E$320:$E$382)</f>
        <v>20.376785714285713</v>
      </c>
      <c r="G323" s="8">
        <f t="shared" si="9"/>
        <v>52.510735255455266</v>
      </c>
      <c r="H323" s="8">
        <f>'1_Du_lieu'!F371/AVERAGE('1_Du_lieu'!$F$320:$F$382)*100</f>
        <v>43.121149897330589</v>
      </c>
      <c r="I323" s="8">
        <f>'1_Du_lieu'!G371/AVERAGE('1_Du_lieu'!$G$320:$G$382)*100</f>
        <v>61.097541117081924</v>
      </c>
      <c r="J323" s="8">
        <f>'1_Du_lieu'!H371/AVERAGE('1_Du_lieu'!$H$320:$H$382)*100</f>
        <v>48.405685747214747</v>
      </c>
      <c r="K323" s="5">
        <f>'1_Du_lieu'!D371</f>
        <v>0</v>
      </c>
    </row>
    <row r="324" spans="1:11" x14ac:dyDescent="0.25">
      <c r="A324" t="s">
        <v>143</v>
      </c>
      <c r="B324">
        <v>2022</v>
      </c>
      <c r="C324" s="5" t="str">
        <f>'1_Du_lieu'!C372</f>
        <v>TDMNPB</v>
      </c>
      <c r="D324" s="5" t="str">
        <f t="shared" si="8"/>
        <v>2021–2024</v>
      </c>
      <c r="E324" s="8">
        <f>'1_Du_lieu'!E372</f>
        <v>9.3000000000000007</v>
      </c>
      <c r="F324" s="9">
        <f>AVERAGE('1_Du_lieu'!$E$320:$E$382)</f>
        <v>20.376785714285713</v>
      </c>
      <c r="G324" s="8">
        <f t="shared" si="9"/>
        <v>45.640171764087292</v>
      </c>
      <c r="H324" s="8">
        <f>'1_Du_lieu'!F372/AVERAGE('1_Du_lieu'!$F$320:$F$382)*100</f>
        <v>53.18275154004106</v>
      </c>
      <c r="I324" s="8">
        <f>'1_Du_lieu'!G372/AVERAGE('1_Du_lieu'!$G$320:$G$382)*100</f>
        <v>48.330890734408086</v>
      </c>
      <c r="J324" s="8">
        <f>'1_Du_lieu'!H372/AVERAGE('1_Du_lieu'!$H$320:$H$382)*100</f>
        <v>37.648866692278141</v>
      </c>
      <c r="K324" s="5">
        <f>'1_Du_lieu'!D372</f>
        <v>0</v>
      </c>
    </row>
    <row r="325" spans="1:11" x14ac:dyDescent="0.25">
      <c r="A325" t="s">
        <v>144</v>
      </c>
      <c r="B325">
        <v>2022</v>
      </c>
      <c r="C325" s="5" t="str">
        <f>'1_Du_lieu'!C373</f>
        <v>ĐNB</v>
      </c>
      <c r="D325" s="5" t="str">
        <f t="shared" ref="D325:D388" si="10">IF(B325&lt;=2020,"2017–2020","2021–2024")</f>
        <v>2021–2024</v>
      </c>
      <c r="E325" s="8">
        <f>'1_Du_lieu'!E373</f>
        <v>14.6</v>
      </c>
      <c r="F325" s="9">
        <f>AVERAGE('1_Du_lieu'!$E$320:$E$382)</f>
        <v>20.376785714285713</v>
      </c>
      <c r="G325" s="8">
        <f t="shared" ref="G325:G388" si="11">E325/F325*100</f>
        <v>71.65016212426606</v>
      </c>
      <c r="H325" s="8">
        <f>'1_Du_lieu'!F373/AVERAGE('1_Du_lieu'!$F$320:$F$382)*100</f>
        <v>64.202600958247771</v>
      </c>
      <c r="I325" s="8">
        <f>'1_Du_lieu'!G373/AVERAGE('1_Du_lieu'!$G$320:$G$382)*100</f>
        <v>79.791564891711459</v>
      </c>
      <c r="J325" s="8">
        <f>'1_Du_lieu'!H373/AVERAGE('1_Du_lieu'!$H$320:$H$382)*100</f>
        <v>66.692278140606987</v>
      </c>
      <c r="K325" s="5">
        <f>'1_Du_lieu'!D373</f>
        <v>1</v>
      </c>
    </row>
    <row r="326" spans="1:11" x14ac:dyDescent="0.25">
      <c r="A326" t="s">
        <v>145</v>
      </c>
      <c r="B326">
        <v>2022</v>
      </c>
      <c r="C326" s="5" t="str">
        <f>'1_Du_lieu'!C374</f>
        <v>ĐBSCL</v>
      </c>
      <c r="D326" s="5" t="str">
        <f t="shared" si="10"/>
        <v>2021–2024</v>
      </c>
      <c r="E326" s="8">
        <f>'1_Du_lieu'!E374</f>
        <v>11.8</v>
      </c>
      <c r="F326" s="9">
        <f>AVERAGE('1_Du_lieu'!$E$320:$E$382)</f>
        <v>20.376785714285713</v>
      </c>
      <c r="G326" s="8">
        <f t="shared" si="11"/>
        <v>57.909035141530104</v>
      </c>
      <c r="H326" s="8">
        <f>'1_Du_lieu'!F374/AVERAGE('1_Du_lieu'!$F$320:$F$382)*100</f>
        <v>57.494866529774121</v>
      </c>
      <c r="I326" s="8">
        <f>'1_Du_lieu'!G374/AVERAGE('1_Du_lieu'!$G$320:$G$382)*100</f>
        <v>65.657059110893996</v>
      </c>
      <c r="J326" s="8">
        <f>'1_Du_lieu'!H374/AVERAGE('1_Du_lieu'!$H$320:$H$382)*100</f>
        <v>48.405685747214747</v>
      </c>
      <c r="K326" s="5">
        <f>'1_Du_lieu'!D374</f>
        <v>0</v>
      </c>
    </row>
    <row r="327" spans="1:11" x14ac:dyDescent="0.25">
      <c r="A327" t="s">
        <v>146</v>
      </c>
      <c r="B327">
        <v>2022</v>
      </c>
      <c r="C327" s="5" t="str">
        <f>'1_Du_lieu'!C375</f>
        <v>ĐBSH</v>
      </c>
      <c r="D327" s="5" t="str">
        <f t="shared" si="10"/>
        <v>2021–2024</v>
      </c>
      <c r="E327" s="8">
        <f>'1_Du_lieu'!E375</f>
        <v>23.9</v>
      </c>
      <c r="F327" s="9">
        <f>AVERAGE('1_Du_lieu'!$E$320:$E$382)</f>
        <v>20.376785714285713</v>
      </c>
      <c r="G327" s="8">
        <f t="shared" si="11"/>
        <v>117.29033388835335</v>
      </c>
      <c r="H327" s="8">
        <f>'1_Du_lieu'!F375/AVERAGE('1_Du_lieu'!$F$320:$F$382)*100</f>
        <v>104.44900752908966</v>
      </c>
      <c r="I327" s="8">
        <f>'1_Du_lieu'!G375/AVERAGE('1_Du_lieu'!$G$320:$G$382)*100</f>
        <v>117.17961244097054</v>
      </c>
      <c r="J327" s="8">
        <f>'1_Du_lieu'!H375/AVERAGE('1_Du_lieu'!$H$320:$H$382)*100</f>
        <v>124.77910103726468</v>
      </c>
      <c r="K327" s="5">
        <f>'1_Du_lieu'!D375</f>
        <v>1</v>
      </c>
    </row>
    <row r="328" spans="1:11" x14ac:dyDescent="0.25">
      <c r="A328" t="s">
        <v>147</v>
      </c>
      <c r="B328">
        <v>2022</v>
      </c>
      <c r="C328" s="5" t="str">
        <f>'1_Du_lieu'!C376</f>
        <v>TDMNPB</v>
      </c>
      <c r="D328" s="5" t="str">
        <f t="shared" si="10"/>
        <v>2021–2024</v>
      </c>
      <c r="E328" s="8">
        <f>'1_Du_lieu'!E376</f>
        <v>13.8</v>
      </c>
      <c r="F328" s="9">
        <f>AVERAGE('1_Du_lieu'!$E$320:$E$382)</f>
        <v>20.376785714285713</v>
      </c>
      <c r="G328" s="8">
        <f t="shared" si="11"/>
        <v>67.724125843484359</v>
      </c>
      <c r="H328" s="8">
        <f>'1_Du_lieu'!F376/AVERAGE('1_Du_lieu'!$F$320:$F$382)*100</f>
        <v>60.848733744010943</v>
      </c>
      <c r="I328" s="8">
        <f>'1_Du_lieu'!G376/AVERAGE('1_Du_lieu'!$G$320:$G$382)*100</f>
        <v>69.304673505943668</v>
      </c>
      <c r="J328" s="8">
        <f>'1_Du_lieu'!H376/AVERAGE('1_Du_lieu'!$H$320:$H$382)*100</f>
        <v>69.91932385708796</v>
      </c>
      <c r="K328" s="5">
        <f>'1_Du_lieu'!D376</f>
        <v>0</v>
      </c>
    </row>
    <row r="329" spans="1:11" x14ac:dyDescent="0.25">
      <c r="A329" t="s">
        <v>149</v>
      </c>
      <c r="B329">
        <v>2022</v>
      </c>
      <c r="C329" s="5" t="str">
        <f>'1_Du_lieu'!C378</f>
        <v>BTB&amp;DHMT</v>
      </c>
      <c r="D329" s="5" t="str">
        <f t="shared" si="10"/>
        <v>2021–2024</v>
      </c>
      <c r="E329" s="8">
        <f>'1_Du_lieu'!E378</f>
        <v>36.6</v>
      </c>
      <c r="F329" s="9">
        <f>AVERAGE('1_Du_lieu'!$E$320:$E$382)</f>
        <v>20.376785714285713</v>
      </c>
      <c r="G329" s="8">
        <f t="shared" si="11"/>
        <v>179.61615984576287</v>
      </c>
      <c r="H329" s="8">
        <f>'1_Du_lieu'!F378/AVERAGE('1_Du_lieu'!$F$320:$F$382)*100</f>
        <v>191.64955509924707</v>
      </c>
      <c r="I329" s="8">
        <f>'1_Du_lieu'!G378/AVERAGE('1_Du_lieu'!$G$320:$G$382)*100</f>
        <v>165.96645497475984</v>
      </c>
      <c r="J329" s="8">
        <f>'1_Du_lieu'!H378/AVERAGE('1_Du_lieu'!$H$320:$H$382)*100</f>
        <v>188.24433346139068</v>
      </c>
      <c r="K329" s="5">
        <f>'1_Du_lieu'!D378</f>
        <v>0</v>
      </c>
    </row>
    <row r="330" spans="1:11" x14ac:dyDescent="0.25">
      <c r="A330" t="s">
        <v>150</v>
      </c>
      <c r="B330">
        <v>2022</v>
      </c>
      <c r="C330" s="5" t="str">
        <f>'1_Du_lieu'!C379</f>
        <v>TN</v>
      </c>
      <c r="D330" s="5" t="str">
        <f t="shared" si="10"/>
        <v>2021–2024</v>
      </c>
      <c r="E330" s="8">
        <f>'1_Du_lieu'!E379</f>
        <v>18.100000000000001</v>
      </c>
      <c r="F330" s="9">
        <f>AVERAGE('1_Du_lieu'!$E$320:$E$382)</f>
        <v>20.376785714285713</v>
      </c>
      <c r="G330" s="8">
        <f t="shared" si="11"/>
        <v>88.826570852686018</v>
      </c>
      <c r="H330" s="8">
        <f>'1_Du_lieu'!F379/AVERAGE('1_Du_lieu'!$F$320:$F$382)*100</f>
        <v>86.242299794661179</v>
      </c>
      <c r="I330" s="8">
        <f>'1_Du_lieu'!G379/AVERAGE('1_Du_lieu'!$G$320:$G$382)*100</f>
        <v>100.76534766324706</v>
      </c>
      <c r="J330" s="8">
        <f>'1_Du_lieu'!H379/AVERAGE('1_Du_lieu'!$H$320:$H$382)*100</f>
        <v>76.373415290049934</v>
      </c>
      <c r="K330" s="5">
        <f>'1_Du_lieu'!D379</f>
        <v>0</v>
      </c>
    </row>
    <row r="331" spans="1:11" x14ac:dyDescent="0.25">
      <c r="A331" t="s">
        <v>151</v>
      </c>
      <c r="B331">
        <v>2022</v>
      </c>
      <c r="C331" s="5" t="str">
        <f>'1_Du_lieu'!C380</f>
        <v>TN</v>
      </c>
      <c r="D331" s="5" t="str">
        <f t="shared" si="10"/>
        <v>2021–2024</v>
      </c>
      <c r="E331" s="8">
        <f>'1_Du_lieu'!E380</f>
        <v>11.8</v>
      </c>
      <c r="F331" s="9">
        <f>AVERAGE('1_Du_lieu'!$E$320:$E$382)</f>
        <v>20.376785714285713</v>
      </c>
      <c r="G331" s="8">
        <f t="shared" si="11"/>
        <v>57.909035141530104</v>
      </c>
      <c r="H331" s="8">
        <f>'1_Du_lieu'!F380/AVERAGE('1_Du_lieu'!$F$320:$F$382)*100</f>
        <v>54.1409993155373</v>
      </c>
      <c r="I331" s="8">
        <f>'1_Du_lieu'!G380/AVERAGE('1_Du_lieu'!$G$320:$G$382)*100</f>
        <v>59.729685718938299</v>
      </c>
      <c r="J331" s="8">
        <f>'1_Du_lieu'!H380/AVERAGE('1_Du_lieu'!$H$320:$H$382)*100</f>
        <v>58.086822896657694</v>
      </c>
      <c r="K331" s="5">
        <f>'1_Du_lieu'!D380</f>
        <v>0</v>
      </c>
    </row>
    <row r="332" spans="1:11" x14ac:dyDescent="0.25">
      <c r="A332" t="s">
        <v>152</v>
      </c>
      <c r="B332">
        <v>2022</v>
      </c>
      <c r="C332" s="5" t="str">
        <f>'1_Du_lieu'!C381</f>
        <v>ĐNB</v>
      </c>
      <c r="D332" s="5" t="str">
        <f t="shared" si="10"/>
        <v>2021–2024</v>
      </c>
      <c r="E332" s="8">
        <f>'1_Du_lieu'!E381</f>
        <v>33</v>
      </c>
      <c r="F332" s="9">
        <f>AVERAGE('1_Du_lieu'!$E$320:$E$382)</f>
        <v>20.376785714285713</v>
      </c>
      <c r="G332" s="8">
        <f t="shared" si="11"/>
        <v>161.94899658224523</v>
      </c>
      <c r="H332" s="8">
        <f>'1_Du_lieu'!F381/AVERAGE('1_Du_lieu'!$F$320:$F$382)*100</f>
        <v>115.94798083504448</v>
      </c>
      <c r="I332" s="8">
        <f>'1_Du_lieu'!G381/AVERAGE('1_Du_lieu'!$G$320:$G$382)*100</f>
        <v>166.87835857352226</v>
      </c>
      <c r="J332" s="8">
        <f>'1_Du_lieu'!H381/AVERAGE('1_Du_lieu'!$H$320:$H$382)*100</f>
        <v>182.32808298117553</v>
      </c>
      <c r="K332" s="5">
        <f>'1_Du_lieu'!D381</f>
        <v>1</v>
      </c>
    </row>
    <row r="333" spans="1:11" x14ac:dyDescent="0.25">
      <c r="A333" t="s">
        <v>153</v>
      </c>
      <c r="B333">
        <v>2022</v>
      </c>
      <c r="C333" s="5" t="str">
        <f>'1_Du_lieu'!C382</f>
        <v>ĐBSCL</v>
      </c>
      <c r="D333" s="5" t="str">
        <f t="shared" si="10"/>
        <v>2021–2024</v>
      </c>
      <c r="E333" s="8">
        <f>'1_Du_lieu'!E382</f>
        <v>14.7</v>
      </c>
      <c r="F333" s="9">
        <f>AVERAGE('1_Du_lieu'!$E$320:$E$382)</f>
        <v>20.376785714285713</v>
      </c>
      <c r="G333" s="8">
        <f t="shared" si="11"/>
        <v>72.140916659363768</v>
      </c>
      <c r="H333" s="8">
        <f>'1_Du_lieu'!F382/AVERAGE('1_Du_lieu'!$F$320:$F$382)*100</f>
        <v>50.308008213552355</v>
      </c>
      <c r="I333" s="8">
        <f>'1_Du_lieu'!G382/AVERAGE('1_Du_lieu'!$G$320:$G$382)*100</f>
        <v>93.926070672528923</v>
      </c>
      <c r="J333" s="8">
        <f>'1_Du_lieu'!H382/AVERAGE('1_Du_lieu'!$H$320:$H$382)*100</f>
        <v>59.162504802151361</v>
      </c>
      <c r="K333" s="5">
        <f>'1_Du_lieu'!D382</f>
        <v>0</v>
      </c>
    </row>
    <row r="334" spans="1:11" x14ac:dyDescent="0.25">
      <c r="A334" t="s">
        <v>85</v>
      </c>
      <c r="B334">
        <v>2023</v>
      </c>
      <c r="C334" s="5" t="str">
        <f>'1_Du_lieu'!C383</f>
        <v>ĐBSCL</v>
      </c>
      <c r="D334" s="5" t="str">
        <f t="shared" si="10"/>
        <v>2021–2024</v>
      </c>
      <c r="E334" s="8">
        <f>'1_Du_lieu'!E383</f>
        <v>14</v>
      </c>
      <c r="F334" s="9">
        <f>AVERAGE('1_Du_lieu'!$E$383:$E$445)</f>
        <v>19.241379310344833</v>
      </c>
      <c r="G334" s="8">
        <f t="shared" si="11"/>
        <v>72.759856630824345</v>
      </c>
      <c r="H334" s="8">
        <f>'1_Du_lieu'!F383/AVERAGE('1_Du_lieu'!$F$383:$F$445)*100</f>
        <v>70.303030303030297</v>
      </c>
      <c r="I334" s="8">
        <f>'1_Du_lieu'!G383/AVERAGE('1_Du_lieu'!$G$383:$G$445)*100</f>
        <v>90.73405535499397</v>
      </c>
      <c r="J334" s="8">
        <f>'1_Du_lieu'!H383/AVERAGE('1_Du_lieu'!$H$383:$H$445)*100</f>
        <v>62.312946051722797</v>
      </c>
      <c r="K334" s="5">
        <f>'1_Du_lieu'!D383</f>
        <v>0</v>
      </c>
    </row>
    <row r="335" spans="1:11" x14ac:dyDescent="0.25">
      <c r="A335" t="s">
        <v>87</v>
      </c>
      <c r="B335">
        <v>2023</v>
      </c>
      <c r="C335" s="5" t="str">
        <f>'1_Du_lieu'!C384</f>
        <v>ĐNB</v>
      </c>
      <c r="D335" s="5" t="str">
        <f t="shared" si="10"/>
        <v>2021–2024</v>
      </c>
      <c r="E335" s="8">
        <f>'1_Du_lieu'!E384</f>
        <v>23.6</v>
      </c>
      <c r="F335" s="9">
        <f>AVERAGE('1_Du_lieu'!$E$383:$E$445)</f>
        <v>19.241379310344833</v>
      </c>
      <c r="G335" s="8">
        <f t="shared" si="11"/>
        <v>122.65232974910391</v>
      </c>
      <c r="H335" s="8">
        <f>'1_Du_lieu'!F384/AVERAGE('1_Du_lieu'!$F$383:$F$445)*100</f>
        <v>162.3045267489712</v>
      </c>
      <c r="I335" s="8">
        <f>'1_Du_lieu'!G384/AVERAGE('1_Du_lieu'!$G$383:$G$445)*100</f>
        <v>87.942238267147999</v>
      </c>
      <c r="J335" s="8">
        <f>'1_Du_lieu'!H384/AVERAGE('1_Du_lieu'!$H$383:$H$445)*100</f>
        <v>123.29061468805153</v>
      </c>
      <c r="K335" s="5">
        <f>'1_Du_lieu'!D384</f>
        <v>1</v>
      </c>
    </row>
    <row r="336" spans="1:11" x14ac:dyDescent="0.25">
      <c r="A336" t="s">
        <v>89</v>
      </c>
      <c r="B336">
        <v>2023</v>
      </c>
      <c r="C336" s="5" t="str">
        <f>'1_Du_lieu'!C385</f>
        <v>ĐNB</v>
      </c>
      <c r="D336" s="5" t="str">
        <f t="shared" si="10"/>
        <v>2021–2024</v>
      </c>
      <c r="E336" s="8">
        <f>'1_Du_lieu'!E385</f>
        <v>35.700000000000003</v>
      </c>
      <c r="F336" s="9">
        <f>AVERAGE('1_Du_lieu'!$E$383:$E$445)</f>
        <v>19.241379310344833</v>
      </c>
      <c r="G336" s="8">
        <f t="shared" si="11"/>
        <v>185.53763440860212</v>
      </c>
      <c r="H336" s="8">
        <f>'1_Du_lieu'!F385/AVERAGE('1_Du_lieu'!$F$383:$F$445)*100</f>
        <v>154.92704826038161</v>
      </c>
      <c r="I336" s="8">
        <f>'1_Du_lieu'!G385/AVERAGE('1_Du_lieu'!$G$383:$G$445)*100</f>
        <v>150.75812274368229</v>
      </c>
      <c r="J336" s="8">
        <f>'1_Du_lieu'!H385/AVERAGE('1_Du_lieu'!$H$383:$H$445)*100</f>
        <v>222.10114342721195</v>
      </c>
      <c r="K336" s="5">
        <f>'1_Du_lieu'!D385</f>
        <v>1</v>
      </c>
    </row>
    <row r="337" spans="1:11" x14ac:dyDescent="0.25">
      <c r="A337" t="s">
        <v>90</v>
      </c>
      <c r="B337">
        <v>2023</v>
      </c>
      <c r="C337" s="5" t="str">
        <f>'1_Du_lieu'!C386</f>
        <v>ĐNB</v>
      </c>
      <c r="D337" s="5" t="str">
        <f t="shared" si="10"/>
        <v>2021–2024</v>
      </c>
      <c r="E337" s="8">
        <f>'1_Du_lieu'!E386</f>
        <v>12.9</v>
      </c>
      <c r="F337" s="9">
        <f>AVERAGE('1_Du_lieu'!$E$383:$E$445)</f>
        <v>19.241379310344833</v>
      </c>
      <c r="G337" s="8">
        <f t="shared" si="11"/>
        <v>67.043010752688161</v>
      </c>
      <c r="H337" s="8">
        <f>'1_Du_lieu'!F386/AVERAGE('1_Du_lieu'!$F$383:$F$445)*100</f>
        <v>77.6805087916199</v>
      </c>
      <c r="I337" s="8">
        <f>'1_Du_lieu'!G386/AVERAGE('1_Du_lieu'!$G$383:$G$445)*100</f>
        <v>78.86883273164861</v>
      </c>
      <c r="J337" s="8">
        <f>'1_Du_lieu'!H386/AVERAGE('1_Du_lieu'!$H$383:$H$445)*100</f>
        <v>53.411096615762396</v>
      </c>
      <c r="K337" s="5">
        <f>'1_Du_lieu'!D386</f>
        <v>1</v>
      </c>
    </row>
    <row r="338" spans="1:11" x14ac:dyDescent="0.25">
      <c r="A338" t="s">
        <v>91</v>
      </c>
      <c r="B338">
        <v>2023</v>
      </c>
      <c r="C338" s="5" t="str">
        <f>'1_Du_lieu'!C387</f>
        <v>BTB&amp;DHMT</v>
      </c>
      <c r="D338" s="5" t="str">
        <f t="shared" si="10"/>
        <v>2021–2024</v>
      </c>
      <c r="E338" s="8">
        <f>'1_Du_lieu'!E387</f>
        <v>15.2</v>
      </c>
      <c r="F338" s="9">
        <f>AVERAGE('1_Du_lieu'!$E$383:$E$445)</f>
        <v>19.241379310344833</v>
      </c>
      <c r="G338" s="8">
        <f t="shared" si="11"/>
        <v>78.996415770609303</v>
      </c>
      <c r="H338" s="8">
        <f>'1_Du_lieu'!F387/AVERAGE('1_Du_lieu'!$F$383:$F$445)*100</f>
        <v>74.642723531612418</v>
      </c>
      <c r="I338" s="8">
        <f>'1_Du_lieu'!G387/AVERAGE('1_Du_lieu'!$G$383:$G$445)*100</f>
        <v>83.754512635379058</v>
      </c>
      <c r="J338" s="8">
        <f>'1_Du_lieu'!H387/AVERAGE('1_Du_lieu'!$H$383:$H$445)*100</f>
        <v>77.000997621057451</v>
      </c>
      <c r="K338" s="5">
        <f>'1_Du_lieu'!D387</f>
        <v>0</v>
      </c>
    </row>
    <row r="339" spans="1:11" x14ac:dyDescent="0.25">
      <c r="A339" t="s">
        <v>93</v>
      </c>
      <c r="B339">
        <v>2023</v>
      </c>
      <c r="C339" s="5" t="str">
        <f>'1_Du_lieu'!C388</f>
        <v>BTB&amp;DHMT</v>
      </c>
      <c r="D339" s="5" t="str">
        <f t="shared" si="10"/>
        <v>2021–2024</v>
      </c>
      <c r="E339" s="8">
        <f>'1_Du_lieu'!E388</f>
        <v>16.600000000000001</v>
      </c>
      <c r="F339" s="9">
        <f>AVERAGE('1_Du_lieu'!$E$383:$E$445)</f>
        <v>19.241379310344833</v>
      </c>
      <c r="G339" s="8">
        <f t="shared" si="11"/>
        <v>86.272401433691741</v>
      </c>
      <c r="H339" s="8">
        <f>'1_Du_lieu'!F388/AVERAGE('1_Du_lieu'!$F$383:$F$445)*100</f>
        <v>101.11485222596335</v>
      </c>
      <c r="I339" s="8">
        <f>'1_Du_lieu'!G388/AVERAGE('1_Du_lieu'!$G$383:$G$445)*100</f>
        <v>80.962695547533087</v>
      </c>
      <c r="J339" s="8">
        <f>'1_Du_lieu'!H388/AVERAGE('1_Du_lieu'!$H$383:$H$445)*100</f>
        <v>81.006829867239631</v>
      </c>
      <c r="K339" s="5">
        <f>'1_Du_lieu'!D388</f>
        <v>0</v>
      </c>
    </row>
    <row r="340" spans="1:11" x14ac:dyDescent="0.25">
      <c r="A340" t="s">
        <v>94</v>
      </c>
      <c r="B340">
        <v>2023</v>
      </c>
      <c r="C340" s="5" t="str">
        <f>'1_Du_lieu'!C389</f>
        <v>ĐBSCL</v>
      </c>
      <c r="D340" s="5" t="str">
        <f t="shared" si="10"/>
        <v>2021–2024</v>
      </c>
      <c r="E340" s="8">
        <f>'1_Du_lieu'!E389</f>
        <v>10.7</v>
      </c>
      <c r="F340" s="9">
        <f>AVERAGE('1_Du_lieu'!$E$383:$E$445)</f>
        <v>19.241379310344833</v>
      </c>
      <c r="G340" s="8">
        <f t="shared" si="11"/>
        <v>55.609318996415759</v>
      </c>
      <c r="H340" s="8">
        <f>'1_Du_lieu'!F389/AVERAGE('1_Du_lieu'!$F$383:$F$445)*100</f>
        <v>50.340441451552564</v>
      </c>
      <c r="I340" s="8">
        <f>'1_Du_lieu'!G389/AVERAGE('1_Du_lieu'!$G$383:$G$445)*100</f>
        <v>73.285198555956669</v>
      </c>
      <c r="J340" s="8">
        <f>'1_Du_lieu'!H389/AVERAGE('1_Du_lieu'!$H$383:$H$445)*100</f>
        <v>69.43442560049111</v>
      </c>
      <c r="K340" s="5">
        <f>'1_Du_lieu'!D389</f>
        <v>0</v>
      </c>
    </row>
    <row r="341" spans="1:11" x14ac:dyDescent="0.25">
      <c r="A341" t="s">
        <v>95</v>
      </c>
      <c r="B341">
        <v>2023</v>
      </c>
      <c r="C341" s="5" t="str">
        <f>'1_Du_lieu'!C390</f>
        <v>TDMNPB</v>
      </c>
      <c r="D341" s="5" t="str">
        <f t="shared" si="10"/>
        <v>2021–2024</v>
      </c>
      <c r="E341" s="8">
        <f>'1_Du_lieu'!E390</f>
        <v>19</v>
      </c>
      <c r="F341" s="9">
        <f>AVERAGE('1_Du_lieu'!$E$383:$E$445)</f>
        <v>19.241379310344833</v>
      </c>
      <c r="G341" s="8">
        <f t="shared" si="11"/>
        <v>98.745519713261615</v>
      </c>
      <c r="H341" s="8">
        <f>'1_Du_lieu'!F390/AVERAGE('1_Du_lieu'!$F$383:$F$445)*100</f>
        <v>88.96371118593342</v>
      </c>
      <c r="I341" s="8">
        <f>'1_Du_lieu'!G390/AVERAGE('1_Du_lieu'!$G$383:$G$445)*100</f>
        <v>91.432009626955463</v>
      </c>
      <c r="J341" s="8">
        <f>'1_Du_lieu'!H390/AVERAGE('1_Du_lieu'!$H$383:$H$445)*100</f>
        <v>107.71237817512083</v>
      </c>
      <c r="K341" s="5">
        <f>'1_Du_lieu'!D390</f>
        <v>0</v>
      </c>
    </row>
    <row r="342" spans="1:11" x14ac:dyDescent="0.25">
      <c r="A342" t="s">
        <v>97</v>
      </c>
      <c r="B342">
        <v>2023</v>
      </c>
      <c r="C342" s="5" t="str">
        <f>'1_Du_lieu'!C391</f>
        <v>TDMNPB</v>
      </c>
      <c r="D342" s="5" t="str">
        <f t="shared" si="10"/>
        <v>2021–2024</v>
      </c>
      <c r="E342" s="8">
        <f>'1_Du_lieu'!E391</f>
        <v>10.8</v>
      </c>
      <c r="F342" s="9">
        <f>AVERAGE('1_Du_lieu'!$E$383:$E$445)</f>
        <v>19.241379310344833</v>
      </c>
      <c r="G342" s="8">
        <f t="shared" si="11"/>
        <v>56.129032258064505</v>
      </c>
      <c r="H342" s="8">
        <f>'1_Du_lieu'!F391/AVERAGE('1_Du_lieu'!$F$383:$F$445)*100</f>
        <v>48.170594837261504</v>
      </c>
      <c r="I342" s="8">
        <f>'1_Du_lieu'!G391/AVERAGE('1_Du_lieu'!$G$383:$G$445)*100</f>
        <v>61.419975932611315</v>
      </c>
      <c r="J342" s="8">
        <f>'1_Du_lieu'!H391/AVERAGE('1_Du_lieu'!$H$383:$H$445)*100</f>
        <v>64.98350088251091</v>
      </c>
      <c r="K342" s="5">
        <f>'1_Du_lieu'!D391</f>
        <v>0</v>
      </c>
    </row>
    <row r="343" spans="1:11" x14ac:dyDescent="0.25">
      <c r="A343" t="s">
        <v>98</v>
      </c>
      <c r="B343">
        <v>2023</v>
      </c>
      <c r="C343" s="5" t="str">
        <f>'1_Du_lieu'!C392</f>
        <v>ĐBSH</v>
      </c>
      <c r="D343" s="5" t="str">
        <f t="shared" si="10"/>
        <v>2021–2024</v>
      </c>
      <c r="E343" s="8">
        <f>'1_Du_lieu'!E392</f>
        <v>21.5</v>
      </c>
      <c r="F343" s="9">
        <f>AVERAGE('1_Du_lieu'!$E$383:$E$445)</f>
        <v>19.241379310344833</v>
      </c>
      <c r="G343" s="8">
        <f t="shared" si="11"/>
        <v>111.73835125448026</v>
      </c>
      <c r="H343" s="8">
        <f>'1_Du_lieu'!F392/AVERAGE('1_Du_lieu'!$F$383:$F$445)*100</f>
        <v>108.05836139169472</v>
      </c>
      <c r="I343" s="8">
        <f>'1_Du_lieu'!G392/AVERAGE('1_Du_lieu'!$G$383:$G$445)*100</f>
        <v>97.713598074608896</v>
      </c>
      <c r="J343" s="8">
        <f>'1_Du_lieu'!H392/AVERAGE('1_Du_lieu'!$H$383:$H$445)*100</f>
        <v>121.51024480085945</v>
      </c>
      <c r="K343" s="5">
        <f>'1_Du_lieu'!D392</f>
        <v>1</v>
      </c>
    </row>
    <row r="344" spans="1:11" x14ac:dyDescent="0.25">
      <c r="A344" t="s">
        <v>100</v>
      </c>
      <c r="B344">
        <v>2023</v>
      </c>
      <c r="C344" s="5" t="str">
        <f>'1_Du_lieu'!C393</f>
        <v>ĐBSCL</v>
      </c>
      <c r="D344" s="5" t="str">
        <f t="shared" si="10"/>
        <v>2021–2024</v>
      </c>
      <c r="E344" s="8">
        <f>'1_Du_lieu'!E393</f>
        <v>14.5</v>
      </c>
      <c r="F344" s="9">
        <f>AVERAGE('1_Du_lieu'!$E$383:$E$445)</f>
        <v>19.241379310344833</v>
      </c>
      <c r="G344" s="8">
        <f t="shared" si="11"/>
        <v>75.358422939068078</v>
      </c>
      <c r="H344" s="8">
        <f>'1_Du_lieu'!F393/AVERAGE('1_Du_lieu'!$F$383:$F$445)*100</f>
        <v>87.227833894500577</v>
      </c>
      <c r="I344" s="8">
        <f>'1_Du_lieu'!G393/AVERAGE('1_Du_lieu'!$G$383:$G$445)*100</f>
        <v>97.713598074608896</v>
      </c>
      <c r="J344" s="8">
        <f>'1_Du_lieu'!H393/AVERAGE('1_Du_lieu'!$H$383:$H$445)*100</f>
        <v>54.301281559358436</v>
      </c>
      <c r="K344" s="5">
        <f>'1_Du_lieu'!D393</f>
        <v>0</v>
      </c>
    </row>
    <row r="345" spans="1:11" x14ac:dyDescent="0.25">
      <c r="A345" t="s">
        <v>102</v>
      </c>
      <c r="B345">
        <v>2023</v>
      </c>
      <c r="C345" s="5" t="str">
        <f>'1_Du_lieu'!C395</f>
        <v>ĐBSCL</v>
      </c>
      <c r="D345" s="5" t="str">
        <f t="shared" si="10"/>
        <v>2021–2024</v>
      </c>
      <c r="E345" s="8">
        <f>'1_Du_lieu'!E395</f>
        <v>13.4</v>
      </c>
      <c r="F345" s="9">
        <f>AVERAGE('1_Du_lieu'!$E$383:$E$445)</f>
        <v>19.241379310344833</v>
      </c>
      <c r="G345" s="8">
        <f t="shared" si="11"/>
        <v>69.64157706093188</v>
      </c>
      <c r="H345" s="8">
        <f>'1_Du_lieu'!F395/AVERAGE('1_Du_lieu'!$F$383:$F$445)*100</f>
        <v>50.340441451552564</v>
      </c>
      <c r="I345" s="8">
        <f>'1_Du_lieu'!G395/AVERAGE('1_Du_lieu'!$G$383:$G$445)*100</f>
        <v>83.754512635379058</v>
      </c>
      <c r="J345" s="8">
        <f>'1_Du_lieu'!H395/AVERAGE('1_Du_lieu'!$H$383:$H$445)*100</f>
        <v>69.87951807228913</v>
      </c>
      <c r="K345" s="5">
        <f>'1_Du_lieu'!D395</f>
        <v>0</v>
      </c>
    </row>
    <row r="346" spans="1:11" x14ac:dyDescent="0.25">
      <c r="A346" t="s">
        <v>103</v>
      </c>
      <c r="B346">
        <v>2023</v>
      </c>
      <c r="C346" s="5" t="str">
        <f>'1_Du_lieu'!C396</f>
        <v>ĐBSCL</v>
      </c>
      <c r="D346" s="5" t="str">
        <f t="shared" si="10"/>
        <v>2021–2024</v>
      </c>
      <c r="E346" s="8">
        <f>'1_Du_lieu'!E396</f>
        <v>21.7</v>
      </c>
      <c r="F346" s="9">
        <f>AVERAGE('1_Du_lieu'!$E$383:$E$445)</f>
        <v>19.241379310344833</v>
      </c>
      <c r="G346" s="8">
        <f t="shared" si="11"/>
        <v>112.77777777777776</v>
      </c>
      <c r="H346" s="8">
        <f>'1_Du_lieu'!F396/AVERAGE('1_Du_lieu'!$F$383:$F$445)*100</f>
        <v>120.20950243172466</v>
      </c>
      <c r="I346" s="8">
        <f>'1_Du_lieu'!G396/AVERAGE('1_Du_lieu'!$G$383:$G$445)*100</f>
        <v>105.39109506618531</v>
      </c>
      <c r="J346" s="8">
        <f>'1_Du_lieu'!H396/AVERAGE('1_Du_lieu'!$H$383:$H$445)*100</f>
        <v>113.05348783669706</v>
      </c>
      <c r="K346" s="5">
        <f>'1_Du_lieu'!D396</f>
        <v>0</v>
      </c>
    </row>
    <row r="347" spans="1:11" x14ac:dyDescent="0.25">
      <c r="A347" t="s">
        <v>104</v>
      </c>
      <c r="B347">
        <v>2023</v>
      </c>
      <c r="C347" s="5" t="str">
        <f>'1_Du_lieu'!C397</f>
        <v>TN</v>
      </c>
      <c r="D347" s="5" t="str">
        <f t="shared" si="10"/>
        <v>2021–2024</v>
      </c>
      <c r="E347" s="8">
        <f>'1_Du_lieu'!E397</f>
        <v>13.6</v>
      </c>
      <c r="F347" s="9">
        <f>AVERAGE('1_Du_lieu'!$E$383:$E$445)</f>
        <v>19.241379310344833</v>
      </c>
      <c r="G347" s="8">
        <f t="shared" si="11"/>
        <v>70.681003584229373</v>
      </c>
      <c r="H347" s="8">
        <f>'1_Du_lieu'!F397/AVERAGE('1_Du_lieu'!$F$383:$F$445)*100</f>
        <v>51.208380097268993</v>
      </c>
      <c r="I347" s="8">
        <f>'1_Du_lieu'!G397/AVERAGE('1_Du_lieu'!$G$383:$G$445)*100</f>
        <v>76.774969915764132</v>
      </c>
      <c r="J347" s="8">
        <f>'1_Du_lieu'!H397/AVERAGE('1_Du_lieu'!$H$383:$H$445)*100</f>
        <v>75.665720205663405</v>
      </c>
      <c r="K347" s="5">
        <f>'1_Du_lieu'!D397</f>
        <v>0</v>
      </c>
    </row>
    <row r="348" spans="1:11" x14ac:dyDescent="0.25">
      <c r="A348" t="s">
        <v>107</v>
      </c>
      <c r="B348">
        <v>2023</v>
      </c>
      <c r="C348" s="5" t="str">
        <f>'1_Du_lieu'!C399</f>
        <v>ĐBSH</v>
      </c>
      <c r="D348" s="5" t="str">
        <f t="shared" si="10"/>
        <v>2021–2024</v>
      </c>
      <c r="E348" s="8">
        <f>'1_Du_lieu'!E399</f>
        <v>17.8</v>
      </c>
      <c r="F348" s="9">
        <f>AVERAGE('1_Du_lieu'!$E$383:$E$445)</f>
        <v>19.241379310344833</v>
      </c>
      <c r="G348" s="8">
        <f t="shared" si="11"/>
        <v>92.508960573476685</v>
      </c>
      <c r="H348" s="8">
        <f>'1_Du_lieu'!F399/AVERAGE('1_Du_lieu'!$F$383:$F$445)*100</f>
        <v>122.3793490460157</v>
      </c>
      <c r="I348" s="8">
        <f>'1_Du_lieu'!G399/AVERAGE('1_Du_lieu'!$G$383:$G$445)*100</f>
        <v>85.848375451263536</v>
      </c>
      <c r="J348" s="8">
        <f>'1_Du_lieu'!H399/AVERAGE('1_Du_lieu'!$H$383:$H$445)*100</f>
        <v>80.116644923643605</v>
      </c>
      <c r="K348" s="5">
        <f>'1_Du_lieu'!D399</f>
        <v>1</v>
      </c>
    </row>
    <row r="349" spans="1:11" x14ac:dyDescent="0.25">
      <c r="A349" t="s">
        <v>108</v>
      </c>
      <c r="B349">
        <v>2023</v>
      </c>
      <c r="C349" s="5" t="str">
        <f>'1_Du_lieu'!C400</f>
        <v>ĐBSH</v>
      </c>
      <c r="D349" s="5" t="str">
        <f t="shared" si="10"/>
        <v>2021–2024</v>
      </c>
      <c r="E349" s="8">
        <f>'1_Du_lieu'!E400</f>
        <v>85.7</v>
      </c>
      <c r="F349" s="9">
        <f>AVERAGE('1_Du_lieu'!$E$383:$E$445)</f>
        <v>19.241379310344833</v>
      </c>
      <c r="G349" s="8">
        <f t="shared" si="11"/>
        <v>445.39426523297482</v>
      </c>
      <c r="H349" s="8">
        <f>'1_Du_lieu'!F400/AVERAGE('1_Du_lieu'!$F$383:$F$445)*100</f>
        <v>421.81818181818187</v>
      </c>
      <c r="I349" s="8">
        <f>'1_Du_lieu'!G400/AVERAGE('1_Du_lieu'!$G$383:$G$445)*100</f>
        <v>595.35499398315267</v>
      </c>
      <c r="J349" s="8">
        <f>'1_Du_lieu'!H400/AVERAGE('1_Du_lieu'!$H$383:$H$445)*100</f>
        <v>357.8543473256081</v>
      </c>
      <c r="K349" s="5">
        <f>'1_Du_lieu'!D400</f>
        <v>1</v>
      </c>
    </row>
    <row r="350" spans="1:11" x14ac:dyDescent="0.25">
      <c r="A350" t="s">
        <v>109</v>
      </c>
      <c r="B350">
        <v>2023</v>
      </c>
      <c r="C350" s="5" t="str">
        <f>'1_Du_lieu'!C401</f>
        <v>BTB&amp;DHMT</v>
      </c>
      <c r="D350" s="5" t="str">
        <f t="shared" si="10"/>
        <v>2021–2024</v>
      </c>
      <c r="E350" s="8">
        <f>'1_Du_lieu'!E401</f>
        <v>13.3</v>
      </c>
      <c r="F350" s="9">
        <f>AVERAGE('1_Du_lieu'!$E$383:$E$445)</f>
        <v>19.241379310344833</v>
      </c>
      <c r="G350" s="8">
        <f t="shared" si="11"/>
        <v>69.121863799283133</v>
      </c>
      <c r="H350" s="8">
        <f>'1_Du_lieu'!F401/AVERAGE('1_Du_lieu'!$F$383:$F$445)*100</f>
        <v>72.038907594463168</v>
      </c>
      <c r="I350" s="8">
        <f>'1_Du_lieu'!G401/AVERAGE('1_Du_lieu'!$G$383:$G$445)*100</f>
        <v>66.305655836341742</v>
      </c>
      <c r="J350" s="8">
        <f>'1_Du_lieu'!H401/AVERAGE('1_Du_lieu'!$H$383:$H$445)*100</f>
        <v>68.099148185097064</v>
      </c>
      <c r="K350" s="5">
        <f>'1_Du_lieu'!D401</f>
        <v>0</v>
      </c>
    </row>
    <row r="351" spans="1:11" x14ac:dyDescent="0.25">
      <c r="A351" t="s">
        <v>110</v>
      </c>
      <c r="B351">
        <v>2023</v>
      </c>
      <c r="C351" s="5" t="str">
        <f>'1_Du_lieu'!C402</f>
        <v>TDMNPB</v>
      </c>
      <c r="D351" s="5" t="str">
        <f t="shared" si="10"/>
        <v>2021–2024</v>
      </c>
      <c r="E351" s="8">
        <f>'1_Du_lieu'!E402</f>
        <v>12.2</v>
      </c>
      <c r="F351" s="9">
        <f>AVERAGE('1_Du_lieu'!$E$383:$E$445)</f>
        <v>19.241379310344833</v>
      </c>
      <c r="G351" s="8">
        <f t="shared" si="11"/>
        <v>63.405017921146936</v>
      </c>
      <c r="H351" s="8">
        <f>'1_Du_lieu'!F402/AVERAGE('1_Du_lieu'!$F$383:$F$445)*100</f>
        <v>55.982042648709317</v>
      </c>
      <c r="I351" s="8">
        <f>'1_Du_lieu'!G402/AVERAGE('1_Du_lieu'!$G$383:$G$445)*100</f>
        <v>67.003610108303235</v>
      </c>
      <c r="J351" s="8">
        <f>'1_Du_lieu'!H402/AVERAGE('1_Du_lieu'!$H$383:$H$445)*100</f>
        <v>64.98350088251091</v>
      </c>
      <c r="K351" s="5">
        <f>'1_Du_lieu'!D402</f>
        <v>0</v>
      </c>
    </row>
    <row r="352" spans="1:11" x14ac:dyDescent="0.25">
      <c r="A352" t="s">
        <v>111</v>
      </c>
      <c r="B352">
        <v>2023</v>
      </c>
      <c r="C352" s="5" t="str">
        <f>'1_Du_lieu'!C403</f>
        <v>ĐBSH</v>
      </c>
      <c r="D352" s="5" t="str">
        <f t="shared" si="10"/>
        <v>2021–2024</v>
      </c>
      <c r="E352" s="8">
        <f>'1_Du_lieu'!E403</f>
        <v>20.5</v>
      </c>
      <c r="F352" s="9">
        <f>AVERAGE('1_Du_lieu'!$E$383:$E$445)</f>
        <v>19.241379310344833</v>
      </c>
      <c r="G352" s="8">
        <f t="shared" si="11"/>
        <v>106.5412186379928</v>
      </c>
      <c r="H352" s="8">
        <f>'1_Du_lieu'!F403/AVERAGE('1_Du_lieu'!$F$383:$F$445)*100</f>
        <v>116.73774784885896</v>
      </c>
      <c r="I352" s="8">
        <f>'1_Du_lieu'!G403/AVERAGE('1_Du_lieu'!$G$383:$G$445)*100</f>
        <v>87.244283995186507</v>
      </c>
      <c r="J352" s="8">
        <f>'1_Du_lieu'!H403/AVERAGE('1_Du_lieu'!$H$383:$H$445)*100</f>
        <v>112.16330289310103</v>
      </c>
      <c r="K352" s="5">
        <f>'1_Du_lieu'!D403</f>
        <v>1</v>
      </c>
    </row>
    <row r="353" spans="1:11" x14ac:dyDescent="0.25">
      <c r="A353" t="s">
        <v>112</v>
      </c>
      <c r="B353">
        <v>2023</v>
      </c>
      <c r="C353" s="5" t="str">
        <f>'1_Du_lieu'!C404</f>
        <v>ĐBSH</v>
      </c>
      <c r="D353" s="5" t="str">
        <f t="shared" si="10"/>
        <v>2021–2024</v>
      </c>
      <c r="E353" s="8">
        <f>'1_Du_lieu'!E404</f>
        <v>18.7</v>
      </c>
      <c r="F353" s="9">
        <f>AVERAGE('1_Du_lieu'!$E$383:$E$445)</f>
        <v>19.241379310344833</v>
      </c>
      <c r="G353" s="8">
        <f t="shared" si="11"/>
        <v>97.186379928315375</v>
      </c>
      <c r="H353" s="8">
        <f>'1_Du_lieu'!F404/AVERAGE('1_Du_lieu'!$F$383:$F$445)*100</f>
        <v>98.511036288814068</v>
      </c>
      <c r="I353" s="8">
        <f>'1_Du_lieu'!G404/AVERAGE('1_Du_lieu'!$G$383:$G$445)*100</f>
        <v>84.452466907340536</v>
      </c>
      <c r="J353" s="8">
        <f>'1_Du_lieu'!H404/AVERAGE('1_Du_lieu'!$H$383:$H$445)*100</f>
        <v>103.70654592893867</v>
      </c>
      <c r="K353" s="5">
        <f>'1_Du_lieu'!D404</f>
        <v>1</v>
      </c>
    </row>
    <row r="354" spans="1:11" x14ac:dyDescent="0.25">
      <c r="A354" t="s">
        <v>113</v>
      </c>
      <c r="B354">
        <v>2023</v>
      </c>
      <c r="C354" s="5" t="str">
        <f>'1_Du_lieu'!C405</f>
        <v>ĐBSH</v>
      </c>
      <c r="D354" s="5" t="str">
        <f t="shared" si="10"/>
        <v>2021–2024</v>
      </c>
      <c r="E354" s="8">
        <f>'1_Du_lieu'!E405</f>
        <v>28.6</v>
      </c>
      <c r="F354" s="9">
        <f>AVERAGE('1_Du_lieu'!$E$383:$E$445)</f>
        <v>19.241379310344833</v>
      </c>
      <c r="G354" s="8">
        <f t="shared" si="11"/>
        <v>148.63799283154117</v>
      </c>
      <c r="H354" s="8">
        <f>'1_Du_lieu'!F405/AVERAGE('1_Du_lieu'!$F$383:$F$445)*100</f>
        <v>159.70071081182192</v>
      </c>
      <c r="I354" s="8">
        <f>'1_Du_lieu'!G405/AVERAGE('1_Du_lieu'!$G$383:$G$445)*100</f>
        <v>110.97472924187726</v>
      </c>
      <c r="J354" s="8">
        <f>'1_Du_lieu'!H405/AVERAGE('1_Du_lieu'!$H$383:$H$445)*100</f>
        <v>166.01949198066143</v>
      </c>
      <c r="K354" s="5">
        <f>'1_Du_lieu'!D405</f>
        <v>1</v>
      </c>
    </row>
    <row r="355" spans="1:11" x14ac:dyDescent="0.25">
      <c r="A355" t="s">
        <v>114</v>
      </c>
      <c r="B355">
        <v>2023</v>
      </c>
      <c r="C355" s="5" t="str">
        <f>'1_Du_lieu'!C406</f>
        <v>ĐBSCL</v>
      </c>
      <c r="D355" s="5" t="str">
        <f t="shared" si="10"/>
        <v>2021–2024</v>
      </c>
      <c r="E355" s="8">
        <f>'1_Du_lieu'!E406</f>
        <v>11.8</v>
      </c>
      <c r="F355" s="9">
        <f>AVERAGE('1_Du_lieu'!$E$383:$E$445)</f>
        <v>19.241379310344833</v>
      </c>
      <c r="G355" s="8">
        <f t="shared" si="11"/>
        <v>61.326164874551957</v>
      </c>
      <c r="H355" s="8">
        <f>'1_Du_lieu'!F406/AVERAGE('1_Du_lieu'!$F$383:$F$445)*100</f>
        <v>53.378226711560053</v>
      </c>
      <c r="I355" s="8">
        <f>'1_Du_lieu'!G406/AVERAGE('1_Du_lieu'!$G$383:$G$445)*100</f>
        <v>85.848375451263536</v>
      </c>
      <c r="J355" s="8">
        <f>'1_Du_lieu'!H406/AVERAGE('1_Du_lieu'!$H$383:$H$445)*100</f>
        <v>48.960171897782196</v>
      </c>
      <c r="K355" s="5">
        <f>'1_Du_lieu'!D406</f>
        <v>0</v>
      </c>
    </row>
    <row r="356" spans="1:11" x14ac:dyDescent="0.25">
      <c r="A356" t="s">
        <v>115</v>
      </c>
      <c r="B356">
        <v>2023</v>
      </c>
      <c r="C356" s="5" t="str">
        <f>'1_Du_lieu'!C407</f>
        <v>BTB&amp;DHMT</v>
      </c>
      <c r="D356" s="5" t="str">
        <f t="shared" si="10"/>
        <v>2021–2024</v>
      </c>
      <c r="E356" s="8">
        <f>'1_Du_lieu'!E407</f>
        <v>23.3</v>
      </c>
      <c r="F356" s="9">
        <f>AVERAGE('1_Du_lieu'!$E$383:$E$445)</f>
        <v>19.241379310344833</v>
      </c>
      <c r="G356" s="8">
        <f t="shared" si="11"/>
        <v>121.09318996415767</v>
      </c>
      <c r="H356" s="8">
        <f>'1_Du_lieu'!F407/AVERAGE('1_Du_lieu'!$F$383:$F$445)*100</f>
        <v>137.56827534605313</v>
      </c>
      <c r="I356" s="8">
        <f>'1_Du_lieu'!G407/AVERAGE('1_Du_lieu'!$G$383:$G$445)*100</f>
        <v>79.566787003610102</v>
      </c>
      <c r="J356" s="8">
        <f>'1_Du_lieu'!H407/AVERAGE('1_Du_lieu'!$H$383:$H$445)*100</f>
        <v>137.97866625738621</v>
      </c>
      <c r="K356" s="5">
        <f>'1_Du_lieu'!D407</f>
        <v>0</v>
      </c>
    </row>
    <row r="357" spans="1:11" x14ac:dyDescent="0.25">
      <c r="A357" t="s">
        <v>116</v>
      </c>
      <c r="B357">
        <v>2023</v>
      </c>
      <c r="C357" s="5" t="str">
        <f>'1_Du_lieu'!C408</f>
        <v>ĐBSCL</v>
      </c>
      <c r="D357" s="5" t="str">
        <f t="shared" si="10"/>
        <v>2021–2024</v>
      </c>
      <c r="E357" s="8">
        <f>'1_Du_lieu'!E408</f>
        <v>13.2</v>
      </c>
      <c r="F357" s="9">
        <f>AVERAGE('1_Du_lieu'!$E$383:$E$445)</f>
        <v>19.241379310344833</v>
      </c>
      <c r="G357" s="8">
        <f t="shared" si="11"/>
        <v>68.602150537634387</v>
      </c>
      <c r="H357" s="8">
        <f>'1_Du_lieu'!F408/AVERAGE('1_Du_lieu'!$F$383:$F$445)*100</f>
        <v>59.887766554433227</v>
      </c>
      <c r="I357" s="8">
        <f>'1_Du_lieu'!G408/AVERAGE('1_Du_lieu'!$G$383:$G$445)*100</f>
        <v>97.713598074608896</v>
      </c>
      <c r="J357" s="8">
        <f>'1_Du_lieu'!H408/AVERAGE('1_Du_lieu'!$H$383:$H$445)*100</f>
        <v>53.856189087560416</v>
      </c>
      <c r="K357" s="5">
        <f>'1_Du_lieu'!D408</f>
        <v>0</v>
      </c>
    </row>
    <row r="358" spans="1:11" x14ac:dyDescent="0.25">
      <c r="A358" t="s">
        <v>117</v>
      </c>
      <c r="B358">
        <v>2023</v>
      </c>
      <c r="C358" s="5" t="str">
        <f>'1_Du_lieu'!C409</f>
        <v>TN</v>
      </c>
      <c r="D358" s="5" t="str">
        <f t="shared" si="10"/>
        <v>2021–2024</v>
      </c>
      <c r="E358" s="8">
        <f>'1_Du_lieu'!E409</f>
        <v>10.199999999999999</v>
      </c>
      <c r="F358" s="9">
        <f>AVERAGE('1_Du_lieu'!$E$383:$E$445)</f>
        <v>19.241379310344833</v>
      </c>
      <c r="G358" s="8">
        <f t="shared" si="11"/>
        <v>53.010752688172026</v>
      </c>
      <c r="H358" s="8">
        <f>'1_Du_lieu'!F409/AVERAGE('1_Du_lieu'!$F$383:$F$445)*100</f>
        <v>48.604564160119715</v>
      </c>
      <c r="I358" s="8">
        <f>'1_Du_lieu'!G409/AVERAGE('1_Du_lieu'!$G$383:$G$445)*100</f>
        <v>52.346570397111904</v>
      </c>
      <c r="J358" s="8">
        <f>'1_Du_lieu'!H409/AVERAGE('1_Du_lieu'!$H$383:$H$445)*100</f>
        <v>50.295449313176256</v>
      </c>
      <c r="K358" s="5">
        <f>'1_Du_lieu'!D409</f>
        <v>0</v>
      </c>
    </row>
    <row r="359" spans="1:11" x14ac:dyDescent="0.25">
      <c r="A359" t="s">
        <v>119</v>
      </c>
      <c r="B359">
        <v>2023</v>
      </c>
      <c r="C359" s="5" t="str">
        <f>'1_Du_lieu'!C411</f>
        <v>ĐBSCL</v>
      </c>
      <c r="D359" s="5" t="str">
        <f t="shared" si="10"/>
        <v>2021–2024</v>
      </c>
      <c r="E359" s="8">
        <f>'1_Du_lieu'!E411</f>
        <v>17.600000000000001</v>
      </c>
      <c r="F359" s="9">
        <f>AVERAGE('1_Du_lieu'!$E$383:$E$445)</f>
        <v>19.241379310344833</v>
      </c>
      <c r="G359" s="8">
        <f t="shared" si="11"/>
        <v>91.469534050179192</v>
      </c>
      <c r="H359" s="8">
        <f>'1_Du_lieu'!F411/AVERAGE('1_Du_lieu'!$F$383:$F$445)*100</f>
        <v>103.71866816311261</v>
      </c>
      <c r="I359" s="8">
        <f>'1_Du_lieu'!G411/AVERAGE('1_Du_lieu'!$G$383:$G$445)*100</f>
        <v>76.774969915764132</v>
      </c>
      <c r="J359" s="8">
        <f>'1_Du_lieu'!H411/AVERAGE('1_Du_lieu'!$H$383:$H$445)*100</f>
        <v>93.914511549382212</v>
      </c>
      <c r="K359" s="5">
        <f>'1_Du_lieu'!D411</f>
        <v>0</v>
      </c>
    </row>
    <row r="360" spans="1:11" x14ac:dyDescent="0.25">
      <c r="A360" t="s">
        <v>120</v>
      </c>
      <c r="B360">
        <v>2023</v>
      </c>
      <c r="C360" s="5" t="str">
        <f>'1_Du_lieu'!C412</f>
        <v>TDMNPB</v>
      </c>
      <c r="D360" s="5" t="str">
        <f t="shared" si="10"/>
        <v>2021–2024</v>
      </c>
      <c r="E360" s="8">
        <f>'1_Du_lieu'!E412</f>
        <v>18</v>
      </c>
      <c r="F360" s="9">
        <f>AVERAGE('1_Du_lieu'!$E$383:$E$445)</f>
        <v>19.241379310344833</v>
      </c>
      <c r="G360" s="8">
        <f t="shared" si="11"/>
        <v>93.548387096774164</v>
      </c>
      <c r="H360" s="8">
        <f>'1_Du_lieu'!F412/AVERAGE('1_Du_lieu'!$F$383:$F$445)*100</f>
        <v>95.907220351664805</v>
      </c>
      <c r="I360" s="8">
        <f>'1_Du_lieu'!G412/AVERAGE('1_Du_lieu'!$G$383:$G$445)*100</f>
        <v>97.015643802647404</v>
      </c>
      <c r="J360" s="8">
        <f>'1_Du_lieu'!H412/AVERAGE('1_Du_lieu'!$H$383:$H$445)*100</f>
        <v>89.018494359603991</v>
      </c>
      <c r="K360" s="5">
        <f>'1_Du_lieu'!D412</f>
        <v>0</v>
      </c>
    </row>
    <row r="361" spans="1:11" x14ac:dyDescent="0.25">
      <c r="A361" t="s">
        <v>121</v>
      </c>
      <c r="B361">
        <v>2023</v>
      </c>
      <c r="C361" s="5" t="str">
        <f>'1_Du_lieu'!C413</f>
        <v>TN</v>
      </c>
      <c r="D361" s="5" t="str">
        <f t="shared" si="10"/>
        <v>2021–2024</v>
      </c>
      <c r="E361" s="8">
        <f>'1_Du_lieu'!E413</f>
        <v>19.8</v>
      </c>
      <c r="F361" s="9">
        <f>AVERAGE('1_Du_lieu'!$E$383:$E$445)</f>
        <v>19.241379310344833</v>
      </c>
      <c r="G361" s="8">
        <f t="shared" si="11"/>
        <v>102.90322580645159</v>
      </c>
      <c r="H361" s="8">
        <f>'1_Du_lieu'!F413/AVERAGE('1_Du_lieu'!$F$383:$F$445)*100</f>
        <v>110.22820800598578</v>
      </c>
      <c r="I361" s="8">
        <f>'1_Du_lieu'!G413/AVERAGE('1_Du_lieu'!$G$383:$G$445)*100</f>
        <v>71.889290012033698</v>
      </c>
      <c r="J361" s="8">
        <f>'1_Du_lieu'!H413/AVERAGE('1_Du_lieu'!$H$383:$H$445)*100</f>
        <v>118.39459749827333</v>
      </c>
      <c r="K361" s="5">
        <f>'1_Du_lieu'!D413</f>
        <v>0</v>
      </c>
    </row>
    <row r="362" spans="1:11" x14ac:dyDescent="0.25">
      <c r="A362" t="s">
        <v>122</v>
      </c>
      <c r="B362">
        <v>2023</v>
      </c>
      <c r="C362" s="5" t="str">
        <f>'1_Du_lieu'!C414</f>
        <v>TDMNPB</v>
      </c>
      <c r="D362" s="5" t="str">
        <f t="shared" si="10"/>
        <v>2021–2024</v>
      </c>
      <c r="E362" s="8">
        <f>'1_Du_lieu'!E414</f>
        <v>11.9</v>
      </c>
      <c r="F362" s="9">
        <f>AVERAGE('1_Du_lieu'!$E$383:$E$445)</f>
        <v>19.241379310344833</v>
      </c>
      <c r="G362" s="8">
        <f t="shared" si="11"/>
        <v>61.845878136200703</v>
      </c>
      <c r="H362" s="8">
        <f>'1_Du_lieu'!F414/AVERAGE('1_Du_lieu'!$F$383:$F$445)*100</f>
        <v>49.906472128694354</v>
      </c>
      <c r="I362" s="8">
        <f>'1_Du_lieu'!G414/AVERAGE('1_Du_lieu'!$G$383:$G$445)*100</f>
        <v>63.513838748495779</v>
      </c>
      <c r="J362" s="8">
        <f>'1_Du_lieu'!H414/AVERAGE('1_Du_lieu'!$H$383:$H$445)*100</f>
        <v>66.318778297904984</v>
      </c>
      <c r="K362" s="5">
        <f>'1_Du_lieu'!D414</f>
        <v>0</v>
      </c>
    </row>
    <row r="363" spans="1:11" x14ac:dyDescent="0.25">
      <c r="A363" t="s">
        <v>123</v>
      </c>
      <c r="B363">
        <v>2023</v>
      </c>
      <c r="C363" s="5" t="str">
        <f>'1_Du_lieu'!C415</f>
        <v>ĐBSH</v>
      </c>
      <c r="D363" s="5" t="str">
        <f t="shared" si="10"/>
        <v>2021–2024</v>
      </c>
      <c r="E363" s="8">
        <f>'1_Du_lieu'!E415</f>
        <v>19.2</v>
      </c>
      <c r="F363" s="9">
        <f>AVERAGE('1_Du_lieu'!$E$383:$E$445)</f>
        <v>19.241379310344833</v>
      </c>
      <c r="G363" s="8">
        <f t="shared" si="11"/>
        <v>99.784946236559108</v>
      </c>
      <c r="H363" s="8">
        <f>'1_Du_lieu'!F415/AVERAGE('1_Du_lieu'!$F$383:$F$445)*100</f>
        <v>114.13393191170971</v>
      </c>
      <c r="I363" s="8">
        <f>'1_Du_lieu'!G415/AVERAGE('1_Du_lieu'!$G$383:$G$445)*100</f>
        <v>109.57882069795426</v>
      </c>
      <c r="J363" s="8">
        <f>'1_Du_lieu'!H415/AVERAGE('1_Du_lieu'!$H$383:$H$445)*100</f>
        <v>85.012662113421825</v>
      </c>
      <c r="K363" s="5">
        <f>'1_Du_lieu'!D415</f>
        <v>1</v>
      </c>
    </row>
    <row r="364" spans="1:11" x14ac:dyDescent="0.25">
      <c r="A364" t="s">
        <v>124</v>
      </c>
      <c r="B364">
        <v>2023</v>
      </c>
      <c r="C364" s="5" t="str">
        <f>'1_Du_lieu'!C416</f>
        <v>BTB&amp;DHMT</v>
      </c>
      <c r="D364" s="5" t="str">
        <f t="shared" si="10"/>
        <v>2021–2024</v>
      </c>
      <c r="E364" s="8">
        <f>'1_Du_lieu'!E416</f>
        <v>19.600000000000001</v>
      </c>
      <c r="F364" s="9">
        <f>AVERAGE('1_Du_lieu'!$E$383:$E$445)</f>
        <v>19.241379310344833</v>
      </c>
      <c r="G364" s="8">
        <f t="shared" si="11"/>
        <v>101.86379928315409</v>
      </c>
      <c r="H364" s="8">
        <f>'1_Du_lieu'!F416/AVERAGE('1_Du_lieu'!$F$383:$F$445)*100</f>
        <v>82.888140665918456</v>
      </c>
      <c r="I364" s="8">
        <f>'1_Du_lieu'!G416/AVERAGE('1_Du_lieu'!$G$383:$G$445)*100</f>
        <v>78.86883273164861</v>
      </c>
      <c r="J364" s="8">
        <f>'1_Du_lieu'!H416/AVERAGE('1_Du_lieu'!$H$383:$H$445)*100</f>
        <v>125.96116951883967</v>
      </c>
      <c r="K364" s="5">
        <f>'1_Du_lieu'!D416</f>
        <v>0</v>
      </c>
    </row>
    <row r="365" spans="1:11" x14ac:dyDescent="0.25">
      <c r="A365" t="s">
        <v>125</v>
      </c>
      <c r="B365">
        <v>2023</v>
      </c>
      <c r="C365" s="5" t="str">
        <f>'1_Du_lieu'!C417</f>
        <v>ĐBSH</v>
      </c>
      <c r="D365" s="5" t="str">
        <f t="shared" si="10"/>
        <v>2021–2024</v>
      </c>
      <c r="E365" s="8">
        <f>'1_Du_lieu'!E417</f>
        <v>18</v>
      </c>
      <c r="F365" s="9">
        <f>AVERAGE('1_Du_lieu'!$E$383:$E$445)</f>
        <v>19.241379310344833</v>
      </c>
      <c r="G365" s="8">
        <f t="shared" si="11"/>
        <v>93.548387096774164</v>
      </c>
      <c r="H365" s="8">
        <f>'1_Du_lieu'!F417/AVERAGE('1_Du_lieu'!$F$383:$F$445)*100</f>
        <v>92.001496445940887</v>
      </c>
      <c r="I365" s="8">
        <f>'1_Du_lieu'!G417/AVERAGE('1_Du_lieu'!$G$383:$G$445)*100</f>
        <v>83.056558363417565</v>
      </c>
      <c r="J365" s="8">
        <f>'1_Du_lieu'!H417/AVERAGE('1_Du_lieu'!$H$383:$H$445)*100</f>
        <v>99.700713682756472</v>
      </c>
      <c r="K365" s="5">
        <f>'1_Du_lieu'!D417</f>
        <v>1</v>
      </c>
    </row>
    <row r="366" spans="1:11" x14ac:dyDescent="0.25">
      <c r="A366" t="s">
        <v>126</v>
      </c>
      <c r="B366">
        <v>2023</v>
      </c>
      <c r="C366" s="5" t="str">
        <f>'1_Du_lieu'!C418</f>
        <v>BTB&amp;DHMT</v>
      </c>
      <c r="D366" s="5" t="str">
        <f t="shared" si="10"/>
        <v>2021–2024</v>
      </c>
      <c r="E366" s="8">
        <f>'1_Du_lieu'!E418</f>
        <v>13.7</v>
      </c>
      <c r="F366" s="9">
        <f>AVERAGE('1_Du_lieu'!$E$383:$E$445)</f>
        <v>19.241379310344833</v>
      </c>
      <c r="G366" s="8">
        <f t="shared" si="11"/>
        <v>71.200716845878105</v>
      </c>
      <c r="H366" s="8">
        <f>'1_Du_lieu'!F418/AVERAGE('1_Du_lieu'!$F$383:$F$445)*100</f>
        <v>81.152263374485599</v>
      </c>
      <c r="I366" s="8">
        <f>'1_Du_lieu'!G418/AVERAGE('1_Du_lieu'!$G$383:$G$445)*100</f>
        <v>62.815884476534286</v>
      </c>
      <c r="J366" s="8">
        <f>'1_Du_lieu'!H418/AVERAGE('1_Du_lieu'!$H$383:$H$445)*100</f>
        <v>70.76970301588517</v>
      </c>
      <c r="K366" s="5">
        <f>'1_Du_lieu'!D418</f>
        <v>0</v>
      </c>
    </row>
    <row r="367" spans="1:11" x14ac:dyDescent="0.25">
      <c r="A367" t="s">
        <v>127</v>
      </c>
      <c r="B367">
        <v>2023</v>
      </c>
      <c r="C367" s="5" t="str">
        <f>'1_Du_lieu'!C419</f>
        <v>TDMNPB</v>
      </c>
      <c r="D367" s="5" t="str">
        <f t="shared" si="10"/>
        <v>2021–2024</v>
      </c>
      <c r="E367" s="8">
        <f>'1_Du_lieu'!E419</f>
        <v>17.8</v>
      </c>
      <c r="F367" s="9">
        <f>AVERAGE('1_Du_lieu'!$E$383:$E$445)</f>
        <v>19.241379310344833</v>
      </c>
      <c r="G367" s="8">
        <f t="shared" si="11"/>
        <v>92.508960573476685</v>
      </c>
      <c r="H367" s="8">
        <f>'1_Du_lieu'!F419/AVERAGE('1_Du_lieu'!$F$383:$F$445)*100</f>
        <v>83.32210998877666</v>
      </c>
      <c r="I367" s="8">
        <f>'1_Du_lieu'!G419/AVERAGE('1_Du_lieu'!$G$383:$G$445)*100</f>
        <v>98.411552346570389</v>
      </c>
      <c r="J367" s="8">
        <f>'1_Du_lieu'!H419/AVERAGE('1_Du_lieu'!$H$383:$H$445)*100</f>
        <v>92.579234133988152</v>
      </c>
      <c r="K367" s="5">
        <f>'1_Du_lieu'!D419</f>
        <v>0</v>
      </c>
    </row>
    <row r="368" spans="1:11" x14ac:dyDescent="0.25">
      <c r="A368" t="s">
        <v>128</v>
      </c>
      <c r="B368">
        <v>2023</v>
      </c>
      <c r="C368" s="5" t="str">
        <f>'1_Du_lieu'!C420</f>
        <v>BTB&amp;DHMT</v>
      </c>
      <c r="D368" s="5" t="str">
        <f t="shared" si="10"/>
        <v>2021–2024</v>
      </c>
      <c r="E368" s="8">
        <f>'1_Du_lieu'!E420</f>
        <v>12.7</v>
      </c>
      <c r="F368" s="9">
        <f>AVERAGE('1_Du_lieu'!$E$383:$E$445)</f>
        <v>19.241379310344833</v>
      </c>
      <c r="G368" s="8">
        <f t="shared" si="11"/>
        <v>66.003584229390654</v>
      </c>
      <c r="H368" s="8">
        <f>'1_Du_lieu'!F420/AVERAGE('1_Du_lieu'!$F$383:$F$445)*100</f>
        <v>69.43509165731389</v>
      </c>
      <c r="I368" s="8">
        <f>'1_Du_lieu'!G420/AVERAGE('1_Du_lieu'!$G$383:$G$445)*100</f>
        <v>68.399518652226234</v>
      </c>
      <c r="J368" s="8">
        <f>'1_Du_lieu'!H420/AVERAGE('1_Du_lieu'!$H$383:$H$445)*100</f>
        <v>62.312946051722797</v>
      </c>
      <c r="K368" s="5">
        <f>'1_Du_lieu'!D420</f>
        <v>0</v>
      </c>
    </row>
    <row r="369" spans="1:11" x14ac:dyDescent="0.25">
      <c r="A369" t="s">
        <v>129</v>
      </c>
      <c r="B369">
        <v>2023</v>
      </c>
      <c r="C369" s="5" t="str">
        <f>'1_Du_lieu'!C421</f>
        <v>BTB&amp;DHMT</v>
      </c>
      <c r="D369" s="5" t="str">
        <f t="shared" si="10"/>
        <v>2021–2024</v>
      </c>
      <c r="E369" s="8">
        <f>'1_Du_lieu'!E421</f>
        <v>12.8</v>
      </c>
      <c r="F369" s="9">
        <f>AVERAGE('1_Du_lieu'!$E$383:$E$445)</f>
        <v>19.241379310344833</v>
      </c>
      <c r="G369" s="8">
        <f t="shared" si="11"/>
        <v>66.523297491039415</v>
      </c>
      <c r="H369" s="8">
        <f>'1_Du_lieu'!F421/AVERAGE('1_Du_lieu'!$F$383:$F$445)*100</f>
        <v>70.303030303030297</v>
      </c>
      <c r="I369" s="8">
        <f>'1_Du_lieu'!G421/AVERAGE('1_Du_lieu'!$G$383:$G$445)*100</f>
        <v>64.909747292418771</v>
      </c>
      <c r="J369" s="8">
        <f>'1_Du_lieu'!H421/AVERAGE('1_Du_lieu'!$H$383:$H$445)*100</f>
        <v>64.98350088251091</v>
      </c>
      <c r="K369" s="5">
        <f>'1_Du_lieu'!D421</f>
        <v>0</v>
      </c>
    </row>
    <row r="370" spans="1:11" x14ac:dyDescent="0.25">
      <c r="A370" t="s">
        <v>130</v>
      </c>
      <c r="B370">
        <v>2023</v>
      </c>
      <c r="C370" s="5" t="str">
        <f>'1_Du_lieu'!C422</f>
        <v>BTB&amp;DHMT</v>
      </c>
      <c r="D370" s="5" t="str">
        <f t="shared" si="10"/>
        <v>2021–2024</v>
      </c>
      <c r="E370" s="8">
        <f>'1_Du_lieu'!E422</f>
        <v>16.600000000000001</v>
      </c>
      <c r="F370" s="9">
        <f>AVERAGE('1_Du_lieu'!$E$383:$E$445)</f>
        <v>19.241379310344833</v>
      </c>
      <c r="G370" s="8">
        <f t="shared" si="11"/>
        <v>86.272401433691741</v>
      </c>
      <c r="H370" s="8">
        <f>'1_Du_lieu'!F422/AVERAGE('1_Du_lieu'!$F$383:$F$445)*100</f>
        <v>100.68088290310513</v>
      </c>
      <c r="I370" s="8">
        <f>'1_Du_lieu'!G422/AVERAGE('1_Du_lieu'!$G$383:$G$445)*100</f>
        <v>79.566787003610102</v>
      </c>
      <c r="J370" s="8">
        <f>'1_Du_lieu'!H422/AVERAGE('1_Du_lieu'!$H$383:$H$445)*100</f>
        <v>82.342107282633691</v>
      </c>
      <c r="K370" s="5">
        <f>'1_Du_lieu'!D422</f>
        <v>0</v>
      </c>
    </row>
    <row r="371" spans="1:11" x14ac:dyDescent="0.25">
      <c r="A371" t="s">
        <v>131</v>
      </c>
      <c r="B371">
        <v>2023</v>
      </c>
      <c r="C371" s="5" t="str">
        <f>'1_Du_lieu'!C423</f>
        <v>BTB&amp;DHMT</v>
      </c>
      <c r="D371" s="5" t="str">
        <f t="shared" si="10"/>
        <v>2021–2024</v>
      </c>
      <c r="E371" s="8">
        <f>'1_Du_lieu'!E423</f>
        <v>13.5</v>
      </c>
      <c r="F371" s="9">
        <f>AVERAGE('1_Du_lieu'!$E$383:$E$445)</f>
        <v>19.241379310344833</v>
      </c>
      <c r="G371" s="8">
        <f t="shared" si="11"/>
        <v>70.161290322580626</v>
      </c>
      <c r="H371" s="8">
        <f>'1_Du_lieu'!F423/AVERAGE('1_Du_lieu'!$F$383:$F$445)*100</f>
        <v>79.85035540591096</v>
      </c>
      <c r="I371" s="8">
        <f>'1_Du_lieu'!G423/AVERAGE('1_Du_lieu'!$G$383:$G$445)*100</f>
        <v>67.003610108303235</v>
      </c>
      <c r="J371" s="8">
        <f>'1_Du_lieu'!H423/AVERAGE('1_Du_lieu'!$H$383:$H$445)*100</f>
        <v>66.76387076970299</v>
      </c>
      <c r="K371" s="5">
        <f>'1_Du_lieu'!D423</f>
        <v>0</v>
      </c>
    </row>
    <row r="372" spans="1:11" x14ac:dyDescent="0.25">
      <c r="A372" t="s">
        <v>132</v>
      </c>
      <c r="B372">
        <v>2023</v>
      </c>
      <c r="C372" s="5" t="str">
        <f>'1_Du_lieu'!C424</f>
        <v>ĐBSH</v>
      </c>
      <c r="D372" s="5" t="str">
        <f t="shared" si="10"/>
        <v>2021–2024</v>
      </c>
      <c r="E372" s="8">
        <f>'1_Du_lieu'!E424</f>
        <v>20.6</v>
      </c>
      <c r="F372" s="9">
        <f>AVERAGE('1_Du_lieu'!$E$383:$E$445)</f>
        <v>19.241379310344833</v>
      </c>
      <c r="G372" s="8">
        <f t="shared" si="11"/>
        <v>107.06093189964156</v>
      </c>
      <c r="H372" s="8">
        <f>'1_Du_lieu'!F424/AVERAGE('1_Du_lieu'!$F$383:$F$445)*100</f>
        <v>116.30377852600076</v>
      </c>
      <c r="I372" s="8">
        <f>'1_Du_lieu'!G424/AVERAGE('1_Du_lieu'!$G$383:$G$445)*100</f>
        <v>90.73405535499397</v>
      </c>
      <c r="J372" s="8">
        <f>'1_Du_lieu'!H424/AVERAGE('1_Du_lieu'!$H$383:$H$445)*100</f>
        <v>111.27311794950498</v>
      </c>
      <c r="K372" s="5">
        <f>'1_Du_lieu'!D424</f>
        <v>1</v>
      </c>
    </row>
    <row r="373" spans="1:11" x14ac:dyDescent="0.25">
      <c r="A373" t="s">
        <v>133</v>
      </c>
      <c r="B373">
        <v>2023</v>
      </c>
      <c r="C373" s="5" t="str">
        <f>'1_Du_lieu'!C425</f>
        <v>BTB&amp;DHMT</v>
      </c>
      <c r="D373" s="5" t="str">
        <f t="shared" si="10"/>
        <v>2021–2024</v>
      </c>
      <c r="E373" s="8">
        <f>'1_Du_lieu'!E425</f>
        <v>13.6</v>
      </c>
      <c r="F373" s="9">
        <f>AVERAGE('1_Du_lieu'!$E$383:$E$445)</f>
        <v>19.241379310344833</v>
      </c>
      <c r="G373" s="8">
        <f t="shared" si="11"/>
        <v>70.681003584229373</v>
      </c>
      <c r="H373" s="8">
        <f>'1_Du_lieu'!F425/AVERAGE('1_Du_lieu'!$F$383:$F$445)*100</f>
        <v>59.019827908716792</v>
      </c>
      <c r="I373" s="8">
        <f>'1_Du_lieu'!G425/AVERAGE('1_Du_lieu'!$G$383:$G$445)*100</f>
        <v>65.607701564380264</v>
      </c>
      <c r="J373" s="8">
        <f>'1_Du_lieu'!H425/AVERAGE('1_Du_lieu'!$H$383:$H$445)*100</f>
        <v>78.781367508249531</v>
      </c>
      <c r="K373" s="5">
        <f>'1_Du_lieu'!D425</f>
        <v>0</v>
      </c>
    </row>
    <row r="374" spans="1:11" x14ac:dyDescent="0.25">
      <c r="A374" t="s">
        <v>134</v>
      </c>
      <c r="B374">
        <v>2023</v>
      </c>
      <c r="C374" s="5" t="str">
        <f>'1_Du_lieu'!C426</f>
        <v>ĐBSCL</v>
      </c>
      <c r="D374" s="5" t="str">
        <f t="shared" si="10"/>
        <v>2021–2024</v>
      </c>
      <c r="E374" s="8">
        <f>'1_Du_lieu'!E426</f>
        <v>10.9</v>
      </c>
      <c r="F374" s="9">
        <f>AVERAGE('1_Du_lieu'!$E$383:$E$445)</f>
        <v>19.241379310344833</v>
      </c>
      <c r="G374" s="8">
        <f t="shared" si="11"/>
        <v>56.648745519713252</v>
      </c>
      <c r="H374" s="8">
        <f>'1_Du_lieu'!F426/AVERAGE('1_Du_lieu'!$F$383:$F$445)*100</f>
        <v>49.038533482977932</v>
      </c>
      <c r="I374" s="8">
        <f>'1_Du_lieu'!G426/AVERAGE('1_Du_lieu'!$G$383:$G$445)*100</f>
        <v>81.660649819494566</v>
      </c>
      <c r="J374" s="8">
        <f>'1_Du_lieu'!H426/AVERAGE('1_Du_lieu'!$H$383:$H$445)*100</f>
        <v>69.43442560049111</v>
      </c>
      <c r="K374" s="5">
        <f>'1_Du_lieu'!D426</f>
        <v>0</v>
      </c>
    </row>
    <row r="375" spans="1:11" x14ac:dyDescent="0.25">
      <c r="A375" t="s">
        <v>136</v>
      </c>
      <c r="B375">
        <v>2023</v>
      </c>
      <c r="C375" s="5" t="str">
        <f>'1_Du_lieu'!C428</f>
        <v>ĐNB</v>
      </c>
      <c r="D375" s="5" t="str">
        <f t="shared" si="10"/>
        <v>2021–2024</v>
      </c>
      <c r="E375" s="8">
        <f>'1_Du_lieu'!E428</f>
        <v>89.2</v>
      </c>
      <c r="F375" s="9">
        <f>AVERAGE('1_Du_lieu'!$E$383:$E$445)</f>
        <v>19.241379310344833</v>
      </c>
      <c r="G375" s="8">
        <f t="shared" si="11"/>
        <v>463.58422939068095</v>
      </c>
      <c r="H375" s="8">
        <f>'1_Du_lieu'!F428/AVERAGE('1_Du_lieu'!$F$383:$F$445)*100</f>
        <v>427.45978301533859</v>
      </c>
      <c r="I375" s="8">
        <f>'1_Du_lieu'!G428/AVERAGE('1_Du_lieu'!$G$383:$G$445)*100</f>
        <v>561.15523465703973</v>
      </c>
      <c r="J375" s="8">
        <f>'1_Du_lieu'!H428/AVERAGE('1_Du_lieu'!$H$383:$H$445)*100</f>
        <v>415.71636865935074</v>
      </c>
      <c r="K375" s="5">
        <f>'1_Du_lieu'!D428</f>
        <v>1</v>
      </c>
    </row>
    <row r="376" spans="1:11" x14ac:dyDescent="0.25">
      <c r="A376" t="s">
        <v>137</v>
      </c>
      <c r="B376">
        <v>2023</v>
      </c>
      <c r="C376" s="5" t="str">
        <f>'1_Du_lieu'!C429</f>
        <v>BTB&amp;DHMT</v>
      </c>
      <c r="D376" s="5" t="str">
        <f t="shared" si="10"/>
        <v>2021–2024</v>
      </c>
      <c r="E376" s="8">
        <f>'1_Du_lieu'!E429</f>
        <v>18.5</v>
      </c>
      <c r="F376" s="9">
        <f>AVERAGE('1_Du_lieu'!$E$383:$E$445)</f>
        <v>19.241379310344833</v>
      </c>
      <c r="G376" s="8">
        <f t="shared" si="11"/>
        <v>96.146953405017896</v>
      </c>
      <c r="H376" s="8">
        <f>'1_Du_lieu'!F429/AVERAGE('1_Du_lieu'!$F$383:$F$445)*100</f>
        <v>82.020202020202021</v>
      </c>
      <c r="I376" s="8">
        <f>'1_Du_lieu'!G429/AVERAGE('1_Du_lieu'!$G$383:$G$445)*100</f>
        <v>88.640192539109492</v>
      </c>
      <c r="J376" s="8">
        <f>'1_Du_lieu'!H429/AVERAGE('1_Du_lieu'!$H$383:$H$445)*100</f>
        <v>107.71237817512083</v>
      </c>
      <c r="K376" s="5">
        <f>'1_Du_lieu'!D429</f>
        <v>0</v>
      </c>
    </row>
    <row r="377" spans="1:11" x14ac:dyDescent="0.25">
      <c r="A377" t="s">
        <v>138</v>
      </c>
      <c r="B377">
        <v>2023</v>
      </c>
      <c r="C377" s="5" t="str">
        <f>'1_Du_lieu'!C430</f>
        <v>ĐBSH</v>
      </c>
      <c r="D377" s="5" t="str">
        <f t="shared" si="10"/>
        <v>2021–2024</v>
      </c>
      <c r="E377" s="8">
        <f>'1_Du_lieu'!E430</f>
        <v>15.4</v>
      </c>
      <c r="F377" s="9">
        <f>AVERAGE('1_Du_lieu'!$E$383:$E$445)</f>
        <v>19.241379310344833</v>
      </c>
      <c r="G377" s="8">
        <f t="shared" si="11"/>
        <v>80.035842293906796</v>
      </c>
      <c r="H377" s="8">
        <f>'1_Du_lieu'!F430/AVERAGE('1_Du_lieu'!$F$383:$F$445)*100</f>
        <v>81.152263374485599</v>
      </c>
      <c r="I377" s="8">
        <f>'1_Du_lieu'!G430/AVERAGE('1_Du_lieu'!$G$383:$G$445)*100</f>
        <v>84.452466907340536</v>
      </c>
      <c r="J377" s="8">
        <f>'1_Du_lieu'!H430/AVERAGE('1_Du_lieu'!$H$383:$H$445)*100</f>
        <v>76.555905149259431</v>
      </c>
      <c r="K377" s="5">
        <f>'1_Du_lieu'!D430</f>
        <v>1</v>
      </c>
    </row>
    <row r="378" spans="1:11" x14ac:dyDescent="0.25">
      <c r="A378" t="s">
        <v>139</v>
      </c>
      <c r="B378">
        <v>2023</v>
      </c>
      <c r="C378" s="5" t="str">
        <f>'1_Du_lieu'!C431</f>
        <v>TDMNPB</v>
      </c>
      <c r="D378" s="5" t="str">
        <f t="shared" si="10"/>
        <v>2021–2024</v>
      </c>
      <c r="E378" s="8">
        <f>'1_Du_lieu'!E431</f>
        <v>17.100000000000001</v>
      </c>
      <c r="F378" s="9">
        <f>AVERAGE('1_Du_lieu'!$E$383:$E$445)</f>
        <v>19.241379310344833</v>
      </c>
      <c r="G378" s="8">
        <f t="shared" si="11"/>
        <v>88.870967741935473</v>
      </c>
      <c r="H378" s="8">
        <f>'1_Du_lieu'!F431/AVERAGE('1_Du_lieu'!$F$383:$F$445)*100</f>
        <v>89.397680508791638</v>
      </c>
      <c r="I378" s="8">
        <f>'1_Du_lieu'!G431/AVERAGE('1_Du_lieu'!$G$383:$G$445)*100</f>
        <v>82.358604091456073</v>
      </c>
      <c r="J378" s="8">
        <f>'1_Du_lieu'!H431/AVERAGE('1_Du_lieu'!$H$383:$H$445)*100</f>
        <v>91.689049190392126</v>
      </c>
      <c r="K378" s="5">
        <f>'1_Du_lieu'!D431</f>
        <v>0</v>
      </c>
    </row>
    <row r="379" spans="1:11" x14ac:dyDescent="0.25">
      <c r="A379" t="s">
        <v>140</v>
      </c>
      <c r="B379">
        <v>2023</v>
      </c>
      <c r="C379" s="5" t="str">
        <f>'1_Du_lieu'!C432</f>
        <v>BTB&amp;DHMT</v>
      </c>
      <c r="D379" s="5" t="str">
        <f t="shared" si="10"/>
        <v>2021–2024</v>
      </c>
      <c r="E379" s="8">
        <f>'1_Du_lieu'!E432</f>
        <v>16</v>
      </c>
      <c r="F379" s="9">
        <f>AVERAGE('1_Du_lieu'!$E$383:$E$445)</f>
        <v>19.241379310344833</v>
      </c>
      <c r="G379" s="8">
        <f t="shared" si="11"/>
        <v>83.154121863799261</v>
      </c>
      <c r="H379" s="8">
        <f>'1_Du_lieu'!F432/AVERAGE('1_Du_lieu'!$F$383:$F$445)*100</f>
        <v>111.53011597456042</v>
      </c>
      <c r="I379" s="8">
        <f>'1_Du_lieu'!G432/AVERAGE('1_Du_lieu'!$G$383:$G$445)*100</f>
        <v>73.983152827918161</v>
      </c>
      <c r="J379" s="8">
        <f>'1_Du_lieu'!H432/AVERAGE('1_Du_lieu'!$H$383:$H$445)*100</f>
        <v>73.885350318471325</v>
      </c>
      <c r="K379" s="5">
        <f>'1_Du_lieu'!D432</f>
        <v>0</v>
      </c>
    </row>
    <row r="380" spans="1:11" x14ac:dyDescent="0.25">
      <c r="A380" t="s">
        <v>141</v>
      </c>
      <c r="B380">
        <v>2023</v>
      </c>
      <c r="C380" s="5" t="str">
        <f>'1_Du_lieu'!C433</f>
        <v>ĐBSCL</v>
      </c>
      <c r="D380" s="5" t="str">
        <f t="shared" si="10"/>
        <v>2021–2024</v>
      </c>
      <c r="E380" s="8">
        <f>'1_Du_lieu'!E433</f>
        <v>12.4</v>
      </c>
      <c r="F380" s="9">
        <f>AVERAGE('1_Du_lieu'!$E$383:$E$445)</f>
        <v>19.241379310344833</v>
      </c>
      <c r="G380" s="8">
        <f t="shared" si="11"/>
        <v>64.444444444444429</v>
      </c>
      <c r="H380" s="8">
        <f>'1_Du_lieu'!F433/AVERAGE('1_Du_lieu'!$F$383:$F$445)*100</f>
        <v>66.831275720164612</v>
      </c>
      <c r="I380" s="8">
        <f>'1_Du_lieu'!G433/AVERAGE('1_Du_lieu'!$G$383:$G$445)*100</f>
        <v>80.264741275571595</v>
      </c>
      <c r="J380" s="8">
        <f>'1_Du_lieu'!H433/AVERAGE('1_Du_lieu'!$H$383:$H$445)*100</f>
        <v>52.966004143964376</v>
      </c>
      <c r="K380" s="5">
        <f>'1_Du_lieu'!D433</f>
        <v>0</v>
      </c>
    </row>
    <row r="381" spans="1:11" x14ac:dyDescent="0.25">
      <c r="A381" t="s">
        <v>142</v>
      </c>
      <c r="B381">
        <v>2023</v>
      </c>
      <c r="C381" s="5" t="str">
        <f>'1_Du_lieu'!C434</f>
        <v>ĐBSCL</v>
      </c>
      <c r="D381" s="5" t="str">
        <f t="shared" si="10"/>
        <v>2021–2024</v>
      </c>
      <c r="E381" s="8">
        <f>'1_Du_lieu'!E434</f>
        <v>11.2</v>
      </c>
      <c r="F381" s="9">
        <f>AVERAGE('1_Du_lieu'!$E$383:$E$445)</f>
        <v>19.241379310344833</v>
      </c>
      <c r="G381" s="8">
        <f t="shared" si="11"/>
        <v>58.207885304659477</v>
      </c>
      <c r="H381" s="8">
        <f>'1_Du_lieu'!F434/AVERAGE('1_Du_lieu'!$F$383:$F$445)*100</f>
        <v>40.793116348671909</v>
      </c>
      <c r="I381" s="8">
        <f>'1_Du_lieu'!G434/AVERAGE('1_Du_lieu'!$G$383:$G$445)*100</f>
        <v>64.909747292418771</v>
      </c>
      <c r="J381" s="8">
        <f>'1_Du_lieu'!H434/AVERAGE('1_Du_lieu'!$H$383:$H$445)*100</f>
        <v>61.867853579924784</v>
      </c>
      <c r="K381" s="5">
        <f>'1_Du_lieu'!D434</f>
        <v>0</v>
      </c>
    </row>
    <row r="382" spans="1:11" x14ac:dyDescent="0.25">
      <c r="A382" t="s">
        <v>143</v>
      </c>
      <c r="B382">
        <v>2023</v>
      </c>
      <c r="C382" s="5" t="str">
        <f>'1_Du_lieu'!C435</f>
        <v>TDMNPB</v>
      </c>
      <c r="D382" s="5" t="str">
        <f t="shared" si="10"/>
        <v>2021–2024</v>
      </c>
      <c r="E382" s="8">
        <f>'1_Du_lieu'!E435</f>
        <v>12.7</v>
      </c>
      <c r="F382" s="9">
        <f>AVERAGE('1_Du_lieu'!$E$383:$E$445)</f>
        <v>19.241379310344833</v>
      </c>
      <c r="G382" s="8">
        <f t="shared" si="11"/>
        <v>66.003584229390654</v>
      </c>
      <c r="H382" s="8">
        <f>'1_Du_lieu'!F435/AVERAGE('1_Du_lieu'!$F$383:$F$445)*100</f>
        <v>56.849981294425746</v>
      </c>
      <c r="I382" s="8">
        <f>'1_Du_lieu'!G435/AVERAGE('1_Du_lieu'!$G$383:$G$445)*100</f>
        <v>73.285198555956669</v>
      </c>
      <c r="J382" s="8">
        <f>'1_Du_lieu'!H435/AVERAGE('1_Du_lieu'!$H$383:$H$445)*100</f>
        <v>65.42859335430893</v>
      </c>
      <c r="K382" s="5">
        <f>'1_Du_lieu'!D435</f>
        <v>0</v>
      </c>
    </row>
    <row r="383" spans="1:11" x14ac:dyDescent="0.25">
      <c r="A383" t="s">
        <v>144</v>
      </c>
      <c r="B383">
        <v>2023</v>
      </c>
      <c r="C383" s="5" t="str">
        <f>'1_Du_lieu'!C436</f>
        <v>ĐNB</v>
      </c>
      <c r="D383" s="5" t="str">
        <f t="shared" si="10"/>
        <v>2021–2024</v>
      </c>
      <c r="E383" s="8">
        <f>'1_Du_lieu'!E436</f>
        <v>14.6</v>
      </c>
      <c r="F383" s="9">
        <f>AVERAGE('1_Du_lieu'!$E$383:$E$445)</f>
        <v>19.241379310344833</v>
      </c>
      <c r="G383" s="8">
        <f t="shared" si="11"/>
        <v>75.878136200716824</v>
      </c>
      <c r="H383" s="8">
        <f>'1_Du_lieu'!F436/AVERAGE('1_Du_lieu'!$F$383:$F$445)*100</f>
        <v>67.26524504302283</v>
      </c>
      <c r="I383" s="8">
        <f>'1_Du_lieu'!G436/AVERAGE('1_Du_lieu'!$G$383:$G$445)*100</f>
        <v>81.660649819494566</v>
      </c>
      <c r="J383" s="8">
        <f>'1_Du_lieu'!H436/AVERAGE('1_Du_lieu'!$H$383:$H$445)*100</f>
        <v>76.555905149259431</v>
      </c>
      <c r="K383" s="5">
        <f>'1_Du_lieu'!D436</f>
        <v>1</v>
      </c>
    </row>
    <row r="384" spans="1:11" x14ac:dyDescent="0.25">
      <c r="A384" t="s">
        <v>145</v>
      </c>
      <c r="B384">
        <v>2023</v>
      </c>
      <c r="C384" s="5" t="str">
        <f>'1_Du_lieu'!C437</f>
        <v>ĐBSCL</v>
      </c>
      <c r="D384" s="5" t="str">
        <f t="shared" si="10"/>
        <v>2021–2024</v>
      </c>
      <c r="E384" s="8">
        <f>'1_Du_lieu'!E437</f>
        <v>10.7</v>
      </c>
      <c r="F384" s="9">
        <f>AVERAGE('1_Du_lieu'!$E$383:$E$445)</f>
        <v>19.241379310344833</v>
      </c>
      <c r="G384" s="8">
        <f t="shared" si="11"/>
        <v>55.609318996415759</v>
      </c>
      <c r="H384" s="8">
        <f>'1_Du_lieu'!F437/AVERAGE('1_Du_lieu'!$F$383:$F$445)*100</f>
        <v>53.378226711560053</v>
      </c>
      <c r="I384" s="8">
        <f>'1_Du_lieu'!G437/AVERAGE('1_Du_lieu'!$G$383:$G$445)*100</f>
        <v>70.493381468110698</v>
      </c>
      <c r="J384" s="8">
        <f>'1_Du_lieu'!H437/AVERAGE('1_Du_lieu'!$H$383:$H$445)*100</f>
        <v>46.734709538792096</v>
      </c>
      <c r="K384" s="5">
        <f>'1_Du_lieu'!D437</f>
        <v>0</v>
      </c>
    </row>
    <row r="385" spans="1:11" x14ac:dyDescent="0.25">
      <c r="A385" t="s">
        <v>146</v>
      </c>
      <c r="B385">
        <v>2023</v>
      </c>
      <c r="C385" s="5" t="str">
        <f>'1_Du_lieu'!C438</f>
        <v>ĐBSH</v>
      </c>
      <c r="D385" s="5" t="str">
        <f t="shared" si="10"/>
        <v>2021–2024</v>
      </c>
      <c r="E385" s="8">
        <f>'1_Du_lieu'!E438</f>
        <v>19.600000000000001</v>
      </c>
      <c r="F385" s="9">
        <f>AVERAGE('1_Du_lieu'!$E$383:$E$445)</f>
        <v>19.241379310344833</v>
      </c>
      <c r="G385" s="8">
        <f t="shared" si="11"/>
        <v>101.86379928315409</v>
      </c>
      <c r="H385" s="8">
        <f>'1_Du_lieu'!F438/AVERAGE('1_Du_lieu'!$F$383:$F$445)*100</f>
        <v>103.28469884025439</v>
      </c>
      <c r="I385" s="8">
        <f>'1_Du_lieu'!G438/AVERAGE('1_Du_lieu'!$G$383:$G$445)*100</f>
        <v>94.223826714801433</v>
      </c>
      <c r="J385" s="8">
        <f>'1_Du_lieu'!H438/AVERAGE('1_Du_lieu'!$H$383:$H$445)*100</f>
        <v>105.04182334433271</v>
      </c>
      <c r="K385" s="5">
        <f>'1_Du_lieu'!D438</f>
        <v>1</v>
      </c>
    </row>
    <row r="386" spans="1:11" x14ac:dyDescent="0.25">
      <c r="A386" t="s">
        <v>147</v>
      </c>
      <c r="B386">
        <v>2023</v>
      </c>
      <c r="C386" s="5" t="str">
        <f>'1_Du_lieu'!C439</f>
        <v>TDMNPB</v>
      </c>
      <c r="D386" s="5" t="str">
        <f t="shared" si="10"/>
        <v>2021–2024</v>
      </c>
      <c r="E386" s="8">
        <f>'1_Du_lieu'!E439</f>
        <v>13.3</v>
      </c>
      <c r="F386" s="9">
        <f>AVERAGE('1_Du_lieu'!$E$383:$E$445)</f>
        <v>19.241379310344833</v>
      </c>
      <c r="G386" s="8">
        <f t="shared" si="11"/>
        <v>69.121863799283133</v>
      </c>
      <c r="H386" s="8">
        <f>'1_Du_lieu'!F439/AVERAGE('1_Du_lieu'!$F$383:$F$445)*100</f>
        <v>55.982042648709317</v>
      </c>
      <c r="I386" s="8">
        <f>'1_Du_lieu'!G439/AVERAGE('1_Du_lieu'!$G$383:$G$445)*100</f>
        <v>90.73405535499397</v>
      </c>
      <c r="J386" s="8">
        <f>'1_Du_lieu'!H439/AVERAGE('1_Du_lieu'!$H$383:$H$445)*100</f>
        <v>61.867853579924784</v>
      </c>
      <c r="K386" s="5">
        <f>'1_Du_lieu'!D439</f>
        <v>0</v>
      </c>
    </row>
    <row r="387" spans="1:11" x14ac:dyDescent="0.25">
      <c r="A387" t="s">
        <v>149</v>
      </c>
      <c r="B387">
        <v>2023</v>
      </c>
      <c r="C387" s="5" t="str">
        <f>'1_Du_lieu'!C441</f>
        <v>BTB&amp;DHMT</v>
      </c>
      <c r="D387" s="5" t="str">
        <f t="shared" si="10"/>
        <v>2021–2024</v>
      </c>
      <c r="E387" s="8">
        <f>'1_Du_lieu'!E441</f>
        <v>39.5</v>
      </c>
      <c r="F387" s="9">
        <f>AVERAGE('1_Du_lieu'!$E$383:$E$445)</f>
        <v>19.241379310344833</v>
      </c>
      <c r="G387" s="8">
        <f t="shared" si="11"/>
        <v>205.28673835125443</v>
      </c>
      <c r="H387" s="8">
        <f>'1_Du_lieu'!F441/AVERAGE('1_Du_lieu'!$F$383:$F$445)*100</f>
        <v>304.21249532360639</v>
      </c>
      <c r="I387" s="8">
        <f>'1_Du_lieu'!G441/AVERAGE('1_Du_lieu'!$G$383:$G$445)*100</f>
        <v>96.317689530685911</v>
      </c>
      <c r="J387" s="8">
        <f>'1_Du_lieu'!H441/AVERAGE('1_Du_lieu'!$H$383:$H$445)*100</f>
        <v>222.54623589900996</v>
      </c>
      <c r="K387" s="5">
        <f>'1_Du_lieu'!D441</f>
        <v>0</v>
      </c>
    </row>
    <row r="388" spans="1:11" x14ac:dyDescent="0.25">
      <c r="A388" t="s">
        <v>150</v>
      </c>
      <c r="B388">
        <v>2023</v>
      </c>
      <c r="C388" s="5" t="str">
        <f>'1_Du_lieu'!C442</f>
        <v>TN</v>
      </c>
      <c r="D388" s="5" t="str">
        <f t="shared" si="10"/>
        <v>2021–2024</v>
      </c>
      <c r="E388" s="8">
        <f>'1_Du_lieu'!E442</f>
        <v>18.8</v>
      </c>
      <c r="F388" s="9">
        <f>AVERAGE('1_Du_lieu'!$E$383:$E$445)</f>
        <v>19.241379310344833</v>
      </c>
      <c r="G388" s="8">
        <f t="shared" si="11"/>
        <v>97.706093189964136</v>
      </c>
      <c r="H388" s="8">
        <f>'1_Du_lieu'!F442/AVERAGE('1_Du_lieu'!$F$383:$F$445)*100</f>
        <v>85.057987280209517</v>
      </c>
      <c r="I388" s="8">
        <f>'1_Du_lieu'!G442/AVERAGE('1_Du_lieu'!$G$383:$G$445)*100</f>
        <v>71.889290012033698</v>
      </c>
      <c r="J388" s="8">
        <f>'1_Du_lieu'!H442/AVERAGE('1_Du_lieu'!$H$383:$H$445)*100</f>
        <v>119.72987491366736</v>
      </c>
      <c r="K388" s="5">
        <f>'1_Du_lieu'!D442</f>
        <v>0</v>
      </c>
    </row>
    <row r="389" spans="1:11" x14ac:dyDescent="0.25">
      <c r="A389" t="s">
        <v>151</v>
      </c>
      <c r="B389">
        <v>2023</v>
      </c>
      <c r="C389" s="5" t="str">
        <f>'1_Du_lieu'!C443</f>
        <v>TN</v>
      </c>
      <c r="D389" s="5" t="str">
        <f t="shared" ref="D389:D449" si="12">IF(B389&lt;=2020,"2017–2020","2021–2024")</f>
        <v>2021–2024</v>
      </c>
      <c r="E389" s="8">
        <f>'1_Du_lieu'!E443</f>
        <v>10.6</v>
      </c>
      <c r="F389" s="9">
        <f>AVERAGE('1_Du_lieu'!$E$383:$E$445)</f>
        <v>19.241379310344833</v>
      </c>
      <c r="G389" s="8">
        <f t="shared" ref="G389:G452" si="13">E389/F389*100</f>
        <v>55.089605734767012</v>
      </c>
      <c r="H389" s="8">
        <f>'1_Du_lieu'!F443/AVERAGE('1_Du_lieu'!$F$383:$F$445)*100</f>
        <v>43.830901608679383</v>
      </c>
      <c r="I389" s="8">
        <f>'1_Du_lieu'!G443/AVERAGE('1_Du_lieu'!$G$383:$G$445)*100</f>
        <v>55.836341756919374</v>
      </c>
      <c r="J389" s="8">
        <f>'1_Du_lieu'!H443/AVERAGE('1_Du_lieu'!$H$383:$H$445)*100</f>
        <v>59.642391220934677</v>
      </c>
      <c r="K389" s="5">
        <f>'1_Du_lieu'!D443</f>
        <v>0</v>
      </c>
    </row>
    <row r="390" spans="1:11" x14ac:dyDescent="0.25">
      <c r="A390" t="s">
        <v>152</v>
      </c>
      <c r="B390">
        <v>2023</v>
      </c>
      <c r="C390" s="5" t="str">
        <f>'1_Du_lieu'!C444</f>
        <v>ĐNB</v>
      </c>
      <c r="D390" s="5" t="str">
        <f t="shared" si="12"/>
        <v>2021–2024</v>
      </c>
      <c r="E390" s="8">
        <f>'1_Du_lieu'!E444</f>
        <v>25.9</v>
      </c>
      <c r="F390" s="9">
        <f>AVERAGE('1_Du_lieu'!$E$383:$E$445)</f>
        <v>19.241379310344833</v>
      </c>
      <c r="G390" s="8">
        <f t="shared" si="13"/>
        <v>134.60573476702504</v>
      </c>
      <c r="H390" s="8">
        <f>'1_Du_lieu'!F444/AVERAGE('1_Du_lieu'!$F$383:$F$445)*100</f>
        <v>122.81331836887392</v>
      </c>
      <c r="I390" s="8">
        <f>'1_Du_lieu'!G444/AVERAGE('1_Du_lieu'!$G$383:$G$445)*100</f>
        <v>97.713598074608896</v>
      </c>
      <c r="J390" s="8">
        <f>'1_Du_lieu'!H444/AVERAGE('1_Du_lieu'!$H$383:$H$445)*100</f>
        <v>162.45875220627727</v>
      </c>
      <c r="K390" s="5">
        <f>'1_Du_lieu'!D444</f>
        <v>1</v>
      </c>
    </row>
    <row r="391" spans="1:11" x14ac:dyDescent="0.25">
      <c r="A391" t="s">
        <v>153</v>
      </c>
      <c r="B391">
        <v>2023</v>
      </c>
      <c r="C391" s="5" t="str">
        <f>'1_Du_lieu'!C445</f>
        <v>ĐBSCL</v>
      </c>
      <c r="D391" s="5" t="str">
        <f t="shared" si="12"/>
        <v>2021–2024</v>
      </c>
      <c r="E391" s="8">
        <f>'1_Du_lieu'!E445</f>
        <v>15.7</v>
      </c>
      <c r="F391" s="9">
        <f>AVERAGE('1_Du_lieu'!$E$383:$E$445)</f>
        <v>19.241379310344833</v>
      </c>
      <c r="G391" s="8">
        <f t="shared" si="13"/>
        <v>81.594982078853022</v>
      </c>
      <c r="H391" s="8">
        <f>'1_Du_lieu'!F445/AVERAGE('1_Du_lieu'!$F$383:$F$445)*100</f>
        <v>58.151889263000378</v>
      </c>
      <c r="I391" s="8">
        <f>'1_Du_lieu'!G445/AVERAGE('1_Du_lieu'!$G$383:$G$445)*100</f>
        <v>99.109506618531867</v>
      </c>
      <c r="J391" s="8">
        <f>'1_Du_lieu'!H445/AVERAGE('1_Du_lieu'!$H$383:$H$445)*100</f>
        <v>82.342107282633691</v>
      </c>
      <c r="K391" s="5">
        <f>'1_Du_lieu'!D445</f>
        <v>0</v>
      </c>
    </row>
    <row r="392" spans="1:11" x14ac:dyDescent="0.25">
      <c r="A392" t="s">
        <v>85</v>
      </c>
      <c r="B392">
        <v>2024</v>
      </c>
      <c r="C392" s="5" t="str">
        <f>'1_Du_lieu'!C446</f>
        <v>ĐBSCL</v>
      </c>
      <c r="D392" s="5" t="str">
        <f t="shared" si="12"/>
        <v>2021–2024</v>
      </c>
      <c r="E392" s="8">
        <f>'1_Du_lieu'!E446</f>
        <v>16</v>
      </c>
      <c r="F392" s="9">
        <f>AVERAGE('1_Du_lieu'!$E$446:$E$508)</f>
        <v>23.086206896551722</v>
      </c>
      <c r="G392" s="8">
        <f t="shared" si="13"/>
        <v>69.30545182972368</v>
      </c>
      <c r="H392" s="8">
        <f>'1_Du_lieu'!F446/AVERAGE('1_Du_lieu'!$F$446:$F$508)*100</f>
        <v>45.152158527954704</v>
      </c>
      <c r="I392" s="8">
        <f>'1_Du_lieu'!G446/AVERAGE('1_Du_lieu'!$G$446:$G$508)*100</f>
        <v>77.54010695187165</v>
      </c>
      <c r="J392" s="8">
        <f>'1_Du_lieu'!H446/AVERAGE('1_Du_lieu'!$H$446:$H$508)*100</f>
        <v>76.115485564304464</v>
      </c>
      <c r="K392" s="5">
        <f>'1_Du_lieu'!D446</f>
        <v>0</v>
      </c>
    </row>
    <row r="393" spans="1:11" x14ac:dyDescent="0.25">
      <c r="A393" t="s">
        <v>87</v>
      </c>
      <c r="B393">
        <v>2024</v>
      </c>
      <c r="C393" s="5" t="str">
        <f>'1_Du_lieu'!C447</f>
        <v>ĐNB</v>
      </c>
      <c r="D393" s="5" t="str">
        <f t="shared" si="12"/>
        <v>2021–2024</v>
      </c>
      <c r="E393" s="8">
        <f>'1_Du_lieu'!E447</f>
        <v>28</v>
      </c>
      <c r="F393" s="9">
        <f>AVERAGE('1_Du_lieu'!$E$446:$E$508)</f>
        <v>23.086206896551722</v>
      </c>
      <c r="G393" s="8">
        <f t="shared" si="13"/>
        <v>121.28454070201644</v>
      </c>
      <c r="H393" s="8">
        <f>'1_Du_lieu'!F447/AVERAGE('1_Du_lieu'!$F$446:$F$508)*100</f>
        <v>160.08492569002121</v>
      </c>
      <c r="I393" s="8">
        <f>'1_Du_lieu'!G447/AVERAGE('1_Du_lieu'!$G$446:$G$508)*100</f>
        <v>104.67914438502675</v>
      </c>
      <c r="J393" s="8">
        <f>'1_Du_lieu'!H447/AVERAGE('1_Du_lieu'!$H$446:$H$508)*100</f>
        <v>111.63604549431321</v>
      </c>
      <c r="K393" s="5">
        <f>'1_Du_lieu'!D447</f>
        <v>1</v>
      </c>
    </row>
    <row r="394" spans="1:11" x14ac:dyDescent="0.25">
      <c r="A394" t="s">
        <v>89</v>
      </c>
      <c r="B394">
        <v>2024</v>
      </c>
      <c r="C394" s="5" t="str">
        <f>'1_Du_lieu'!C448</f>
        <v>ĐNB</v>
      </c>
      <c r="D394" s="5" t="str">
        <f t="shared" si="12"/>
        <v>2021–2024</v>
      </c>
      <c r="E394" s="8">
        <f>'1_Du_lieu'!E448</f>
        <v>51</v>
      </c>
      <c r="F394" s="9">
        <f>AVERAGE('1_Du_lieu'!$E$446:$E$508)</f>
        <v>23.086206896551722</v>
      </c>
      <c r="G394" s="8">
        <f t="shared" si="13"/>
        <v>220.91112770724425</v>
      </c>
      <c r="H394" s="8">
        <f>'1_Du_lieu'!F448/AVERAGE('1_Du_lieu'!$F$446:$F$508)*100</f>
        <v>147.77070063694268</v>
      </c>
      <c r="I394" s="8">
        <f>'1_Du_lieu'!G448/AVERAGE('1_Du_lieu'!$G$446:$G$508)*100</f>
        <v>182.2192513368984</v>
      </c>
      <c r="J394" s="8">
        <f>'1_Du_lieu'!H448/AVERAGE('1_Du_lieu'!$H$446:$H$508)*100</f>
        <v>319.6850393700787</v>
      </c>
      <c r="K394" s="5">
        <f>'1_Du_lieu'!D448</f>
        <v>1</v>
      </c>
    </row>
    <row r="395" spans="1:11" x14ac:dyDescent="0.25">
      <c r="A395" t="s">
        <v>90</v>
      </c>
      <c r="B395">
        <v>2024</v>
      </c>
      <c r="C395" s="5" t="str">
        <f>'1_Du_lieu'!C449</f>
        <v>ĐNB</v>
      </c>
      <c r="D395" s="5" t="str">
        <f t="shared" si="12"/>
        <v>2021–2024</v>
      </c>
      <c r="E395" s="8">
        <f>'1_Du_lieu'!E449</f>
        <v>16</v>
      </c>
      <c r="F395" s="9">
        <f>AVERAGE('1_Du_lieu'!$E$446:$E$508)</f>
        <v>23.086206896551722</v>
      </c>
      <c r="G395" s="8">
        <f t="shared" si="13"/>
        <v>69.30545182972368</v>
      </c>
      <c r="H395" s="8">
        <f>'1_Du_lieu'!F449/AVERAGE('1_Du_lieu'!$F$446:$F$508)*100</f>
        <v>73.885350318471339</v>
      </c>
      <c r="I395" s="8">
        <f>'1_Du_lieu'!G449/AVERAGE('1_Du_lieu'!$G$446:$G$508)*100</f>
        <v>62.032085561497333</v>
      </c>
      <c r="J395" s="8">
        <f>'1_Du_lieu'!H449/AVERAGE('1_Du_lieu'!$H$446:$H$508)*100</f>
        <v>76.115485564304464</v>
      </c>
      <c r="K395" s="5">
        <f>'1_Du_lieu'!D449</f>
        <v>1</v>
      </c>
    </row>
    <row r="396" spans="1:11" x14ac:dyDescent="0.25">
      <c r="A396" t="s">
        <v>91</v>
      </c>
      <c r="B396">
        <v>2024</v>
      </c>
      <c r="C396" s="5" t="str">
        <f>'1_Du_lieu'!C450</f>
        <v>BTB&amp;DHMT</v>
      </c>
      <c r="D396" s="5" t="str">
        <f t="shared" si="12"/>
        <v>2021–2024</v>
      </c>
      <c r="E396" s="8">
        <f>'1_Du_lieu'!E450</f>
        <v>20</v>
      </c>
      <c r="F396" s="9">
        <f>AVERAGE('1_Du_lieu'!$E$446:$E$508)</f>
        <v>23.086206896551722</v>
      </c>
      <c r="G396" s="8">
        <f t="shared" si="13"/>
        <v>86.63181478715461</v>
      </c>
      <c r="H396" s="8">
        <f>'1_Du_lieu'!F450/AVERAGE('1_Du_lieu'!$F$446:$F$508)*100</f>
        <v>82.094833687190373</v>
      </c>
      <c r="I396" s="8">
        <f>'1_Du_lieu'!G450/AVERAGE('1_Du_lieu'!$G$446:$G$508)*100</f>
        <v>96.925133689839569</v>
      </c>
      <c r="J396" s="8">
        <f>'1_Du_lieu'!H450/AVERAGE('1_Du_lieu'!$H$446:$H$508)*100</f>
        <v>71.041119860017503</v>
      </c>
      <c r="K396" s="5">
        <f>'1_Du_lieu'!D450</f>
        <v>0</v>
      </c>
    </row>
    <row r="397" spans="1:11" x14ac:dyDescent="0.25">
      <c r="A397" t="s">
        <v>93</v>
      </c>
      <c r="B397">
        <v>2024</v>
      </c>
      <c r="C397" s="5" t="str">
        <f>'1_Du_lieu'!C451</f>
        <v>BTB&amp;DHMT</v>
      </c>
      <c r="D397" s="5" t="str">
        <f t="shared" si="12"/>
        <v>2021–2024</v>
      </c>
      <c r="E397" s="8">
        <f>'1_Du_lieu'!E451</f>
        <v>21</v>
      </c>
      <c r="F397" s="9">
        <f>AVERAGE('1_Du_lieu'!$E$446:$E$508)</f>
        <v>23.086206896551722</v>
      </c>
      <c r="G397" s="8">
        <f t="shared" si="13"/>
        <v>90.963405526512332</v>
      </c>
      <c r="H397" s="8">
        <f>'1_Du_lieu'!F451/AVERAGE('1_Du_lieu'!$F$446:$F$508)*100</f>
        <v>110.828025477707</v>
      </c>
      <c r="I397" s="8">
        <f>'1_Du_lieu'!G451/AVERAGE('1_Du_lieu'!$G$446:$G$508)*100</f>
        <v>93.048128342245988</v>
      </c>
      <c r="J397" s="8">
        <f>'1_Du_lieu'!H451/AVERAGE('1_Du_lieu'!$H$446:$H$508)*100</f>
        <v>81.189851268591411</v>
      </c>
      <c r="K397" s="5">
        <f>'1_Du_lieu'!D451</f>
        <v>0</v>
      </c>
    </row>
    <row r="398" spans="1:11" x14ac:dyDescent="0.25">
      <c r="A398" t="s">
        <v>94</v>
      </c>
      <c r="B398">
        <v>2024</v>
      </c>
      <c r="C398" s="5" t="str">
        <f>'1_Du_lieu'!C452</f>
        <v>ĐBSCL</v>
      </c>
      <c r="D398" s="5" t="str">
        <f t="shared" si="12"/>
        <v>2021–2024</v>
      </c>
      <c r="E398" s="8">
        <f>'1_Du_lieu'!E452</f>
        <v>14</v>
      </c>
      <c r="F398" s="9">
        <f>AVERAGE('1_Du_lieu'!$E$446:$E$508)</f>
        <v>23.086206896551722</v>
      </c>
      <c r="G398" s="8">
        <f t="shared" si="13"/>
        <v>60.642270351008221</v>
      </c>
      <c r="H398" s="8">
        <f>'1_Du_lieu'!F452/AVERAGE('1_Du_lieu'!$F$446:$F$508)*100</f>
        <v>36.942675159235669</v>
      </c>
      <c r="I398" s="8">
        <f>'1_Du_lieu'!G452/AVERAGE('1_Du_lieu'!$G$446:$G$508)*100</f>
        <v>89.171122994652407</v>
      </c>
      <c r="J398" s="8">
        <f>'1_Du_lieu'!H452/AVERAGE('1_Du_lieu'!$H$446:$H$508)*100</f>
        <v>35.520559930008751</v>
      </c>
      <c r="K398" s="5">
        <f>'1_Du_lieu'!D452</f>
        <v>0</v>
      </c>
    </row>
    <row r="399" spans="1:11" x14ac:dyDescent="0.25">
      <c r="A399" t="s">
        <v>95</v>
      </c>
      <c r="B399">
        <v>2024</v>
      </c>
      <c r="C399" s="5" t="str">
        <f>'1_Du_lieu'!C453</f>
        <v>TDMNPB</v>
      </c>
      <c r="D399" s="5" t="str">
        <f t="shared" si="12"/>
        <v>2021–2024</v>
      </c>
      <c r="E399" s="8">
        <f>'1_Du_lieu'!E453</f>
        <v>22</v>
      </c>
      <c r="F399" s="9">
        <f>AVERAGE('1_Du_lieu'!$E$446:$E$508)</f>
        <v>23.086206896551722</v>
      </c>
      <c r="G399" s="8">
        <f t="shared" si="13"/>
        <v>95.294996265870054</v>
      </c>
      <c r="H399" s="8">
        <f>'1_Du_lieu'!F453/AVERAGE('1_Du_lieu'!$F$446:$F$508)*100</f>
        <v>94.409058740268932</v>
      </c>
      <c r="I399" s="8">
        <f>'1_Du_lieu'!G453/AVERAGE('1_Du_lieu'!$G$446:$G$508)*100</f>
        <v>104.67914438502675</v>
      </c>
      <c r="J399" s="8">
        <f>'1_Du_lieu'!H453/AVERAGE('1_Du_lieu'!$H$446:$H$508)*100</f>
        <v>86.264216972878387</v>
      </c>
      <c r="K399" s="5">
        <f>'1_Du_lieu'!D453</f>
        <v>0</v>
      </c>
    </row>
    <row r="400" spans="1:11" x14ac:dyDescent="0.25">
      <c r="A400" t="s">
        <v>97</v>
      </c>
      <c r="B400">
        <v>2024</v>
      </c>
      <c r="C400" s="5" t="str">
        <f>'1_Du_lieu'!C454</f>
        <v>TDMNPB</v>
      </c>
      <c r="D400" s="5" t="str">
        <f t="shared" si="12"/>
        <v>2021–2024</v>
      </c>
      <c r="E400" s="8">
        <f>'1_Du_lieu'!E454</f>
        <v>11</v>
      </c>
      <c r="F400" s="9">
        <f>AVERAGE('1_Du_lieu'!$E$446:$E$508)</f>
        <v>23.086206896551722</v>
      </c>
      <c r="G400" s="8">
        <f t="shared" si="13"/>
        <v>47.647498132935027</v>
      </c>
      <c r="H400" s="8">
        <f>'1_Du_lieu'!F454/AVERAGE('1_Du_lieu'!$F$446:$F$508)*100</f>
        <v>45.152158527954704</v>
      </c>
      <c r="I400" s="8">
        <f>'1_Du_lieu'!G454/AVERAGE('1_Du_lieu'!$G$446:$G$508)*100</f>
        <v>54.278074866310163</v>
      </c>
      <c r="J400" s="8">
        <f>'1_Du_lieu'!H454/AVERAGE('1_Du_lieu'!$H$446:$H$508)*100</f>
        <v>35.520559930008751</v>
      </c>
      <c r="K400" s="5">
        <f>'1_Du_lieu'!D454</f>
        <v>0</v>
      </c>
    </row>
    <row r="401" spans="1:11" x14ac:dyDescent="0.25">
      <c r="A401" t="s">
        <v>98</v>
      </c>
      <c r="B401">
        <v>2024</v>
      </c>
      <c r="C401" s="5" t="str">
        <f>'1_Du_lieu'!C455</f>
        <v>ĐBSH</v>
      </c>
      <c r="D401" s="5" t="str">
        <f t="shared" si="12"/>
        <v>2021–2024</v>
      </c>
      <c r="E401" s="8">
        <f>'1_Du_lieu'!E455</f>
        <v>30</v>
      </c>
      <c r="F401" s="9">
        <f>AVERAGE('1_Du_lieu'!$E$446:$E$508)</f>
        <v>23.086206896551722</v>
      </c>
      <c r="G401" s="8">
        <f t="shared" si="13"/>
        <v>129.94772218073189</v>
      </c>
      <c r="H401" s="8">
        <f>'1_Du_lieu'!F455/AVERAGE('1_Du_lieu'!$F$446:$F$508)*100</f>
        <v>110.828025477707</v>
      </c>
      <c r="I401" s="8">
        <f>'1_Du_lieu'!G455/AVERAGE('1_Du_lieu'!$G$446:$G$508)*100</f>
        <v>120.18716577540107</v>
      </c>
      <c r="J401" s="8">
        <f>'1_Du_lieu'!H455/AVERAGE('1_Du_lieu'!$H$446:$H$508)*100</f>
        <v>147.15660542432195</v>
      </c>
      <c r="K401" s="5">
        <f>'1_Du_lieu'!D455</f>
        <v>1</v>
      </c>
    </row>
    <row r="402" spans="1:11" x14ac:dyDescent="0.25">
      <c r="A402" t="s">
        <v>100</v>
      </c>
      <c r="B402">
        <v>2024</v>
      </c>
      <c r="C402" s="5" t="str">
        <f>'1_Du_lieu'!C456</f>
        <v>ĐBSCL</v>
      </c>
      <c r="D402" s="5" t="str">
        <f t="shared" si="12"/>
        <v>2021–2024</v>
      </c>
      <c r="E402" s="8">
        <f>'1_Du_lieu'!E456</f>
        <v>19</v>
      </c>
      <c r="F402" s="9">
        <f>AVERAGE('1_Du_lieu'!$E$446:$E$508)</f>
        <v>23.086206896551722</v>
      </c>
      <c r="G402" s="8">
        <f t="shared" si="13"/>
        <v>82.30022404779686</v>
      </c>
      <c r="H402" s="8">
        <f>'1_Du_lieu'!F456/AVERAGE('1_Du_lieu'!$F$446:$F$508)*100</f>
        <v>90.304317055909408</v>
      </c>
      <c r="I402" s="8">
        <f>'1_Du_lieu'!G456/AVERAGE('1_Du_lieu'!$G$446:$G$508)*100</f>
        <v>93.048128342245988</v>
      </c>
      <c r="J402" s="8">
        <f>'1_Du_lieu'!H456/AVERAGE('1_Du_lieu'!$H$446:$H$508)*100</f>
        <v>60.892388451443566</v>
      </c>
      <c r="K402" s="5">
        <f>'1_Du_lieu'!D456</f>
        <v>0</v>
      </c>
    </row>
    <row r="403" spans="1:11" x14ac:dyDescent="0.25">
      <c r="A403" t="s">
        <v>102</v>
      </c>
      <c r="B403">
        <v>2024</v>
      </c>
      <c r="C403" s="5" t="str">
        <f>'1_Du_lieu'!C458</f>
        <v>ĐBSCL</v>
      </c>
      <c r="D403" s="5" t="str">
        <f t="shared" si="12"/>
        <v>2021–2024</v>
      </c>
      <c r="E403" s="8">
        <f>'1_Du_lieu'!E458</f>
        <v>16</v>
      </c>
      <c r="F403" s="9">
        <f>AVERAGE('1_Du_lieu'!$E$446:$E$508)</f>
        <v>23.086206896551722</v>
      </c>
      <c r="G403" s="8">
        <f t="shared" si="13"/>
        <v>69.30545182972368</v>
      </c>
      <c r="H403" s="8">
        <f>'1_Du_lieu'!F458/AVERAGE('1_Du_lieu'!$F$446:$F$508)*100</f>
        <v>61.57112526539278</v>
      </c>
      <c r="I403" s="8">
        <f>'1_Du_lieu'!G458/AVERAGE('1_Du_lieu'!$G$446:$G$508)*100</f>
        <v>89.171122994652407</v>
      </c>
      <c r="J403" s="8">
        <f>'1_Du_lieu'!H458/AVERAGE('1_Du_lieu'!$H$446:$H$508)*100</f>
        <v>50.743657042869636</v>
      </c>
      <c r="K403" s="5">
        <f>'1_Du_lieu'!D458</f>
        <v>0</v>
      </c>
    </row>
    <row r="404" spans="1:11" x14ac:dyDescent="0.25">
      <c r="A404" t="s">
        <v>103</v>
      </c>
      <c r="B404">
        <v>2024</v>
      </c>
      <c r="C404" s="5" t="str">
        <f>'1_Du_lieu'!C459</f>
        <v>ĐBSCL</v>
      </c>
      <c r="D404" s="5" t="str">
        <f t="shared" si="12"/>
        <v>2021–2024</v>
      </c>
      <c r="E404" s="8">
        <f>'1_Du_lieu'!E459</f>
        <v>28</v>
      </c>
      <c r="F404" s="9">
        <f>AVERAGE('1_Du_lieu'!$E$446:$E$508)</f>
        <v>23.086206896551722</v>
      </c>
      <c r="G404" s="8">
        <f t="shared" si="13"/>
        <v>121.28454070201644</v>
      </c>
      <c r="H404" s="8">
        <f>'1_Du_lieu'!F459/AVERAGE('1_Du_lieu'!$F$446:$F$508)*100</f>
        <v>119.03750884642604</v>
      </c>
      <c r="I404" s="8">
        <f>'1_Du_lieu'!G459/AVERAGE('1_Du_lieu'!$G$446:$G$508)*100</f>
        <v>127.94117647058825</v>
      </c>
      <c r="J404" s="8">
        <f>'1_Du_lieu'!H459/AVERAGE('1_Du_lieu'!$H$446:$H$508)*100</f>
        <v>116.71041119860017</v>
      </c>
      <c r="K404" s="5">
        <f>'1_Du_lieu'!D459</f>
        <v>0</v>
      </c>
    </row>
    <row r="405" spans="1:11" x14ac:dyDescent="0.25">
      <c r="A405" t="s">
        <v>104</v>
      </c>
      <c r="B405">
        <v>2024</v>
      </c>
      <c r="C405" s="5" t="str">
        <f>'1_Du_lieu'!C460</f>
        <v>TN</v>
      </c>
      <c r="D405" s="5" t="str">
        <f t="shared" si="12"/>
        <v>2021–2024</v>
      </c>
      <c r="E405" s="8">
        <f>'1_Du_lieu'!E460</f>
        <v>15</v>
      </c>
      <c r="F405" s="9">
        <f>AVERAGE('1_Du_lieu'!$E$446:$E$508)</f>
        <v>23.086206896551722</v>
      </c>
      <c r="G405" s="8">
        <f t="shared" si="13"/>
        <v>64.973861090365943</v>
      </c>
      <c r="H405" s="8">
        <f>'1_Du_lieu'!F460/AVERAGE('1_Du_lieu'!$F$446:$F$508)*100</f>
        <v>57.466383581033263</v>
      </c>
      <c r="I405" s="8">
        <f>'1_Du_lieu'!G460/AVERAGE('1_Du_lieu'!$G$446:$G$508)*100</f>
        <v>62.032085561497333</v>
      </c>
      <c r="J405" s="8">
        <f>'1_Du_lieu'!H460/AVERAGE('1_Du_lieu'!$H$446:$H$508)*100</f>
        <v>76.115485564304464</v>
      </c>
      <c r="K405" s="5">
        <f>'1_Du_lieu'!D460</f>
        <v>0</v>
      </c>
    </row>
    <row r="406" spans="1:11" x14ac:dyDescent="0.25">
      <c r="A406" t="s">
        <v>107</v>
      </c>
      <c r="B406">
        <v>2024</v>
      </c>
      <c r="C406" s="5" t="str">
        <f>'1_Du_lieu'!C462</f>
        <v>ĐBSH</v>
      </c>
      <c r="D406" s="5" t="str">
        <f t="shared" si="12"/>
        <v>2021–2024</v>
      </c>
      <c r="E406" s="8">
        <f>'1_Du_lieu'!E462</f>
        <v>23</v>
      </c>
      <c r="F406" s="9">
        <f>AVERAGE('1_Du_lieu'!$E$446:$E$508)</f>
        <v>23.086206896551722</v>
      </c>
      <c r="G406" s="8">
        <f t="shared" si="13"/>
        <v>99.62658700522779</v>
      </c>
      <c r="H406" s="8">
        <f>'1_Du_lieu'!F462/AVERAGE('1_Du_lieu'!$F$446:$F$508)*100</f>
        <v>114.93276716206653</v>
      </c>
      <c r="I406" s="8">
        <f>'1_Du_lieu'!G462/AVERAGE('1_Du_lieu'!$G$446:$G$508)*100</f>
        <v>104.67914438502675</v>
      </c>
      <c r="J406" s="8">
        <f>'1_Du_lieu'!H462/AVERAGE('1_Du_lieu'!$H$446:$H$508)*100</f>
        <v>81.189851268591411</v>
      </c>
      <c r="K406" s="5">
        <f>'1_Du_lieu'!D462</f>
        <v>1</v>
      </c>
    </row>
    <row r="407" spans="1:11" x14ac:dyDescent="0.25">
      <c r="A407" t="s">
        <v>108</v>
      </c>
      <c r="B407">
        <v>2024</v>
      </c>
      <c r="C407" s="5" t="str">
        <f>'1_Du_lieu'!C463</f>
        <v>ĐBSH</v>
      </c>
      <c r="D407" s="5" t="str">
        <f t="shared" si="12"/>
        <v>2021–2024</v>
      </c>
      <c r="E407" s="8">
        <f>'1_Du_lieu'!E463</f>
        <v>84</v>
      </c>
      <c r="F407" s="9">
        <f>AVERAGE('1_Du_lieu'!$E$446:$E$508)</f>
        <v>23.086206896551722</v>
      </c>
      <c r="G407" s="8">
        <f t="shared" si="13"/>
        <v>363.85362210604933</v>
      </c>
      <c r="H407" s="8">
        <f>'1_Du_lieu'!F463/AVERAGE('1_Du_lieu'!$F$446:$F$508)*100</f>
        <v>398.15994338287328</v>
      </c>
      <c r="I407" s="8">
        <f>'1_Du_lieu'!G463/AVERAGE('1_Du_lieu'!$G$446:$G$508)*100</f>
        <v>298.52941176470591</v>
      </c>
      <c r="J407" s="8">
        <f>'1_Du_lieu'!H463/AVERAGE('1_Du_lieu'!$H$446:$H$508)*100</f>
        <v>431.32108486439193</v>
      </c>
      <c r="K407" s="5">
        <f>'1_Du_lieu'!D463</f>
        <v>1</v>
      </c>
    </row>
    <row r="408" spans="1:11" x14ac:dyDescent="0.25">
      <c r="A408" t="s">
        <v>109</v>
      </c>
      <c r="B408">
        <v>2024</v>
      </c>
      <c r="C408" s="5" t="str">
        <f>'1_Du_lieu'!C464</f>
        <v>BTB&amp;DHMT</v>
      </c>
      <c r="D408" s="5" t="str">
        <f t="shared" si="12"/>
        <v>2021–2024</v>
      </c>
      <c r="E408" s="8">
        <f>'1_Du_lieu'!E464</f>
        <v>18</v>
      </c>
      <c r="F408" s="9">
        <f>AVERAGE('1_Du_lieu'!$E$446:$E$508)</f>
        <v>23.086206896551722</v>
      </c>
      <c r="G408" s="8">
        <f t="shared" si="13"/>
        <v>77.968633308439138</v>
      </c>
      <c r="H408" s="8">
        <f>'1_Du_lieu'!F464/AVERAGE('1_Du_lieu'!$F$446:$F$508)*100</f>
        <v>73.885350318471339</v>
      </c>
      <c r="I408" s="8">
        <f>'1_Du_lieu'!G464/AVERAGE('1_Du_lieu'!$G$446:$G$508)*100</f>
        <v>81.417112299465245</v>
      </c>
      <c r="J408" s="8">
        <f>'1_Du_lieu'!H464/AVERAGE('1_Du_lieu'!$H$446:$H$508)*100</f>
        <v>71.041119860017503</v>
      </c>
      <c r="K408" s="5">
        <f>'1_Du_lieu'!D464</f>
        <v>0</v>
      </c>
    </row>
    <row r="409" spans="1:11" x14ac:dyDescent="0.25">
      <c r="A409" t="s">
        <v>110</v>
      </c>
      <c r="B409">
        <v>2024</v>
      </c>
      <c r="C409" s="5" t="str">
        <f>'1_Du_lieu'!C465</f>
        <v>TDMNPB</v>
      </c>
      <c r="D409" s="5" t="str">
        <f t="shared" si="12"/>
        <v>2021–2024</v>
      </c>
      <c r="E409" s="8">
        <f>'1_Du_lieu'!E465</f>
        <v>14</v>
      </c>
      <c r="F409" s="9">
        <f>AVERAGE('1_Du_lieu'!$E$446:$E$508)</f>
        <v>23.086206896551722</v>
      </c>
      <c r="G409" s="8">
        <f t="shared" si="13"/>
        <v>60.642270351008221</v>
      </c>
      <c r="H409" s="8">
        <f>'1_Du_lieu'!F465/AVERAGE('1_Du_lieu'!$F$446:$F$508)*100</f>
        <v>53.361641896673738</v>
      </c>
      <c r="I409" s="8">
        <f>'1_Du_lieu'!G465/AVERAGE('1_Du_lieu'!$G$446:$G$508)*100</f>
        <v>73.663101604278083</v>
      </c>
      <c r="J409" s="8">
        <f>'1_Du_lieu'!H465/AVERAGE('1_Du_lieu'!$H$446:$H$508)*100</f>
        <v>50.743657042869636</v>
      </c>
      <c r="K409" s="5">
        <f>'1_Du_lieu'!D465</f>
        <v>0</v>
      </c>
    </row>
    <row r="410" spans="1:11" x14ac:dyDescent="0.25">
      <c r="A410" t="s">
        <v>111</v>
      </c>
      <c r="B410">
        <v>2024</v>
      </c>
      <c r="C410" s="5" t="str">
        <f>'1_Du_lieu'!C466</f>
        <v>ĐBSH</v>
      </c>
      <c r="D410" s="5" t="str">
        <f t="shared" si="12"/>
        <v>2021–2024</v>
      </c>
      <c r="E410" s="8">
        <f>'1_Du_lieu'!E466</f>
        <v>27</v>
      </c>
      <c r="F410" s="9">
        <f>AVERAGE('1_Du_lieu'!$E$446:$E$508)</f>
        <v>23.086206896551722</v>
      </c>
      <c r="G410" s="8">
        <f t="shared" si="13"/>
        <v>116.95294996265871</v>
      </c>
      <c r="H410" s="8">
        <f>'1_Du_lieu'!F466/AVERAGE('1_Du_lieu'!$F$446:$F$508)*100</f>
        <v>131.35173389950458</v>
      </c>
      <c r="I410" s="8">
        <f>'1_Du_lieu'!G466/AVERAGE('1_Du_lieu'!$G$446:$G$508)*100</f>
        <v>108.55614973262033</v>
      </c>
      <c r="J410" s="8">
        <f>'1_Du_lieu'!H466/AVERAGE('1_Du_lieu'!$H$446:$H$508)*100</f>
        <v>116.71041119860017</v>
      </c>
      <c r="K410" s="5">
        <f>'1_Du_lieu'!D466</f>
        <v>1</v>
      </c>
    </row>
    <row r="411" spans="1:11" x14ac:dyDescent="0.25">
      <c r="A411" t="s">
        <v>112</v>
      </c>
      <c r="B411">
        <v>2024</v>
      </c>
      <c r="C411" s="5" t="str">
        <f>'1_Du_lieu'!C467</f>
        <v>ĐBSH</v>
      </c>
      <c r="D411" s="5" t="str">
        <f t="shared" si="12"/>
        <v>2021–2024</v>
      </c>
      <c r="E411" s="8">
        <f>'1_Du_lieu'!E467</f>
        <v>21</v>
      </c>
      <c r="F411" s="9">
        <f>AVERAGE('1_Du_lieu'!$E$446:$E$508)</f>
        <v>23.086206896551722</v>
      </c>
      <c r="G411" s="8">
        <f t="shared" si="13"/>
        <v>90.963405526512332</v>
      </c>
      <c r="H411" s="8">
        <f>'1_Du_lieu'!F467/AVERAGE('1_Du_lieu'!$F$446:$F$508)*100</f>
        <v>94.409058740268932</v>
      </c>
      <c r="I411" s="8">
        <f>'1_Du_lieu'!G467/AVERAGE('1_Du_lieu'!$G$446:$G$508)*100</f>
        <v>104.67914438502675</v>
      </c>
      <c r="J411" s="8">
        <f>'1_Du_lieu'!H467/AVERAGE('1_Du_lieu'!$H$446:$H$508)*100</f>
        <v>76.115485564304464</v>
      </c>
      <c r="K411" s="5">
        <f>'1_Du_lieu'!D467</f>
        <v>1</v>
      </c>
    </row>
    <row r="412" spans="1:11" x14ac:dyDescent="0.25">
      <c r="A412" t="s">
        <v>113</v>
      </c>
      <c r="B412">
        <v>2024</v>
      </c>
      <c r="C412" s="5" t="str">
        <f>'1_Du_lieu'!C468</f>
        <v>ĐBSH</v>
      </c>
      <c r="D412" s="5" t="str">
        <f t="shared" si="12"/>
        <v>2021–2024</v>
      </c>
      <c r="E412" s="8">
        <f>'1_Du_lieu'!E468</f>
        <v>36</v>
      </c>
      <c r="F412" s="9">
        <f>AVERAGE('1_Du_lieu'!$E$446:$E$508)</f>
        <v>23.086206896551722</v>
      </c>
      <c r="G412" s="8">
        <f t="shared" si="13"/>
        <v>155.93726661687828</v>
      </c>
      <c r="H412" s="8">
        <f>'1_Du_lieu'!F468/AVERAGE('1_Du_lieu'!$F$446:$F$508)*100</f>
        <v>164.18966737438075</v>
      </c>
      <c r="I412" s="8">
        <f>'1_Du_lieu'!G468/AVERAGE('1_Du_lieu'!$G$446:$G$508)*100</f>
        <v>131.81818181818181</v>
      </c>
      <c r="J412" s="8">
        <f>'1_Du_lieu'!H468/AVERAGE('1_Du_lieu'!$H$446:$H$508)*100</f>
        <v>182.6771653543307</v>
      </c>
      <c r="K412" s="5">
        <f>'1_Du_lieu'!D468</f>
        <v>1</v>
      </c>
    </row>
    <row r="413" spans="1:11" x14ac:dyDescent="0.25">
      <c r="A413" t="s">
        <v>114</v>
      </c>
      <c r="B413">
        <v>2024</v>
      </c>
      <c r="C413" s="5" t="str">
        <f>'1_Du_lieu'!C469</f>
        <v>ĐBSCL</v>
      </c>
      <c r="D413" s="5" t="str">
        <f t="shared" si="12"/>
        <v>2021–2024</v>
      </c>
      <c r="E413" s="8">
        <f>'1_Du_lieu'!E469</f>
        <v>15</v>
      </c>
      <c r="F413" s="9">
        <f>AVERAGE('1_Du_lieu'!$E$446:$E$508)</f>
        <v>23.086206896551722</v>
      </c>
      <c r="G413" s="8">
        <f t="shared" si="13"/>
        <v>64.973861090365943</v>
      </c>
      <c r="H413" s="8">
        <f>'1_Du_lieu'!F469/AVERAGE('1_Du_lieu'!$F$446:$F$508)*100</f>
        <v>53.361641896673738</v>
      </c>
      <c r="I413" s="8">
        <f>'1_Du_lieu'!G469/AVERAGE('1_Du_lieu'!$G$446:$G$508)*100</f>
        <v>77.54010695187165</v>
      </c>
      <c r="J413" s="8">
        <f>'1_Du_lieu'!H469/AVERAGE('1_Du_lieu'!$H$446:$H$508)*100</f>
        <v>50.743657042869636</v>
      </c>
      <c r="K413" s="5">
        <f>'1_Du_lieu'!D469</f>
        <v>0</v>
      </c>
    </row>
    <row r="414" spans="1:11" x14ac:dyDescent="0.25">
      <c r="A414" t="s">
        <v>115</v>
      </c>
      <c r="B414">
        <v>2024</v>
      </c>
      <c r="C414" s="5" t="str">
        <f>'1_Du_lieu'!C470</f>
        <v>BTB&amp;DHMT</v>
      </c>
      <c r="D414" s="5" t="str">
        <f t="shared" si="12"/>
        <v>2021–2024</v>
      </c>
      <c r="E414" s="8">
        <f>'1_Du_lieu'!E470</f>
        <v>25</v>
      </c>
      <c r="F414" s="9">
        <f>AVERAGE('1_Du_lieu'!$E$446:$E$508)</f>
        <v>23.086206896551722</v>
      </c>
      <c r="G414" s="8">
        <f t="shared" si="13"/>
        <v>108.28976848394325</v>
      </c>
      <c r="H414" s="8">
        <f>'1_Du_lieu'!F470/AVERAGE('1_Du_lieu'!$F$446:$F$508)*100</f>
        <v>143.66595895258317</v>
      </c>
      <c r="I414" s="8">
        <f>'1_Du_lieu'!G470/AVERAGE('1_Du_lieu'!$G$446:$G$508)*100</f>
        <v>85.294117647058826</v>
      </c>
      <c r="J414" s="8">
        <f>'1_Du_lieu'!H470/AVERAGE('1_Du_lieu'!$H$446:$H$508)*100</f>
        <v>111.63604549431321</v>
      </c>
      <c r="K414" s="5">
        <f>'1_Du_lieu'!D470</f>
        <v>0</v>
      </c>
    </row>
    <row r="415" spans="1:11" x14ac:dyDescent="0.25">
      <c r="A415" t="s">
        <v>116</v>
      </c>
      <c r="B415">
        <v>2024</v>
      </c>
      <c r="C415" s="5" t="str">
        <f>'1_Du_lieu'!C471</f>
        <v>ĐBSCL</v>
      </c>
      <c r="D415" s="5" t="str">
        <f t="shared" si="12"/>
        <v>2021–2024</v>
      </c>
      <c r="E415" s="8">
        <f>'1_Du_lieu'!E471</f>
        <v>17</v>
      </c>
      <c r="F415" s="9">
        <f>AVERAGE('1_Du_lieu'!$E$446:$E$508)</f>
        <v>23.086206896551722</v>
      </c>
      <c r="G415" s="8">
        <f t="shared" si="13"/>
        <v>73.637042569081416</v>
      </c>
      <c r="H415" s="8">
        <f>'1_Du_lieu'!F471/AVERAGE('1_Du_lieu'!$F$446:$F$508)*100</f>
        <v>61.57112526539278</v>
      </c>
      <c r="I415" s="8">
        <f>'1_Du_lieu'!G471/AVERAGE('1_Du_lieu'!$G$446:$G$508)*100</f>
        <v>93.048128342245988</v>
      </c>
      <c r="J415" s="8">
        <f>'1_Du_lieu'!H471/AVERAGE('1_Du_lieu'!$H$446:$H$508)*100</f>
        <v>60.892388451443566</v>
      </c>
      <c r="K415" s="5">
        <f>'1_Du_lieu'!D471</f>
        <v>0</v>
      </c>
    </row>
    <row r="416" spans="1:11" x14ac:dyDescent="0.25">
      <c r="A416" t="s">
        <v>117</v>
      </c>
      <c r="B416">
        <v>2024</v>
      </c>
      <c r="C416" s="5" t="str">
        <f>'1_Du_lieu'!C472</f>
        <v>TN</v>
      </c>
      <c r="D416" s="5" t="str">
        <f t="shared" si="12"/>
        <v>2021–2024</v>
      </c>
      <c r="E416" s="8">
        <f>'1_Du_lieu'!E472</f>
        <v>13</v>
      </c>
      <c r="F416" s="9">
        <f>AVERAGE('1_Du_lieu'!$E$446:$E$508)</f>
        <v>23.086206896551722</v>
      </c>
      <c r="G416" s="8">
        <f t="shared" si="13"/>
        <v>56.310679611650492</v>
      </c>
      <c r="H416" s="8">
        <f>'1_Du_lieu'!F472/AVERAGE('1_Du_lieu'!$F$446:$F$508)*100</f>
        <v>49.256900212314228</v>
      </c>
      <c r="I416" s="8">
        <f>'1_Du_lieu'!G472/AVERAGE('1_Du_lieu'!$G$446:$G$508)*100</f>
        <v>65.909090909090907</v>
      </c>
      <c r="J416" s="8">
        <f>'1_Du_lieu'!H472/AVERAGE('1_Du_lieu'!$H$446:$H$508)*100</f>
        <v>50.743657042869636</v>
      </c>
      <c r="K416" s="5">
        <f>'1_Du_lieu'!D472</f>
        <v>0</v>
      </c>
    </row>
    <row r="417" spans="1:11" x14ac:dyDescent="0.25">
      <c r="A417" t="s">
        <v>119</v>
      </c>
      <c r="B417">
        <v>2024</v>
      </c>
      <c r="C417" s="5" t="str">
        <f>'1_Du_lieu'!C474</f>
        <v>ĐBSCL</v>
      </c>
      <c r="D417" s="5" t="str">
        <f t="shared" si="12"/>
        <v>2021–2024</v>
      </c>
      <c r="E417" s="8">
        <f>'1_Du_lieu'!E474</f>
        <v>22</v>
      </c>
      <c r="F417" s="9">
        <f>AVERAGE('1_Du_lieu'!$E$446:$E$508)</f>
        <v>23.086206896551722</v>
      </c>
      <c r="G417" s="8">
        <f t="shared" si="13"/>
        <v>95.294996265870054</v>
      </c>
      <c r="H417" s="8">
        <f>'1_Du_lieu'!F474/AVERAGE('1_Du_lieu'!$F$446:$F$508)*100</f>
        <v>106.72328379334748</v>
      </c>
      <c r="I417" s="8">
        <f>'1_Du_lieu'!G474/AVERAGE('1_Du_lieu'!$G$446:$G$508)*100</f>
        <v>85.294117647058826</v>
      </c>
      <c r="J417" s="8">
        <f>'1_Du_lieu'!H474/AVERAGE('1_Du_lieu'!$H$446:$H$508)*100</f>
        <v>101.48731408573927</v>
      </c>
      <c r="K417" s="5">
        <f>'1_Du_lieu'!D474</f>
        <v>0</v>
      </c>
    </row>
    <row r="418" spans="1:11" x14ac:dyDescent="0.25">
      <c r="A418" t="s">
        <v>120</v>
      </c>
      <c r="B418">
        <v>2024</v>
      </c>
      <c r="C418" s="5" t="str">
        <f>'1_Du_lieu'!C475</f>
        <v>TDMNPB</v>
      </c>
      <c r="D418" s="5" t="str">
        <f t="shared" si="12"/>
        <v>2021–2024</v>
      </c>
      <c r="E418" s="8">
        <f>'1_Du_lieu'!E475</f>
        <v>20</v>
      </c>
      <c r="F418" s="9">
        <f>AVERAGE('1_Du_lieu'!$E$446:$E$508)</f>
        <v>23.086206896551722</v>
      </c>
      <c r="G418" s="8">
        <f t="shared" si="13"/>
        <v>86.63181478715461</v>
      </c>
      <c r="H418" s="8">
        <f>'1_Du_lieu'!F475/AVERAGE('1_Du_lieu'!$F$446:$F$508)*100</f>
        <v>65.67586694975229</v>
      </c>
      <c r="I418" s="8">
        <f>'1_Du_lieu'!G475/AVERAGE('1_Du_lieu'!$G$446:$G$508)*100</f>
        <v>93.048128342245988</v>
      </c>
      <c r="J418" s="8">
        <f>'1_Du_lieu'!H475/AVERAGE('1_Du_lieu'!$H$446:$H$508)*100</f>
        <v>91.338582677165348</v>
      </c>
      <c r="K418" s="5">
        <f>'1_Du_lieu'!D475</f>
        <v>0</v>
      </c>
    </row>
    <row r="419" spans="1:11" x14ac:dyDescent="0.25">
      <c r="A419" t="s">
        <v>121</v>
      </c>
      <c r="B419">
        <v>2024</v>
      </c>
      <c r="C419" s="5" t="str">
        <f>'1_Du_lieu'!C476</f>
        <v>TN</v>
      </c>
      <c r="D419" s="5" t="str">
        <f t="shared" si="12"/>
        <v>2021–2024</v>
      </c>
      <c r="E419" s="8">
        <f>'1_Du_lieu'!E476</f>
        <v>26</v>
      </c>
      <c r="F419" s="9">
        <f>AVERAGE('1_Du_lieu'!$E$446:$E$508)</f>
        <v>23.086206896551722</v>
      </c>
      <c r="G419" s="8">
        <f t="shared" si="13"/>
        <v>112.62135922330098</v>
      </c>
      <c r="H419" s="8">
        <f>'1_Du_lieu'!F476/AVERAGE('1_Du_lieu'!$F$446:$F$508)*100</f>
        <v>114.93276716206653</v>
      </c>
      <c r="I419" s="8">
        <f>'1_Du_lieu'!G476/AVERAGE('1_Du_lieu'!$G$446:$G$508)*100</f>
        <v>93.048128342245988</v>
      </c>
      <c r="J419" s="8">
        <f>'1_Du_lieu'!H476/AVERAGE('1_Du_lieu'!$H$446:$H$508)*100</f>
        <v>131.93350831146105</v>
      </c>
      <c r="K419" s="5">
        <f>'1_Du_lieu'!D476</f>
        <v>0</v>
      </c>
    </row>
    <row r="420" spans="1:11" x14ac:dyDescent="0.25">
      <c r="A420" t="s">
        <v>122</v>
      </c>
      <c r="B420">
        <v>2024</v>
      </c>
      <c r="C420" s="5" t="str">
        <f>'1_Du_lieu'!C477</f>
        <v>TDMNPB</v>
      </c>
      <c r="D420" s="5" t="str">
        <f t="shared" si="12"/>
        <v>2021–2024</v>
      </c>
      <c r="E420" s="8">
        <f>'1_Du_lieu'!E477</f>
        <v>13</v>
      </c>
      <c r="F420" s="9">
        <f>AVERAGE('1_Du_lieu'!$E$446:$E$508)</f>
        <v>23.086206896551722</v>
      </c>
      <c r="G420" s="8">
        <f t="shared" si="13"/>
        <v>56.310679611650492</v>
      </c>
      <c r="H420" s="8">
        <f>'1_Du_lieu'!F477/AVERAGE('1_Du_lieu'!$F$446:$F$508)*100</f>
        <v>49.256900212314228</v>
      </c>
      <c r="I420" s="8">
        <f>'1_Du_lieu'!G477/AVERAGE('1_Du_lieu'!$G$446:$G$508)*100</f>
        <v>65.909090909090907</v>
      </c>
      <c r="J420" s="8">
        <f>'1_Du_lieu'!H477/AVERAGE('1_Du_lieu'!$H$446:$H$508)*100</f>
        <v>45.669291338582674</v>
      </c>
      <c r="K420" s="5">
        <f>'1_Du_lieu'!D477</f>
        <v>0</v>
      </c>
    </row>
    <row r="421" spans="1:11" x14ac:dyDescent="0.25">
      <c r="A421" t="s">
        <v>123</v>
      </c>
      <c r="B421">
        <v>2024</v>
      </c>
      <c r="C421" s="5" t="str">
        <f>'1_Du_lieu'!C478</f>
        <v>ĐBSH</v>
      </c>
      <c r="D421" s="5" t="str">
        <f t="shared" si="12"/>
        <v>2021–2024</v>
      </c>
      <c r="E421" s="8">
        <f>'1_Du_lieu'!E478</f>
        <v>26</v>
      </c>
      <c r="F421" s="9">
        <f>AVERAGE('1_Du_lieu'!$E$446:$E$508)</f>
        <v>23.086206896551722</v>
      </c>
      <c r="G421" s="8">
        <f t="shared" si="13"/>
        <v>112.62135922330098</v>
      </c>
      <c r="H421" s="8">
        <f>'1_Du_lieu'!F478/AVERAGE('1_Du_lieu'!$F$446:$F$508)*100</f>
        <v>119.03750884642604</v>
      </c>
      <c r="I421" s="8">
        <f>'1_Du_lieu'!G478/AVERAGE('1_Du_lieu'!$G$446:$G$508)*100</f>
        <v>120.18716577540107</v>
      </c>
      <c r="J421" s="8">
        <f>'1_Du_lieu'!H478/AVERAGE('1_Du_lieu'!$H$446:$H$508)*100</f>
        <v>96.41294838145231</v>
      </c>
      <c r="K421" s="5">
        <f>'1_Du_lieu'!D478</f>
        <v>1</v>
      </c>
    </row>
    <row r="422" spans="1:11" x14ac:dyDescent="0.25">
      <c r="A422" t="s">
        <v>124</v>
      </c>
      <c r="B422">
        <v>2024</v>
      </c>
      <c r="C422" s="5" t="str">
        <f>'1_Du_lieu'!C479</f>
        <v>BTB&amp;DHMT</v>
      </c>
      <c r="D422" s="5" t="str">
        <f t="shared" si="12"/>
        <v>2021–2024</v>
      </c>
      <c r="E422" s="8">
        <f>'1_Du_lieu'!E479</f>
        <v>22</v>
      </c>
      <c r="F422" s="9">
        <f>AVERAGE('1_Du_lieu'!$E$446:$E$508)</f>
        <v>23.086206896551722</v>
      </c>
      <c r="G422" s="8">
        <f t="shared" si="13"/>
        <v>95.294996265870054</v>
      </c>
      <c r="H422" s="8">
        <f>'1_Du_lieu'!F479/AVERAGE('1_Du_lieu'!$F$446:$F$508)*100</f>
        <v>82.094833687190373</v>
      </c>
      <c r="I422" s="8">
        <f>'1_Du_lieu'!G479/AVERAGE('1_Du_lieu'!$G$446:$G$508)*100</f>
        <v>85.294117647058826</v>
      </c>
      <c r="J422" s="8">
        <f>'1_Du_lieu'!H479/AVERAGE('1_Du_lieu'!$H$446:$H$508)*100</f>
        <v>121.78477690288713</v>
      </c>
      <c r="K422" s="5">
        <f>'1_Du_lieu'!D479</f>
        <v>0</v>
      </c>
    </row>
    <row r="423" spans="1:11" x14ac:dyDescent="0.25">
      <c r="A423" t="s">
        <v>125</v>
      </c>
      <c r="B423">
        <v>2024</v>
      </c>
      <c r="C423" s="5" t="str">
        <f>'1_Du_lieu'!C480</f>
        <v>ĐBSH</v>
      </c>
      <c r="D423" s="5" t="str">
        <f t="shared" si="12"/>
        <v>2021–2024</v>
      </c>
      <c r="E423" s="8">
        <f>'1_Du_lieu'!E480</f>
        <v>24</v>
      </c>
      <c r="F423" s="9">
        <f>AVERAGE('1_Du_lieu'!$E$446:$E$508)</f>
        <v>23.086206896551722</v>
      </c>
      <c r="G423" s="8">
        <f t="shared" si="13"/>
        <v>103.95817774458551</v>
      </c>
      <c r="H423" s="8">
        <f>'1_Du_lieu'!F480/AVERAGE('1_Du_lieu'!$F$446:$F$508)*100</f>
        <v>98.513800424628457</v>
      </c>
      <c r="I423" s="8">
        <f>'1_Du_lieu'!G480/AVERAGE('1_Du_lieu'!$G$446:$G$508)*100</f>
        <v>104.67914438502675</v>
      </c>
      <c r="J423" s="8">
        <f>'1_Du_lieu'!H480/AVERAGE('1_Du_lieu'!$H$446:$H$508)*100</f>
        <v>106.56167979002625</v>
      </c>
      <c r="K423" s="5">
        <f>'1_Du_lieu'!D480</f>
        <v>1</v>
      </c>
    </row>
    <row r="424" spans="1:11" x14ac:dyDescent="0.25">
      <c r="A424" t="s">
        <v>126</v>
      </c>
      <c r="B424">
        <v>2024</v>
      </c>
      <c r="C424" s="5" t="str">
        <f>'1_Du_lieu'!C481</f>
        <v>BTB&amp;DHMT</v>
      </c>
      <c r="D424" s="5" t="str">
        <f t="shared" si="12"/>
        <v>2021–2024</v>
      </c>
      <c r="E424" s="8">
        <f>'1_Du_lieu'!E481</f>
        <v>17</v>
      </c>
      <c r="F424" s="9">
        <f>AVERAGE('1_Du_lieu'!$E$446:$E$508)</f>
        <v>23.086206896551722</v>
      </c>
      <c r="G424" s="8">
        <f t="shared" si="13"/>
        <v>73.637042569081416</v>
      </c>
      <c r="H424" s="8">
        <f>'1_Du_lieu'!F481/AVERAGE('1_Du_lieu'!$F$446:$F$508)*100</f>
        <v>82.094833687190373</v>
      </c>
      <c r="I424" s="8">
        <f>'1_Du_lieu'!G481/AVERAGE('1_Du_lieu'!$G$446:$G$508)*100</f>
        <v>69.786096256684488</v>
      </c>
      <c r="J424" s="8">
        <f>'1_Du_lieu'!H481/AVERAGE('1_Du_lieu'!$H$446:$H$508)*100</f>
        <v>65.966754155730527</v>
      </c>
      <c r="K424" s="5">
        <f>'1_Du_lieu'!D481</f>
        <v>0</v>
      </c>
    </row>
    <row r="425" spans="1:11" x14ac:dyDescent="0.25">
      <c r="A425" t="s">
        <v>127</v>
      </c>
      <c r="B425">
        <v>2024</v>
      </c>
      <c r="C425" s="5" t="str">
        <f>'1_Du_lieu'!C482</f>
        <v>TDMNPB</v>
      </c>
      <c r="D425" s="5" t="str">
        <f t="shared" si="12"/>
        <v>2021–2024</v>
      </c>
      <c r="E425" s="8">
        <f>'1_Du_lieu'!E482</f>
        <v>21</v>
      </c>
      <c r="F425" s="9">
        <f>AVERAGE('1_Du_lieu'!$E$446:$E$508)</f>
        <v>23.086206896551722</v>
      </c>
      <c r="G425" s="8">
        <f t="shared" si="13"/>
        <v>90.963405526512332</v>
      </c>
      <c r="H425" s="8">
        <f>'1_Du_lieu'!F482/AVERAGE('1_Du_lieu'!$F$446:$F$508)*100</f>
        <v>82.094833687190373</v>
      </c>
      <c r="I425" s="8">
        <f>'1_Du_lieu'!G482/AVERAGE('1_Du_lieu'!$G$446:$G$508)*100</f>
        <v>100.80213903743316</v>
      </c>
      <c r="J425" s="8">
        <f>'1_Du_lieu'!H482/AVERAGE('1_Du_lieu'!$H$446:$H$508)*100</f>
        <v>81.189851268591411</v>
      </c>
      <c r="K425" s="5">
        <f>'1_Du_lieu'!D482</f>
        <v>0</v>
      </c>
    </row>
    <row r="426" spans="1:11" x14ac:dyDescent="0.25">
      <c r="A426" t="s">
        <v>128</v>
      </c>
      <c r="B426">
        <v>2024</v>
      </c>
      <c r="C426" s="5" t="str">
        <f>'1_Du_lieu'!C483</f>
        <v>BTB&amp;DHMT</v>
      </c>
      <c r="D426" s="5" t="str">
        <f t="shared" si="12"/>
        <v>2021–2024</v>
      </c>
      <c r="E426" s="8">
        <f>'1_Du_lieu'!E483</f>
        <v>16</v>
      </c>
      <c r="F426" s="9">
        <f>AVERAGE('1_Du_lieu'!$E$446:$E$508)</f>
        <v>23.086206896551722</v>
      </c>
      <c r="G426" s="8">
        <f t="shared" si="13"/>
        <v>69.30545182972368</v>
      </c>
      <c r="H426" s="8">
        <f>'1_Du_lieu'!F483/AVERAGE('1_Du_lieu'!$F$446:$F$508)*100</f>
        <v>73.885350318471339</v>
      </c>
      <c r="I426" s="8">
        <f>'1_Du_lieu'!G483/AVERAGE('1_Du_lieu'!$G$446:$G$508)*100</f>
        <v>77.54010695187165</v>
      </c>
      <c r="J426" s="8">
        <f>'1_Du_lieu'!H483/AVERAGE('1_Du_lieu'!$H$446:$H$508)*100</f>
        <v>55.818022747156604</v>
      </c>
      <c r="K426" s="5">
        <f>'1_Du_lieu'!D483</f>
        <v>0</v>
      </c>
    </row>
    <row r="427" spans="1:11" x14ac:dyDescent="0.25">
      <c r="A427" t="s">
        <v>129</v>
      </c>
      <c r="B427">
        <v>2024</v>
      </c>
      <c r="C427" s="5" t="str">
        <f>'1_Du_lieu'!C484</f>
        <v>BTB&amp;DHMT</v>
      </c>
      <c r="D427" s="5" t="str">
        <f t="shared" si="12"/>
        <v>2021–2024</v>
      </c>
      <c r="E427" s="8">
        <f>'1_Du_lieu'!E484</f>
        <v>17</v>
      </c>
      <c r="F427" s="9">
        <f>AVERAGE('1_Du_lieu'!$E$446:$E$508)</f>
        <v>23.086206896551722</v>
      </c>
      <c r="G427" s="8">
        <f t="shared" si="13"/>
        <v>73.637042569081416</v>
      </c>
      <c r="H427" s="8">
        <f>'1_Du_lieu'!F484/AVERAGE('1_Du_lieu'!$F$446:$F$508)*100</f>
        <v>61.57112526539278</v>
      </c>
      <c r="I427" s="8">
        <f>'1_Du_lieu'!G484/AVERAGE('1_Du_lieu'!$G$446:$G$508)*100</f>
        <v>81.417112299465245</v>
      </c>
      <c r="J427" s="8">
        <f>'1_Du_lieu'!H484/AVERAGE('1_Du_lieu'!$H$446:$H$508)*100</f>
        <v>71.041119860017503</v>
      </c>
      <c r="K427" s="5">
        <f>'1_Du_lieu'!D484</f>
        <v>0</v>
      </c>
    </row>
    <row r="428" spans="1:11" x14ac:dyDescent="0.25">
      <c r="A428" t="s">
        <v>130</v>
      </c>
      <c r="B428">
        <v>2024</v>
      </c>
      <c r="C428" s="5" t="str">
        <f>'1_Du_lieu'!C485</f>
        <v>BTB&amp;DHMT</v>
      </c>
      <c r="D428" s="5" t="str">
        <f t="shared" si="12"/>
        <v>2021–2024</v>
      </c>
      <c r="E428" s="8">
        <f>'1_Du_lieu'!E485</f>
        <v>20</v>
      </c>
      <c r="F428" s="9">
        <f>AVERAGE('1_Du_lieu'!$E$446:$E$508)</f>
        <v>23.086206896551722</v>
      </c>
      <c r="G428" s="8">
        <f t="shared" si="13"/>
        <v>86.63181478715461</v>
      </c>
      <c r="H428" s="8">
        <f>'1_Du_lieu'!F485/AVERAGE('1_Du_lieu'!$F$446:$F$508)*100</f>
        <v>102.61854210898798</v>
      </c>
      <c r="I428" s="8">
        <f>'1_Du_lieu'!G485/AVERAGE('1_Du_lieu'!$G$446:$G$508)*100</f>
        <v>89.171122994652407</v>
      </c>
      <c r="J428" s="8">
        <f>'1_Du_lieu'!H485/AVERAGE('1_Du_lieu'!$H$446:$H$508)*100</f>
        <v>76.115485564304464</v>
      </c>
      <c r="K428" s="5">
        <f>'1_Du_lieu'!D485</f>
        <v>0</v>
      </c>
    </row>
    <row r="429" spans="1:11" x14ac:dyDescent="0.25">
      <c r="A429" t="s">
        <v>131</v>
      </c>
      <c r="B429">
        <v>2024</v>
      </c>
      <c r="C429" s="5" t="str">
        <f>'1_Du_lieu'!C486</f>
        <v>BTB&amp;DHMT</v>
      </c>
      <c r="D429" s="5" t="str">
        <f t="shared" si="12"/>
        <v>2021–2024</v>
      </c>
      <c r="E429" s="8">
        <f>'1_Du_lieu'!E486</f>
        <v>17</v>
      </c>
      <c r="F429" s="9">
        <f>AVERAGE('1_Du_lieu'!$E$446:$E$508)</f>
        <v>23.086206896551722</v>
      </c>
      <c r="G429" s="8">
        <f t="shared" si="13"/>
        <v>73.637042569081416</v>
      </c>
      <c r="H429" s="8">
        <f>'1_Du_lieu'!F486/AVERAGE('1_Du_lieu'!$F$446:$F$508)*100</f>
        <v>82.094833687190373</v>
      </c>
      <c r="I429" s="8">
        <f>'1_Du_lieu'!G486/AVERAGE('1_Du_lieu'!$G$446:$G$508)*100</f>
        <v>85.294117647058826</v>
      </c>
      <c r="J429" s="8">
        <f>'1_Du_lieu'!H486/AVERAGE('1_Du_lieu'!$H$446:$H$508)*100</f>
        <v>55.818022747156604</v>
      </c>
      <c r="K429" s="5">
        <f>'1_Du_lieu'!D486</f>
        <v>0</v>
      </c>
    </row>
    <row r="430" spans="1:11" x14ac:dyDescent="0.25">
      <c r="A430" t="s">
        <v>132</v>
      </c>
      <c r="B430">
        <v>2024</v>
      </c>
      <c r="C430" s="5" t="str">
        <f>'1_Du_lieu'!C487</f>
        <v>ĐBSH</v>
      </c>
      <c r="D430" s="5" t="str">
        <f t="shared" si="12"/>
        <v>2021–2024</v>
      </c>
      <c r="E430" s="8">
        <f>'1_Du_lieu'!E487</f>
        <v>26</v>
      </c>
      <c r="F430" s="9">
        <f>AVERAGE('1_Du_lieu'!$E$446:$E$508)</f>
        <v>23.086206896551722</v>
      </c>
      <c r="G430" s="8">
        <f t="shared" si="13"/>
        <v>112.62135922330098</v>
      </c>
      <c r="H430" s="8">
        <f>'1_Du_lieu'!F487/AVERAGE('1_Du_lieu'!$F$446:$F$508)*100</f>
        <v>110.828025477707</v>
      </c>
      <c r="I430" s="8">
        <f>'1_Du_lieu'!G487/AVERAGE('1_Du_lieu'!$G$446:$G$508)*100</f>
        <v>112.43315508021389</v>
      </c>
      <c r="J430" s="8">
        <f>'1_Du_lieu'!H487/AVERAGE('1_Du_lieu'!$H$446:$H$508)*100</f>
        <v>116.71041119860017</v>
      </c>
      <c r="K430" s="5">
        <f>'1_Du_lieu'!D487</f>
        <v>1</v>
      </c>
    </row>
    <row r="431" spans="1:11" x14ac:dyDescent="0.25">
      <c r="A431" t="s">
        <v>133</v>
      </c>
      <c r="B431">
        <v>2024</v>
      </c>
      <c r="C431" s="5" t="str">
        <f>'1_Du_lieu'!C488</f>
        <v>BTB&amp;DHMT</v>
      </c>
      <c r="D431" s="5" t="str">
        <f t="shared" si="12"/>
        <v>2021–2024</v>
      </c>
      <c r="E431" s="8">
        <f>'1_Du_lieu'!E488</f>
        <v>17</v>
      </c>
      <c r="F431" s="9">
        <f>AVERAGE('1_Du_lieu'!$E$446:$E$508)</f>
        <v>23.086206896551722</v>
      </c>
      <c r="G431" s="8">
        <f t="shared" si="13"/>
        <v>73.637042569081416</v>
      </c>
      <c r="H431" s="8">
        <f>'1_Du_lieu'!F488/AVERAGE('1_Du_lieu'!$F$446:$F$508)*100</f>
        <v>61.57112526539278</v>
      </c>
      <c r="I431" s="8">
        <f>'1_Du_lieu'!G488/AVERAGE('1_Du_lieu'!$G$446:$G$508)*100</f>
        <v>81.417112299465245</v>
      </c>
      <c r="J431" s="8">
        <f>'1_Du_lieu'!H488/AVERAGE('1_Du_lieu'!$H$446:$H$508)*100</f>
        <v>71.041119860017503</v>
      </c>
      <c r="K431" s="5">
        <f>'1_Du_lieu'!D488</f>
        <v>0</v>
      </c>
    </row>
    <row r="432" spans="1:11" x14ac:dyDescent="0.25">
      <c r="A432" t="s">
        <v>134</v>
      </c>
      <c r="B432">
        <v>2024</v>
      </c>
      <c r="C432" s="5" t="str">
        <f>'1_Du_lieu'!C489</f>
        <v>ĐBSCL</v>
      </c>
      <c r="D432" s="5" t="str">
        <f t="shared" si="12"/>
        <v>2021–2024</v>
      </c>
      <c r="E432" s="8">
        <f>'1_Du_lieu'!E489</f>
        <v>14</v>
      </c>
      <c r="F432" s="9">
        <f>AVERAGE('1_Du_lieu'!$E$446:$E$508)</f>
        <v>23.086206896551722</v>
      </c>
      <c r="G432" s="8">
        <f t="shared" si="13"/>
        <v>60.642270351008221</v>
      </c>
      <c r="H432" s="8">
        <f>'1_Du_lieu'!F489/AVERAGE('1_Du_lieu'!$F$446:$F$508)*100</f>
        <v>45.152158527954704</v>
      </c>
      <c r="I432" s="8">
        <f>'1_Du_lieu'!G489/AVERAGE('1_Du_lieu'!$G$446:$G$508)*100</f>
        <v>85.294117647058826</v>
      </c>
      <c r="J432" s="8">
        <f>'1_Du_lieu'!H489/AVERAGE('1_Du_lieu'!$H$446:$H$508)*100</f>
        <v>40.594925634295706</v>
      </c>
      <c r="K432" s="5">
        <f>'1_Du_lieu'!D489</f>
        <v>0</v>
      </c>
    </row>
    <row r="433" spans="1:11" x14ac:dyDescent="0.25">
      <c r="A433" t="s">
        <v>136</v>
      </c>
      <c r="B433">
        <v>2024</v>
      </c>
      <c r="C433" s="5" t="str">
        <f>'1_Du_lieu'!C491</f>
        <v>ĐNB</v>
      </c>
      <c r="D433" s="5" t="str">
        <f t="shared" si="12"/>
        <v>2021–2024</v>
      </c>
      <c r="E433" s="8">
        <f>'1_Du_lieu'!E491</f>
        <v>87</v>
      </c>
      <c r="F433" s="9">
        <f>AVERAGE('1_Du_lieu'!$E$446:$E$508)</f>
        <v>23.086206896551722</v>
      </c>
      <c r="G433" s="8">
        <f t="shared" si="13"/>
        <v>376.84839432412247</v>
      </c>
      <c r="H433" s="8">
        <f>'1_Du_lieu'!F491/AVERAGE('1_Du_lieu'!$F$446:$F$508)*100</f>
        <v>402.26468506723279</v>
      </c>
      <c r="I433" s="8">
        <f>'1_Du_lieu'!G491/AVERAGE('1_Du_lieu'!$G$446:$G$508)*100</f>
        <v>283.02139037433153</v>
      </c>
      <c r="J433" s="8">
        <f>'1_Du_lieu'!H491/AVERAGE('1_Du_lieu'!$H$446:$H$508)*100</f>
        <v>487.13910761154852</v>
      </c>
      <c r="K433" s="5">
        <f>'1_Du_lieu'!D491</f>
        <v>1</v>
      </c>
    </row>
    <row r="434" spans="1:11" x14ac:dyDescent="0.25">
      <c r="A434" t="s">
        <v>137</v>
      </c>
      <c r="B434">
        <v>2024</v>
      </c>
      <c r="C434" s="5" t="str">
        <f>'1_Du_lieu'!C492</f>
        <v>BTB&amp;DHMT</v>
      </c>
      <c r="D434" s="5" t="str">
        <f t="shared" si="12"/>
        <v>2021–2024</v>
      </c>
      <c r="E434" s="8">
        <f>'1_Du_lieu'!E492</f>
        <v>23</v>
      </c>
      <c r="F434" s="9">
        <f>AVERAGE('1_Du_lieu'!$E$446:$E$508)</f>
        <v>23.086206896551722</v>
      </c>
      <c r="G434" s="8">
        <f t="shared" si="13"/>
        <v>99.62658700522779</v>
      </c>
      <c r="H434" s="8">
        <f>'1_Du_lieu'!F492/AVERAGE('1_Du_lieu'!$F$446:$F$508)*100</f>
        <v>86.199575371549898</v>
      </c>
      <c r="I434" s="8">
        <f>'1_Du_lieu'!G492/AVERAGE('1_Du_lieu'!$G$446:$G$508)*100</f>
        <v>100.80213903743316</v>
      </c>
      <c r="J434" s="8">
        <f>'1_Du_lieu'!H492/AVERAGE('1_Du_lieu'!$H$446:$H$508)*100</f>
        <v>111.63604549431321</v>
      </c>
      <c r="K434" s="5">
        <f>'1_Du_lieu'!D492</f>
        <v>0</v>
      </c>
    </row>
    <row r="435" spans="1:11" x14ac:dyDescent="0.25">
      <c r="A435" t="s">
        <v>138</v>
      </c>
      <c r="B435">
        <v>2024</v>
      </c>
      <c r="C435" s="5" t="str">
        <f>'1_Du_lieu'!C493</f>
        <v>ĐBSH</v>
      </c>
      <c r="D435" s="5" t="str">
        <f t="shared" si="12"/>
        <v>2021–2024</v>
      </c>
      <c r="E435" s="8">
        <f>'1_Du_lieu'!E493</f>
        <v>22</v>
      </c>
      <c r="F435" s="9">
        <f>AVERAGE('1_Du_lieu'!$E$446:$E$508)</f>
        <v>23.086206896551722</v>
      </c>
      <c r="G435" s="8">
        <f t="shared" si="13"/>
        <v>95.294996265870054</v>
      </c>
      <c r="H435" s="8">
        <f>'1_Du_lieu'!F493/AVERAGE('1_Du_lieu'!$F$446:$F$508)*100</f>
        <v>106.72328379334748</v>
      </c>
      <c r="I435" s="8">
        <f>'1_Du_lieu'!G493/AVERAGE('1_Du_lieu'!$G$446:$G$508)*100</f>
        <v>100.80213903743316</v>
      </c>
      <c r="J435" s="8">
        <f>'1_Du_lieu'!H493/AVERAGE('1_Du_lieu'!$H$446:$H$508)*100</f>
        <v>76.115485564304464</v>
      </c>
      <c r="K435" s="5">
        <f>'1_Du_lieu'!D493</f>
        <v>1</v>
      </c>
    </row>
    <row r="436" spans="1:11" x14ac:dyDescent="0.25">
      <c r="A436" t="s">
        <v>139</v>
      </c>
      <c r="B436">
        <v>2024</v>
      </c>
      <c r="C436" s="5" t="str">
        <f>'1_Du_lieu'!C494</f>
        <v>TDMNPB</v>
      </c>
      <c r="D436" s="5" t="str">
        <f t="shared" si="12"/>
        <v>2021–2024</v>
      </c>
      <c r="E436" s="8">
        <f>'1_Du_lieu'!E494</f>
        <v>20</v>
      </c>
      <c r="F436" s="9">
        <f>AVERAGE('1_Du_lieu'!$E$446:$E$508)</f>
        <v>23.086206896551722</v>
      </c>
      <c r="G436" s="8">
        <f t="shared" si="13"/>
        <v>86.63181478715461</v>
      </c>
      <c r="H436" s="8">
        <f>'1_Du_lieu'!F494/AVERAGE('1_Du_lieu'!$F$446:$F$508)*100</f>
        <v>86.199575371549898</v>
      </c>
      <c r="I436" s="8">
        <f>'1_Du_lieu'!G494/AVERAGE('1_Du_lieu'!$G$446:$G$508)*100</f>
        <v>100.80213903743316</v>
      </c>
      <c r="J436" s="8">
        <f>'1_Du_lieu'!H494/AVERAGE('1_Du_lieu'!$H$446:$H$508)*100</f>
        <v>71.041119860017503</v>
      </c>
      <c r="K436" s="5">
        <f>'1_Du_lieu'!D494</f>
        <v>0</v>
      </c>
    </row>
    <row r="437" spans="1:11" x14ac:dyDescent="0.25">
      <c r="A437" t="s">
        <v>140</v>
      </c>
      <c r="B437">
        <v>2024</v>
      </c>
      <c r="C437" s="5" t="str">
        <f>'1_Du_lieu'!C495</f>
        <v>BTB&amp;DHMT</v>
      </c>
      <c r="D437" s="5" t="str">
        <f t="shared" si="12"/>
        <v>2021–2024</v>
      </c>
      <c r="E437" s="8">
        <f>'1_Du_lieu'!E495</f>
        <v>22</v>
      </c>
      <c r="F437" s="9">
        <f>AVERAGE('1_Du_lieu'!$E$446:$E$508)</f>
        <v>23.086206896551722</v>
      </c>
      <c r="G437" s="8">
        <f t="shared" si="13"/>
        <v>95.294996265870054</v>
      </c>
      <c r="H437" s="8">
        <f>'1_Du_lieu'!F495/AVERAGE('1_Du_lieu'!$F$446:$F$508)*100</f>
        <v>143.66595895258317</v>
      </c>
      <c r="I437" s="8">
        <f>'1_Du_lieu'!G495/AVERAGE('1_Du_lieu'!$G$446:$G$508)*100</f>
        <v>96.925133689839569</v>
      </c>
      <c r="J437" s="8">
        <f>'1_Du_lieu'!H495/AVERAGE('1_Du_lieu'!$H$446:$H$508)*100</f>
        <v>65.966754155730527</v>
      </c>
      <c r="K437" s="5">
        <f>'1_Du_lieu'!D495</f>
        <v>0</v>
      </c>
    </row>
    <row r="438" spans="1:11" x14ac:dyDescent="0.25">
      <c r="A438" t="s">
        <v>141</v>
      </c>
      <c r="B438">
        <v>2024</v>
      </c>
      <c r="C438" s="5" t="str">
        <f>'1_Du_lieu'!C496</f>
        <v>ĐBSCL</v>
      </c>
      <c r="D438" s="5" t="str">
        <f t="shared" si="12"/>
        <v>2021–2024</v>
      </c>
      <c r="E438" s="8">
        <f>'1_Du_lieu'!E496</f>
        <v>17</v>
      </c>
      <c r="F438" s="9">
        <f>AVERAGE('1_Du_lieu'!$E$446:$E$508)</f>
        <v>23.086206896551722</v>
      </c>
      <c r="G438" s="8">
        <f t="shared" si="13"/>
        <v>73.637042569081416</v>
      </c>
      <c r="H438" s="8">
        <f>'1_Du_lieu'!F496/AVERAGE('1_Du_lieu'!$F$446:$F$508)*100</f>
        <v>65.67586694975229</v>
      </c>
      <c r="I438" s="8">
        <f>'1_Du_lieu'!G496/AVERAGE('1_Du_lieu'!$G$446:$G$508)*100</f>
        <v>89.171122994652407</v>
      </c>
      <c r="J438" s="8">
        <f>'1_Du_lieu'!H496/AVERAGE('1_Du_lieu'!$H$446:$H$508)*100</f>
        <v>55.818022747156604</v>
      </c>
      <c r="K438" s="5">
        <f>'1_Du_lieu'!D496</f>
        <v>0</v>
      </c>
    </row>
    <row r="439" spans="1:11" x14ac:dyDescent="0.25">
      <c r="A439" t="s">
        <v>142</v>
      </c>
      <c r="B439">
        <v>2024</v>
      </c>
      <c r="C439" s="5" t="str">
        <f>'1_Du_lieu'!C497</f>
        <v>ĐBSCL</v>
      </c>
      <c r="D439" s="5" t="str">
        <f t="shared" si="12"/>
        <v>2021–2024</v>
      </c>
      <c r="E439" s="8">
        <f>'1_Du_lieu'!E497</f>
        <v>14</v>
      </c>
      <c r="F439" s="9">
        <f>AVERAGE('1_Du_lieu'!$E$446:$E$508)</f>
        <v>23.086206896551722</v>
      </c>
      <c r="G439" s="8">
        <f t="shared" si="13"/>
        <v>60.642270351008221</v>
      </c>
      <c r="H439" s="8">
        <f>'1_Du_lieu'!F497/AVERAGE('1_Du_lieu'!$F$446:$F$508)*100</f>
        <v>41.047416843595187</v>
      </c>
      <c r="I439" s="8">
        <f>'1_Du_lieu'!G497/AVERAGE('1_Du_lieu'!$G$446:$G$508)*100</f>
        <v>85.294117647058826</v>
      </c>
      <c r="J439" s="8">
        <f>'1_Du_lieu'!H497/AVERAGE('1_Du_lieu'!$H$446:$H$508)*100</f>
        <v>45.669291338582674</v>
      </c>
      <c r="K439" s="5">
        <f>'1_Du_lieu'!D497</f>
        <v>0</v>
      </c>
    </row>
    <row r="440" spans="1:11" x14ac:dyDescent="0.25">
      <c r="A440" t="s">
        <v>143</v>
      </c>
      <c r="B440">
        <v>2024</v>
      </c>
      <c r="C440" s="5" t="str">
        <f>'1_Du_lieu'!C498</f>
        <v>TDMNPB</v>
      </c>
      <c r="D440" s="5" t="str">
        <f t="shared" si="12"/>
        <v>2021–2024</v>
      </c>
      <c r="E440" s="8">
        <f>'1_Du_lieu'!E498</f>
        <v>13</v>
      </c>
      <c r="F440" s="9">
        <f>AVERAGE('1_Du_lieu'!$E$446:$E$508)</f>
        <v>23.086206896551722</v>
      </c>
      <c r="G440" s="8">
        <f t="shared" si="13"/>
        <v>56.310679611650492</v>
      </c>
      <c r="H440" s="8">
        <f>'1_Du_lieu'!F498/AVERAGE('1_Du_lieu'!$F$446:$F$508)*100</f>
        <v>65.67586694975229</v>
      </c>
      <c r="I440" s="8">
        <f>'1_Du_lieu'!G498/AVERAGE('1_Du_lieu'!$G$446:$G$508)*100</f>
        <v>69.786096256684488</v>
      </c>
      <c r="J440" s="8">
        <f>'1_Du_lieu'!H498/AVERAGE('1_Du_lieu'!$H$446:$H$508)*100</f>
        <v>35.520559930008751</v>
      </c>
      <c r="K440" s="5">
        <f>'1_Du_lieu'!D498</f>
        <v>0</v>
      </c>
    </row>
    <row r="441" spans="1:11" x14ac:dyDescent="0.25">
      <c r="A441" t="s">
        <v>144</v>
      </c>
      <c r="B441">
        <v>2024</v>
      </c>
      <c r="C441" s="5" t="str">
        <f>'1_Du_lieu'!C499</f>
        <v>ĐNB</v>
      </c>
      <c r="D441" s="5" t="str">
        <f t="shared" si="12"/>
        <v>2021–2024</v>
      </c>
      <c r="E441" s="8">
        <f>'1_Du_lieu'!E499</f>
        <v>19</v>
      </c>
      <c r="F441" s="9">
        <f>AVERAGE('1_Du_lieu'!$E$446:$E$508)</f>
        <v>23.086206896551722</v>
      </c>
      <c r="G441" s="8">
        <f t="shared" si="13"/>
        <v>82.30022404779686</v>
      </c>
      <c r="H441" s="8">
        <f>'1_Du_lieu'!F499/AVERAGE('1_Du_lieu'!$F$446:$F$508)*100</f>
        <v>69.780608634111815</v>
      </c>
      <c r="I441" s="8">
        <f>'1_Du_lieu'!G499/AVERAGE('1_Du_lieu'!$G$446:$G$508)*100</f>
        <v>100.80213903743316</v>
      </c>
      <c r="J441" s="8">
        <f>'1_Du_lieu'!H499/AVERAGE('1_Du_lieu'!$H$446:$H$508)*100</f>
        <v>65.966754155730527</v>
      </c>
      <c r="K441" s="5">
        <f>'1_Du_lieu'!D499</f>
        <v>1</v>
      </c>
    </row>
    <row r="442" spans="1:11" x14ac:dyDescent="0.25">
      <c r="A442" t="s">
        <v>145</v>
      </c>
      <c r="B442">
        <v>2024</v>
      </c>
      <c r="C442" s="5" t="str">
        <f>'1_Du_lieu'!C500</f>
        <v>ĐBSCL</v>
      </c>
      <c r="D442" s="5" t="str">
        <f t="shared" si="12"/>
        <v>2021–2024</v>
      </c>
      <c r="E442" s="8">
        <f>'1_Du_lieu'!E500</f>
        <v>14</v>
      </c>
      <c r="F442" s="9">
        <f>AVERAGE('1_Du_lieu'!$E$446:$E$508)</f>
        <v>23.086206896551722</v>
      </c>
      <c r="G442" s="8">
        <f t="shared" si="13"/>
        <v>60.642270351008221</v>
      </c>
      <c r="H442" s="8">
        <f>'1_Du_lieu'!F500/AVERAGE('1_Du_lieu'!$F$446:$F$508)*100</f>
        <v>53.361641896673738</v>
      </c>
      <c r="I442" s="8">
        <f>'1_Du_lieu'!G500/AVERAGE('1_Du_lieu'!$G$446:$G$508)*100</f>
        <v>77.54010695187165</v>
      </c>
      <c r="J442" s="8">
        <f>'1_Du_lieu'!H500/AVERAGE('1_Du_lieu'!$H$446:$H$508)*100</f>
        <v>40.594925634295706</v>
      </c>
      <c r="K442" s="5">
        <f>'1_Du_lieu'!D500</f>
        <v>0</v>
      </c>
    </row>
    <row r="443" spans="1:11" x14ac:dyDescent="0.25">
      <c r="A443" t="s">
        <v>146</v>
      </c>
      <c r="B443">
        <v>2024</v>
      </c>
      <c r="C443" s="5" t="str">
        <f>'1_Du_lieu'!C501</f>
        <v>ĐBSH</v>
      </c>
      <c r="D443" s="5" t="str">
        <f t="shared" si="12"/>
        <v>2021–2024</v>
      </c>
      <c r="E443" s="8">
        <f>'1_Du_lieu'!E501</f>
        <v>24</v>
      </c>
      <c r="F443" s="9">
        <f>AVERAGE('1_Du_lieu'!$E$446:$E$508)</f>
        <v>23.086206896551722</v>
      </c>
      <c r="G443" s="8">
        <f t="shared" si="13"/>
        <v>103.95817774458551</v>
      </c>
      <c r="H443" s="8">
        <f>'1_Du_lieu'!F501/AVERAGE('1_Du_lieu'!$F$446:$F$508)*100</f>
        <v>98.513800424628457</v>
      </c>
      <c r="I443" s="8">
        <f>'1_Du_lieu'!G501/AVERAGE('1_Du_lieu'!$G$446:$G$508)*100</f>
        <v>112.43315508021389</v>
      </c>
      <c r="J443" s="8">
        <f>'1_Du_lieu'!H501/AVERAGE('1_Du_lieu'!$H$446:$H$508)*100</f>
        <v>96.41294838145231</v>
      </c>
      <c r="K443" s="5">
        <f>'1_Du_lieu'!D501</f>
        <v>1</v>
      </c>
    </row>
    <row r="444" spans="1:11" x14ac:dyDescent="0.25">
      <c r="A444" t="s">
        <v>147</v>
      </c>
      <c r="B444">
        <v>2024</v>
      </c>
      <c r="C444" s="5" t="str">
        <f>'1_Du_lieu'!C502</f>
        <v>TDMNPB</v>
      </c>
      <c r="D444" s="5" t="str">
        <f t="shared" si="12"/>
        <v>2021–2024</v>
      </c>
      <c r="E444" s="8">
        <f>'1_Du_lieu'!E502</f>
        <v>14</v>
      </c>
      <c r="F444" s="9">
        <f>AVERAGE('1_Du_lieu'!$E$446:$E$508)</f>
        <v>23.086206896551722</v>
      </c>
      <c r="G444" s="8">
        <f t="shared" si="13"/>
        <v>60.642270351008221</v>
      </c>
      <c r="H444" s="8">
        <f>'1_Du_lieu'!F502/AVERAGE('1_Du_lieu'!$F$446:$F$508)*100</f>
        <v>57.466383581033263</v>
      </c>
      <c r="I444" s="8">
        <f>'1_Du_lieu'!G502/AVERAGE('1_Du_lieu'!$G$446:$G$508)*100</f>
        <v>62.032085561497333</v>
      </c>
      <c r="J444" s="8">
        <f>'1_Du_lieu'!H502/AVERAGE('1_Du_lieu'!$H$446:$H$508)*100</f>
        <v>65.966754155730527</v>
      </c>
      <c r="K444" s="5">
        <f>'1_Du_lieu'!D502</f>
        <v>0</v>
      </c>
    </row>
    <row r="445" spans="1:11" x14ac:dyDescent="0.25">
      <c r="A445" t="s">
        <v>149</v>
      </c>
      <c r="B445">
        <v>2024</v>
      </c>
      <c r="C445" s="5" t="str">
        <f>'1_Du_lieu'!C504</f>
        <v>BTB&amp;DHMT</v>
      </c>
      <c r="D445" s="5" t="str">
        <f t="shared" si="12"/>
        <v>2021–2024</v>
      </c>
      <c r="E445" s="8">
        <f>'1_Du_lieu'!E504</f>
        <v>47</v>
      </c>
      <c r="F445" s="9">
        <f>AVERAGE('1_Du_lieu'!$E$446:$E$508)</f>
        <v>23.086206896551722</v>
      </c>
      <c r="G445" s="8">
        <f t="shared" si="13"/>
        <v>203.58476474981333</v>
      </c>
      <c r="H445" s="8">
        <f>'1_Du_lieu'!F504/AVERAGE('1_Du_lieu'!$F$446:$F$508)*100</f>
        <v>287.33191790516634</v>
      </c>
      <c r="I445" s="8">
        <f>'1_Du_lieu'!G504/AVERAGE('1_Du_lieu'!$G$446:$G$508)*100</f>
        <v>120.18716577540107</v>
      </c>
      <c r="J445" s="8">
        <f>'1_Du_lieu'!H504/AVERAGE('1_Du_lieu'!$H$446:$H$508)*100</f>
        <v>263.86701662292211</v>
      </c>
      <c r="K445" s="5">
        <f>'1_Du_lieu'!D504</f>
        <v>0</v>
      </c>
    </row>
    <row r="446" spans="1:11" x14ac:dyDescent="0.25">
      <c r="A446" t="s">
        <v>150</v>
      </c>
      <c r="B446">
        <v>2024</v>
      </c>
      <c r="C446" s="5" t="str">
        <f>'1_Du_lieu'!C505</f>
        <v>TN</v>
      </c>
      <c r="D446" s="5" t="str">
        <f t="shared" si="12"/>
        <v>2021–2024</v>
      </c>
      <c r="E446" s="8">
        <f>'1_Du_lieu'!E505</f>
        <v>23</v>
      </c>
      <c r="F446" s="9">
        <f>AVERAGE('1_Du_lieu'!$E$446:$E$508)</f>
        <v>23.086206896551722</v>
      </c>
      <c r="G446" s="8">
        <f t="shared" si="13"/>
        <v>99.62658700522779</v>
      </c>
      <c r="H446" s="8">
        <f>'1_Du_lieu'!F505/AVERAGE('1_Du_lieu'!$F$446:$F$508)*100</f>
        <v>90.304317055909408</v>
      </c>
      <c r="I446" s="8">
        <f>'1_Du_lieu'!G505/AVERAGE('1_Du_lieu'!$G$446:$G$508)*100</f>
        <v>85.294117647058826</v>
      </c>
      <c r="J446" s="8">
        <f>'1_Du_lieu'!H505/AVERAGE('1_Du_lieu'!$H$446:$H$508)*100</f>
        <v>121.78477690288713</v>
      </c>
      <c r="K446" s="5">
        <f>'1_Du_lieu'!D505</f>
        <v>0</v>
      </c>
    </row>
    <row r="447" spans="1:11" x14ac:dyDescent="0.25">
      <c r="A447" t="s">
        <v>151</v>
      </c>
      <c r="B447">
        <v>2024</v>
      </c>
      <c r="C447" s="5" t="str">
        <f>'1_Du_lieu'!C506</f>
        <v>TN</v>
      </c>
      <c r="D447" s="5" t="str">
        <f t="shared" si="12"/>
        <v>2021–2024</v>
      </c>
      <c r="E447" s="8">
        <f>'1_Du_lieu'!E506</f>
        <v>13</v>
      </c>
      <c r="F447" s="9">
        <f>AVERAGE('1_Du_lieu'!$E$446:$E$508)</f>
        <v>23.086206896551722</v>
      </c>
      <c r="G447" s="8">
        <f t="shared" si="13"/>
        <v>56.310679611650492</v>
      </c>
      <c r="H447" s="8">
        <f>'1_Du_lieu'!F506/AVERAGE('1_Du_lieu'!$F$446:$F$508)*100</f>
        <v>49.256900212314228</v>
      </c>
      <c r="I447" s="8">
        <f>'1_Du_lieu'!G506/AVERAGE('1_Du_lieu'!$G$446:$G$508)*100</f>
        <v>58.155080213903744</v>
      </c>
      <c r="J447" s="8">
        <f>'1_Du_lieu'!H506/AVERAGE('1_Du_lieu'!$H$446:$H$508)*100</f>
        <v>55.818022747156604</v>
      </c>
      <c r="K447" s="5">
        <f>'1_Du_lieu'!D506</f>
        <v>0</v>
      </c>
    </row>
    <row r="448" spans="1:11" x14ac:dyDescent="0.25">
      <c r="A448" t="s">
        <v>152</v>
      </c>
      <c r="B448">
        <v>2024</v>
      </c>
      <c r="C448" s="5" t="str">
        <f>'1_Du_lieu'!C507</f>
        <v>ĐNB</v>
      </c>
      <c r="D448" s="5" t="str">
        <f t="shared" si="12"/>
        <v>2021–2024</v>
      </c>
      <c r="E448" s="8">
        <f>'1_Du_lieu'!E507</f>
        <v>30</v>
      </c>
      <c r="F448" s="9">
        <f>AVERAGE('1_Du_lieu'!$E$446:$E$508)</f>
        <v>23.086206896551722</v>
      </c>
      <c r="G448" s="8">
        <f t="shared" si="13"/>
        <v>129.94772218073189</v>
      </c>
      <c r="H448" s="8">
        <f>'1_Du_lieu'!F507/AVERAGE('1_Du_lieu'!$F$446:$F$508)*100</f>
        <v>123.14225053078556</v>
      </c>
      <c r="I448" s="8">
        <f>'1_Du_lieu'!G507/AVERAGE('1_Du_lieu'!$G$446:$G$508)*100</f>
        <v>135.69518716577539</v>
      </c>
      <c r="J448" s="8">
        <f>'1_Du_lieu'!H507/AVERAGE('1_Du_lieu'!$H$446:$H$508)*100</f>
        <v>126.85914260717411</v>
      </c>
      <c r="K448" s="5">
        <f>'1_Du_lieu'!D507</f>
        <v>1</v>
      </c>
    </row>
    <row r="449" spans="1:11" x14ac:dyDescent="0.25">
      <c r="A449" t="s">
        <v>153</v>
      </c>
      <c r="B449">
        <v>2024</v>
      </c>
      <c r="C449" s="5" t="str">
        <f>'1_Du_lieu'!C508</f>
        <v>ĐBSCL</v>
      </c>
      <c r="D449" s="5" t="str">
        <f t="shared" si="12"/>
        <v>2021–2024</v>
      </c>
      <c r="E449" s="8">
        <f>'1_Du_lieu'!E508</f>
        <v>19</v>
      </c>
      <c r="F449" s="9">
        <f>AVERAGE('1_Du_lieu'!$E$446:$E$508)</f>
        <v>23.086206896551722</v>
      </c>
      <c r="G449" s="8">
        <f t="shared" si="13"/>
        <v>82.30022404779686</v>
      </c>
      <c r="H449" s="8">
        <f>'1_Du_lieu'!F508/AVERAGE('1_Du_lieu'!$F$446:$F$508)*100</f>
        <v>61.57112526539278</v>
      </c>
      <c r="I449" s="8">
        <f>'1_Du_lieu'!G508/AVERAGE('1_Du_lieu'!$G$446:$G$508)*100</f>
        <v>108.55614973262033</v>
      </c>
      <c r="J449" s="8">
        <f>'1_Du_lieu'!H508/AVERAGE('1_Du_lieu'!$H$446:$H$508)*100</f>
        <v>55.818022747156604</v>
      </c>
      <c r="K449" s="5">
        <f>'1_Du_lieu'!D508</f>
        <v>0</v>
      </c>
    </row>
    <row r="452" spans="1:11" x14ac:dyDescent="0.25">
      <c r="A452" s="10" t="s">
        <v>196</v>
      </c>
    </row>
    <row r="453" spans="1:11" ht="32.1" customHeight="1" x14ac:dyDescent="0.25">
      <c r="A453" s="3" t="s">
        <v>188</v>
      </c>
      <c r="B453" s="3" t="s">
        <v>197</v>
      </c>
      <c r="C453" s="3" t="s">
        <v>198</v>
      </c>
      <c r="D453" s="3" t="s">
        <v>199</v>
      </c>
      <c r="E453" s="3" t="s">
        <v>200</v>
      </c>
      <c r="F453" s="3" t="s">
        <v>201</v>
      </c>
      <c r="G453" s="3" t="s">
        <v>202</v>
      </c>
      <c r="H453" s="3" t="s">
        <v>203</v>
      </c>
    </row>
    <row r="454" spans="1:11" x14ac:dyDescent="0.25">
      <c r="A454" t="s">
        <v>204</v>
      </c>
      <c r="B454" s="5">
        <f>COUNTIFS($C$5:$C$449,"ĐNB",$B$5:$B$449,2024)</f>
        <v>6</v>
      </c>
      <c r="C454" s="8">
        <f>AVERAGEIFS($G$5:$G$449,$C$5:$C$449,"ĐNB",$D$5:$D$449,"2017–2020")</f>
        <v>129.25598501874654</v>
      </c>
      <c r="D454" s="8">
        <f>AVERAGEIFS($G$5:$G$449,$C$5:$C$449,"ĐNB",$D$5:$D$449,"2021–2024")</f>
        <v>184.70605002671951</v>
      </c>
      <c r="E454" s="8">
        <f>AVERAGEIFS($G$5:$G$449,$C$5:$C$449,"ĐNB",$B$5:$B$449,2024)</f>
        <v>166.76624346527259</v>
      </c>
      <c r="F454" s="8">
        <f>AVERAGEIFS($H$5:$H$449,$C$5:$C$449,"ĐNB",$B$5:$B$449,2024)</f>
        <v>162.82142014626089</v>
      </c>
      <c r="G454" s="8">
        <f>AVERAGEIFS($I$5:$I$449,$C$5:$C$449,"ĐNB",$B$5:$B$449,2024)</f>
        <v>144.7415329768271</v>
      </c>
      <c r="H454" s="8">
        <f>AVERAGEIFS($J$5:$J$449,$C$5:$C$449,"ĐNB",$B$5:$B$449,2024)</f>
        <v>197.9002624671916</v>
      </c>
    </row>
    <row r="455" spans="1:11" x14ac:dyDescent="0.25">
      <c r="A455" t="s">
        <v>205</v>
      </c>
      <c r="B455" s="5">
        <f>COUNTIFS($C$5:$C$449,"ĐBSH",$B$5:$B$449,2024)</f>
        <v>11</v>
      </c>
      <c r="C455" s="8">
        <f>AVERAGEIFS($G$5:$G$449,$C$5:$C$449,"ĐBSH",$D$5:$D$449,"2017–2020")</f>
        <v>118.75222716911213</v>
      </c>
      <c r="D455" s="8">
        <f>AVERAGEIFS($G$5:$G$449,$C$5:$C$449,"ĐBSH",$D$5:$D$449,"2021–2024")</f>
        <v>137.1047597984726</v>
      </c>
      <c r="E455" s="8">
        <f>AVERAGEIFS($G$5:$G$449,$C$5:$C$449,"ĐBSH",$B$5:$B$449,2024)</f>
        <v>135.06687487270011</v>
      </c>
      <c r="F455" s="8">
        <f>AVERAGEIFS($H$5:$H$449,$C$5:$C$449,"ĐBSH",$B$5:$B$449,2024)</f>
        <v>140.68069227304898</v>
      </c>
      <c r="G455" s="8">
        <f>AVERAGEIFS($I$5:$I$449,$C$5:$C$449,"ĐBSH",$B$5:$B$449,2024)</f>
        <v>128.99854156538652</v>
      </c>
      <c r="H455" s="8">
        <f>AVERAGEIFS($J$5:$J$449,$C$5:$C$449,"ĐBSH",$B$5:$B$449,2024)</f>
        <v>138.853097908216</v>
      </c>
    </row>
    <row r="456" spans="1:11" x14ac:dyDescent="0.25">
      <c r="A456" t="s">
        <v>206</v>
      </c>
      <c r="B456" s="5">
        <f>COUNTIFS($C$5:$C$449,"BTB&amp;DHMT",$B$5:$B$449,2024)</f>
        <v>14</v>
      </c>
      <c r="C456" s="8">
        <f>AVERAGEIFS($G$5:$G$449,$C$5:$C$449,"BTB&amp;DHMT",$D$5:$D$449,"2017–2020")</f>
        <v>95.781274817610424</v>
      </c>
      <c r="D456" s="8">
        <f>AVERAGEIFS($G$5:$G$449,$C$5:$C$449,"BTB&amp;DHMT",$D$5:$D$449,"2021–2024")</f>
        <v>88.761499585466581</v>
      </c>
      <c r="E456" s="8">
        <f>AVERAGEIFS($G$5:$G$449,$C$5:$C$449,"BTB&amp;DHMT",$B$5:$B$449,2024)</f>
        <v>93.438600234716745</v>
      </c>
      <c r="F456" s="8">
        <f>AVERAGEIFS($H$5:$H$449,$C$5:$C$449,"BTB&amp;DHMT",$B$5:$B$449,2024)</f>
        <v>105.25730462036195</v>
      </c>
      <c r="G456" s="8">
        <f>AVERAGEIFS($I$5:$I$449,$C$5:$C$449,"BTB&amp;DHMT",$B$5:$B$449,2024)</f>
        <v>88.89419404125286</v>
      </c>
      <c r="H456" s="8">
        <f>AVERAGEIFS($J$5:$J$449,$C$5:$C$449,"BTB&amp;DHMT",$B$5:$B$449,2024)</f>
        <v>92.425946756655421</v>
      </c>
    </row>
    <row r="457" spans="1:11" x14ac:dyDescent="0.25">
      <c r="A457" t="s">
        <v>207</v>
      </c>
      <c r="B457" s="5">
        <f>COUNTIFS($C$5:$C$449,"ĐBSCL",$B$5:$B$449,2024)</f>
        <v>13</v>
      </c>
      <c r="C457" s="8">
        <f>AVERAGEIFS($G$5:$G$449,$C$5:$C$449,"ĐBSCL",$D$5:$D$449,"2017–2020")</f>
        <v>90.362523675343184</v>
      </c>
      <c r="D457" s="8">
        <f>AVERAGEIFS($G$5:$G$449,$C$5:$C$449,"ĐBSCL",$D$5:$D$449,"2021–2024")</f>
        <v>72.258518046786619</v>
      </c>
      <c r="E457" s="8">
        <f>AVERAGEIFS($G$5:$G$449,$C$5:$C$449,"ĐBSCL",$B$5:$B$449,2024)</f>
        <v>74.969839719652995</v>
      </c>
      <c r="F457" s="8">
        <f>AVERAGEIFS($H$5:$H$449,$C$5:$C$449,"ĐBSCL",$B$5:$B$449,2024)</f>
        <v>64.728618868746253</v>
      </c>
      <c r="G457" s="8">
        <f>AVERAGEIFS($I$5:$I$449,$C$5:$C$449,"ĐBSCL",$B$5:$B$449,2024)</f>
        <v>90.662278897572989</v>
      </c>
      <c r="H457" s="8">
        <f>AVERAGEIFS($J$5:$J$449,$C$5:$C$449,"ĐBSCL",$B$5:$B$449,2024)</f>
        <v>60.892388451443566</v>
      </c>
    </row>
    <row r="458" spans="1:11" x14ac:dyDescent="0.25">
      <c r="A458" t="s">
        <v>208</v>
      </c>
      <c r="B458" s="5">
        <f>COUNTIFS($C$5:$C$449,"TN",$B$5:$B$449,2024)</f>
        <v>5</v>
      </c>
      <c r="C458" s="8">
        <f>AVERAGEIFS($G$5:$G$449,$C$5:$C$449,"TN",$D$5:$D$449,"2017–2020")</f>
        <v>83.52617780584599</v>
      </c>
      <c r="D458" s="8">
        <f>AVERAGEIFS($G$5:$G$449,$C$5:$C$449,"TN",$D$5:$D$449,"2021–2024")</f>
        <v>72.140163463931771</v>
      </c>
      <c r="E458" s="8">
        <f>AVERAGEIFS($G$5:$G$449,$C$5:$C$449,"TN",$B$5:$B$449,2024)</f>
        <v>77.968633308439138</v>
      </c>
      <c r="F458" s="8">
        <f>AVERAGEIFS($H$5:$H$449,$C$5:$C$449,"TN",$B$5:$B$449,2024)</f>
        <v>72.243453644727524</v>
      </c>
      <c r="G458" s="8">
        <f>AVERAGEIFS($I$5:$I$449,$C$5:$C$449,"TN",$B$5:$B$449,2024)</f>
        <v>72.887700534759375</v>
      </c>
      <c r="H458" s="8">
        <f>AVERAGEIFS($J$5:$J$449,$C$5:$C$449,"TN",$B$5:$B$449,2024)</f>
        <v>87.279090113735776</v>
      </c>
    </row>
    <row r="459" spans="1:11" x14ac:dyDescent="0.25">
      <c r="A459" t="s">
        <v>209</v>
      </c>
      <c r="B459" s="5">
        <f>COUNTIFS($C$5:$C$449,"TDMNPB",$B$5:$B$449,2024)</f>
        <v>9</v>
      </c>
      <c r="C459" s="8">
        <f>AVERAGEIFS($G$5:$G$449,$C$5:$C$449,"TDMNPB",$D$5:$D$449,"2017–2020")</f>
        <v>83.196390061620733</v>
      </c>
      <c r="D459" s="8">
        <f>AVERAGEIFS($G$5:$G$449,$C$5:$C$449,"TDMNPB",$D$5:$D$449,"2021–2024")</f>
        <v>68.127479330983817</v>
      </c>
      <c r="E459" s="8">
        <f>AVERAGEIFS($G$5:$G$449,$C$5:$C$449,"TDMNPB",$B$5:$B$449,2024)</f>
        <v>71.230603269438234</v>
      </c>
      <c r="F459" s="8">
        <f>AVERAGEIFS($H$5:$H$449,$C$5:$C$449,"TDMNPB",$B$5:$B$449,2024)</f>
        <v>66.588031768498865</v>
      </c>
      <c r="G459" s="8">
        <f>AVERAGEIFS($I$5:$I$449,$C$5:$C$449,"TDMNPB",$B$5:$B$449,2024)</f>
        <v>80.555555555555557</v>
      </c>
      <c r="H459" s="8">
        <f>AVERAGEIFS($J$5:$J$449,$C$5:$C$449,"TDMNPB",$B$5:$B$449,2024)</f>
        <v>62.583843686205881</v>
      </c>
    </row>
    <row r="460" spans="1:11" x14ac:dyDescent="0.25">
      <c r="A460" s="10" t="s">
        <v>210</v>
      </c>
      <c r="C460" s="11">
        <f t="shared" ref="C460:H460" si="14">MAX(C454:C459)/MIN(C454:C459)</f>
        <v>1.5536249219829255</v>
      </c>
      <c r="D460" s="11">
        <f t="shared" si="14"/>
        <v>2.7111827979039393</v>
      </c>
      <c r="E460" s="11">
        <f t="shared" si="14"/>
        <v>2.3412162162162158</v>
      </c>
      <c r="F460" s="11">
        <f t="shared" si="14"/>
        <v>2.5154471544715444</v>
      </c>
      <c r="G460" s="11">
        <f t="shared" si="14"/>
        <v>1.985815602836879</v>
      </c>
      <c r="H460" s="11">
        <f t="shared" si="14"/>
        <v>3.25</v>
      </c>
    </row>
    <row r="463" spans="1:11" x14ac:dyDescent="0.25">
      <c r="A463" s="10" t="s">
        <v>211</v>
      </c>
    </row>
    <row r="464" spans="1:11" ht="32.1" customHeight="1" x14ac:dyDescent="0.25">
      <c r="A464" s="3" t="s">
        <v>188</v>
      </c>
      <c r="B464" s="3" t="s">
        <v>212</v>
      </c>
      <c r="C464" s="3" t="s">
        <v>213</v>
      </c>
      <c r="D464" s="3" t="s">
        <v>214</v>
      </c>
      <c r="E464" s="3" t="s">
        <v>215</v>
      </c>
      <c r="F464" s="3" t="s">
        <v>216</v>
      </c>
      <c r="G464" s="3" t="s">
        <v>217</v>
      </c>
      <c r="H464" s="3" t="s">
        <v>218</v>
      </c>
      <c r="I464" s="3" t="s">
        <v>219</v>
      </c>
    </row>
    <row r="465" spans="1:9" x14ac:dyDescent="0.25">
      <c r="A465" t="s">
        <v>204</v>
      </c>
      <c r="B465" s="8">
        <f>AVERAGEIFS($G$5:$G$449,$C$5:$C$449,"ĐNB",$B$5:$B$449,2017)</f>
        <v>134.21099554234766</v>
      </c>
      <c r="C465" s="8">
        <f>AVERAGEIFS($G$5:$G$449,$C$5:$C$449,"ĐNB",$B$5:$B$449,2018)</f>
        <v>128.57142857142864</v>
      </c>
      <c r="D465" s="8">
        <f>AVERAGEIFS($G$5:$G$449,$C$5:$C$449,"ĐNB",$B$5:$B$449,2019)</f>
        <v>127.40839379190004</v>
      </c>
      <c r="E465" s="8">
        <f>AVERAGEIFS($G$5:$G$449,$C$5:$C$449,"ĐNB",$B$5:$B$449,2020)</f>
        <v>126.83312216930982</v>
      </c>
      <c r="F465" s="8">
        <f>AVERAGEIFS($G$5:$G$449,$C$5:$C$449,"ĐNB",$B$5:$B$449,2021)</f>
        <v>222.87479171459844</v>
      </c>
      <c r="G465" s="8">
        <f>AVERAGEIFS($G$5:$G$449,$C$5:$C$449,"ĐNB",$B$5:$B$449,2022)</f>
        <v>174.29965238220436</v>
      </c>
      <c r="H465" s="8">
        <f>AVERAGEIFS($G$5:$G$449,$C$5:$C$449,"ĐNB",$B$5:$B$449,2023)</f>
        <v>174.88351254480287</v>
      </c>
      <c r="I465" s="8">
        <f>AVERAGEIFS($G$5:$G$449,$C$5:$C$449,"ĐNB",$B$5:$B$449,2024)</f>
        <v>166.76624346527259</v>
      </c>
    </row>
    <row r="466" spans="1:9" x14ac:dyDescent="0.25">
      <c r="A466" t="s">
        <v>205</v>
      </c>
      <c r="B466" s="8">
        <f>AVERAGEIFS($G$5:$G$449,$C$5:$C$449,"ĐBSH",$B$5:$B$449,2017)</f>
        <v>118.51843847089016</v>
      </c>
      <c r="C466" s="8">
        <f>AVERAGEIFS($G$5:$G$449,$C$5:$C$449,"ĐBSH",$B$5:$B$449,2018)</f>
        <v>117.46450440750964</v>
      </c>
      <c r="D466" s="8">
        <f>AVERAGEIFS($G$5:$G$449,$C$5:$C$449,"ĐBSH",$B$5:$B$449,2019)</f>
        <v>119.4925654747493</v>
      </c>
      <c r="E466" s="8">
        <f>AVERAGEIFS($G$5:$G$449,$C$5:$C$449,"ĐBSH",$B$5:$B$449,2020)</f>
        <v>119.53340032329939</v>
      </c>
      <c r="F466" s="8">
        <f>AVERAGEIFS($G$5:$G$449,$C$5:$C$449,"ĐBSH",$B$5:$B$449,2021)</f>
        <v>139.0414149653655</v>
      </c>
      <c r="G466" s="8">
        <f>AVERAGEIFS($G$5:$G$449,$C$5:$C$449,"ĐBSH",$B$5:$B$449,2022)</f>
        <v>139.37428796775046</v>
      </c>
      <c r="H466" s="8">
        <f>AVERAGEIFS($G$5:$G$449,$C$5:$C$449,"ĐBSH",$B$5:$B$449,2023)</f>
        <v>134.93646138807424</v>
      </c>
      <c r="I466" s="8">
        <f>AVERAGEIFS($G$5:$G$449,$C$5:$C$449,"ĐBSH",$B$5:$B$449,2024)</f>
        <v>135.06687487270011</v>
      </c>
    </row>
    <row r="467" spans="1:9" x14ac:dyDescent="0.25">
      <c r="A467" t="s">
        <v>206</v>
      </c>
      <c r="B467" s="8">
        <f>AVERAGEIFS($G$5:$G$449,$C$5:$C$449,"BTB&amp;DHMT",$B$5:$B$449,2017)</f>
        <v>96.950116748036507</v>
      </c>
      <c r="C467" s="8">
        <f>AVERAGEIFS($G$5:$G$449,$C$5:$C$449,"BTB&amp;DHMT",$B$5:$B$449,2018)</f>
        <v>95.757639843502218</v>
      </c>
      <c r="D467" s="8">
        <f>AVERAGEIFS($G$5:$G$449,$C$5:$C$449,"BTB&amp;DHMT",$B$5:$B$449,2019)</f>
        <v>95.073665429069948</v>
      </c>
      <c r="E467" s="8">
        <f>AVERAGEIFS($G$5:$G$449,$C$5:$C$449,"BTB&amp;DHMT",$B$5:$B$449,2020)</f>
        <v>95.343677249833036</v>
      </c>
      <c r="F467" s="8">
        <f>AVERAGEIFS($G$5:$G$449,$C$5:$C$449,"BTB&amp;DHMT",$B$5:$B$449,2021)</f>
        <v>82.8846918073247</v>
      </c>
      <c r="G467" s="8">
        <f>AVERAGEIFS($G$5:$G$449,$C$5:$C$449,"BTB&amp;DHMT",$B$5:$B$449,2022)</f>
        <v>87.810007887126474</v>
      </c>
      <c r="H467" s="8">
        <f>AVERAGEIFS($G$5:$G$449,$C$5:$C$449,"BTB&amp;DHMT",$B$5:$B$449,2023)</f>
        <v>90.91269841269839</v>
      </c>
      <c r="I467" s="8">
        <f>AVERAGEIFS($G$5:$G$449,$C$5:$C$449,"BTB&amp;DHMT",$B$5:$B$449,2024)</f>
        <v>93.438600234716745</v>
      </c>
    </row>
    <row r="468" spans="1:9" x14ac:dyDescent="0.25">
      <c r="A468" t="s">
        <v>207</v>
      </c>
      <c r="B468" s="8">
        <f>AVERAGEIFS($G$5:$G$449,$C$5:$C$449,"ĐBSCL",$B$5:$B$449,2017)</f>
        <v>88.796433878157501</v>
      </c>
      <c r="C468" s="8">
        <f>AVERAGEIFS($G$5:$G$449,$C$5:$C$449,"ĐBSCL",$B$5:$B$449,2018)</f>
        <v>90.125832716506338</v>
      </c>
      <c r="D468" s="8">
        <f>AVERAGEIFS($G$5:$G$449,$C$5:$C$449,"ĐBSCL",$B$5:$B$449,2019)</f>
        <v>90.311323353843292</v>
      </c>
      <c r="E468" s="8">
        <f>AVERAGEIFS($G$5:$G$449,$C$5:$C$449,"ĐBSCL",$B$5:$B$449,2020)</f>
        <v>92.03110664511334</v>
      </c>
      <c r="F468" s="8">
        <f>AVERAGEIFS($G$5:$G$449,$C$5:$C$449,"ĐBSCL",$B$5:$B$449,2021)</f>
        <v>66.816118770689911</v>
      </c>
      <c r="G468" s="8">
        <f>AVERAGEIFS($G$5:$G$449,$C$5:$C$449,"ĐBSCL",$B$5:$B$449,2022)</f>
        <v>75.888496745564495</v>
      </c>
      <c r="H468" s="8">
        <f>AVERAGEIFS($G$5:$G$449,$C$5:$C$449,"ĐBSCL",$B$5:$B$449,2023)</f>
        <v>71.080783016266864</v>
      </c>
      <c r="I468" s="8">
        <f>AVERAGEIFS($G$5:$G$449,$C$5:$C$449,"ĐBSCL",$B$5:$B$449,2024)</f>
        <v>74.969839719652995</v>
      </c>
    </row>
    <row r="469" spans="1:9" x14ac:dyDescent="0.25">
      <c r="A469" t="s">
        <v>208</v>
      </c>
      <c r="B469" s="8">
        <f>AVERAGEIFS($G$5:$G$449,$C$5:$C$449,"TN",$B$5:$B$449,2017)</f>
        <v>81.778306092124808</v>
      </c>
      <c r="C469" s="8">
        <f>AVERAGEIFS($G$5:$G$449,$C$5:$C$449,"TN",$B$5:$B$449,2018)</f>
        <v>84.683937823834214</v>
      </c>
      <c r="D469" s="8">
        <f>AVERAGEIFS($G$5:$G$449,$C$5:$C$449,"TN",$B$5:$B$449,2019)</f>
        <v>84.454036183304225</v>
      </c>
      <c r="E469" s="8">
        <f>AVERAGEIFS($G$5:$G$449,$C$5:$C$449,"TN",$B$5:$B$449,2020)</f>
        <v>83.18843112412074</v>
      </c>
      <c r="F469" s="8">
        <f>AVERAGEIFS($G$5:$G$449,$C$5:$C$449,"TN",$B$5:$B$449,2021)</f>
        <v>61.984062245090058</v>
      </c>
      <c r="G469" s="8">
        <f>AVERAGEIFS($G$5:$G$449,$C$5:$C$449,"TN",$B$5:$B$449,2022)</f>
        <v>72.729822101481048</v>
      </c>
      <c r="H469" s="8">
        <f>AVERAGEIFS($G$5:$G$449,$C$5:$C$449,"TN",$B$5:$B$449,2023)</f>
        <v>75.878136200716824</v>
      </c>
      <c r="I469" s="8">
        <f>AVERAGEIFS($G$5:$G$449,$C$5:$C$449,"TN",$B$5:$B$449,2024)</f>
        <v>77.968633308439138</v>
      </c>
    </row>
    <row r="470" spans="1:9" x14ac:dyDescent="0.25">
      <c r="A470" t="s">
        <v>209</v>
      </c>
      <c r="B470" s="8">
        <f>AVERAGEIFS($G$5:$G$449,$C$5:$C$449,"TDMNPB",$B$5:$B$449,2017)</f>
        <v>80.630014858840994</v>
      </c>
      <c r="C470" s="8">
        <f>AVERAGEIFS($G$5:$G$449,$C$5:$C$449,"TDMNPB",$B$5:$B$449,2018)</f>
        <v>84.589193190229494</v>
      </c>
      <c r="D470" s="8">
        <f>AVERAGEIFS($G$5:$G$449,$C$5:$C$449,"TDMNPB",$B$5:$B$449,2019)</f>
        <v>83.892001102029525</v>
      </c>
      <c r="E470" s="8">
        <f>AVERAGEIFS($G$5:$G$449,$C$5:$C$449,"TDMNPB",$B$5:$B$449,2020)</f>
        <v>83.674351095383003</v>
      </c>
      <c r="F470" s="8">
        <f>AVERAGEIFS($G$5:$G$449,$C$5:$C$449,"TDMNPB",$B$5:$B$449,2021)</f>
        <v>58.668042454200467</v>
      </c>
      <c r="G470" s="8">
        <f>AVERAGEIFS($G$5:$G$449,$C$5:$C$449,"TDMNPB",$B$5:$B$449,2022)</f>
        <v>65.924692548126075</v>
      </c>
      <c r="H470" s="8">
        <f>AVERAGEIFS($G$5:$G$449,$C$5:$C$449,"TDMNPB",$B$5:$B$449,2023)</f>
        <v>76.68657905217043</v>
      </c>
      <c r="I470" s="8">
        <f>AVERAGEIFS($G$5:$G$449,$C$5:$C$449,"TDMNPB",$B$5:$B$449,2024)</f>
        <v>71.230603269438234</v>
      </c>
    </row>
  </sheetData>
  <mergeCells count="1">
    <mergeCell ref="A2:L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6" customWidth="1"/>
    <col min="3" max="3" width="10" customWidth="1"/>
    <col min="4" max="4" width="9" customWidth="1"/>
    <col min="5" max="5" width="8" customWidth="1"/>
    <col min="6" max="6" width="9" customWidth="1"/>
    <col min="7" max="7" width="7" customWidth="1"/>
    <col min="8" max="8" width="8" customWidth="1"/>
    <col min="9" max="11" width="9" customWidth="1"/>
    <col min="12" max="13" width="11" customWidth="1"/>
    <col min="14" max="14" width="9" customWidth="1"/>
    <col min="15" max="15" width="12" customWidth="1"/>
    <col min="16" max="16" width="14" customWidth="1"/>
  </cols>
  <sheetData>
    <row r="1" spans="1:16" ht="17.25" x14ac:dyDescent="0.3">
      <c r="A1" s="1" t="s">
        <v>220</v>
      </c>
    </row>
    <row r="2" spans="1:16" ht="44.1" customHeight="1" x14ac:dyDescent="0.25">
      <c r="A2" s="26" t="s">
        <v>221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6" ht="32.1" customHeight="1" x14ac:dyDescent="0.25">
      <c r="A4" s="3" t="s">
        <v>52</v>
      </c>
      <c r="B4" s="3" t="s">
        <v>53</v>
      </c>
      <c r="C4" s="3" t="s">
        <v>188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J4" s="3" t="s">
        <v>228</v>
      </c>
      <c r="K4" s="3" t="s">
        <v>229</v>
      </c>
      <c r="L4" s="3" t="s">
        <v>230</v>
      </c>
      <c r="M4" s="3" t="s">
        <v>231</v>
      </c>
      <c r="N4" s="3" t="s">
        <v>232</v>
      </c>
      <c r="O4" s="3" t="s">
        <v>233</v>
      </c>
      <c r="P4" s="3" t="s">
        <v>234</v>
      </c>
    </row>
    <row r="5" spans="1:16" x14ac:dyDescent="0.25">
      <c r="A5" t="s">
        <v>85</v>
      </c>
      <c r="B5">
        <v>2017</v>
      </c>
      <c r="C5" s="5" t="str">
        <f>'1_Du_lieu'!C5</f>
        <v>ĐBSCL</v>
      </c>
      <c r="D5" s="8">
        <f>'1_Du_lieu'!E5</f>
        <v>27.2</v>
      </c>
      <c r="E5" s="5">
        <f t="shared" ref="E5:E68" si="0">IF(OR(A5="Hà Nội",A5="TP. Hồ Chí Minh"),1,0)</f>
        <v>0</v>
      </c>
      <c r="F5" s="9">
        <f t="shared" ref="F5:F36" si="1">AVERAGE($D$5:$D$58)</f>
        <v>31.157407407407412</v>
      </c>
      <c r="G5" s="5">
        <f t="shared" ref="G5:G36" si="2">COUNT($D$5:$D$58)</f>
        <v>54</v>
      </c>
      <c r="H5" s="8">
        <f t="shared" ref="H5:H36" si="3">_xlfn.RANK.AVG(D5,$D$5:$D$58,1)</f>
        <v>22.5</v>
      </c>
      <c r="I5" s="8">
        <f t="shared" ref="I5:I68" si="4">H5*D5</f>
        <v>612</v>
      </c>
      <c r="J5" s="7">
        <f t="shared" ref="J5:J68" si="5">D5/F5</f>
        <v>0.87298662704309049</v>
      </c>
      <c r="K5" s="7">
        <f t="shared" ref="K5:K68" si="6">LN(J5)</f>
        <v>-0.13583504165265703</v>
      </c>
      <c r="L5" s="7">
        <f t="shared" ref="L5:L68" si="7">J5*K5</f>
        <v>-0.11858217484661077</v>
      </c>
      <c r="M5" s="7">
        <f t="shared" ref="M5:M68" si="8">LN(F5/D5)</f>
        <v>0.13583504165265695</v>
      </c>
      <c r="N5" s="7">
        <f t="shared" ref="N5:N68" si="9">LN(D5)</f>
        <v>3.3032169733019514</v>
      </c>
      <c r="O5" s="9">
        <f t="shared" ref="O5:O36" si="10">SUMPRODUCT((1-$E$5:$E$58)*$D$5:$D$58)/(G5-SUM($E$5:$E$58))</f>
        <v>29.386538461538468</v>
      </c>
      <c r="P5" s="7">
        <f t="shared" ref="P5:P68" si="11">(1-E5)*(D5/O5)*LN(D5/O5)</f>
        <v>-7.1566659902785615E-2</v>
      </c>
    </row>
    <row r="6" spans="1:16" x14ac:dyDescent="0.25">
      <c r="A6" t="s">
        <v>87</v>
      </c>
      <c r="B6">
        <v>2017</v>
      </c>
      <c r="C6" s="5" t="str">
        <f>'1_Du_lieu'!C6</f>
        <v>ĐNB</v>
      </c>
      <c r="D6" s="8">
        <f>'1_Du_lieu'!E6</f>
        <v>37.799999999999997</v>
      </c>
      <c r="E6" s="5">
        <f t="shared" si="0"/>
        <v>0</v>
      </c>
      <c r="F6" s="9">
        <f t="shared" si="1"/>
        <v>31.157407407407412</v>
      </c>
      <c r="G6" s="5">
        <f t="shared" si="2"/>
        <v>54</v>
      </c>
      <c r="H6" s="8">
        <f t="shared" si="3"/>
        <v>48</v>
      </c>
      <c r="I6" s="8">
        <f t="shared" si="4"/>
        <v>1814.3999999999999</v>
      </c>
      <c r="J6" s="7">
        <f t="shared" si="5"/>
        <v>1.213194650817236</v>
      </c>
      <c r="K6" s="7">
        <f t="shared" si="6"/>
        <v>0.1932570876709333</v>
      </c>
      <c r="L6" s="7">
        <f t="shared" si="7"/>
        <v>0.23445846499489389</v>
      </c>
      <c r="M6" s="7">
        <f t="shared" si="8"/>
        <v>-0.19325708767093328</v>
      </c>
      <c r="N6" s="7">
        <f t="shared" si="9"/>
        <v>3.6323091026255421</v>
      </c>
      <c r="O6" s="9">
        <f t="shared" si="10"/>
        <v>29.386538461538468</v>
      </c>
      <c r="P6" s="7">
        <f t="shared" si="11"/>
        <v>0.32385566804255017</v>
      </c>
    </row>
    <row r="7" spans="1:16" x14ac:dyDescent="0.25">
      <c r="A7" t="s">
        <v>89</v>
      </c>
      <c r="B7">
        <v>2017</v>
      </c>
      <c r="C7" s="5" t="str">
        <f>'1_Du_lieu'!C7</f>
        <v>ĐNB</v>
      </c>
      <c r="D7" s="8">
        <f>'1_Du_lieu'!E7</f>
        <v>43</v>
      </c>
      <c r="E7" s="5">
        <f t="shared" si="0"/>
        <v>0</v>
      </c>
      <c r="F7" s="9">
        <f t="shared" si="1"/>
        <v>31.157407407407412</v>
      </c>
      <c r="G7" s="5">
        <f t="shared" si="2"/>
        <v>54</v>
      </c>
      <c r="H7" s="8">
        <f t="shared" si="3"/>
        <v>51</v>
      </c>
      <c r="I7" s="8">
        <f t="shared" si="4"/>
        <v>2193</v>
      </c>
      <c r="J7" s="7">
        <f t="shared" si="5"/>
        <v>1.3800891530460622</v>
      </c>
      <c r="K7" s="7">
        <f t="shared" si="6"/>
        <v>0.32214810073895378</v>
      </c>
      <c r="L7" s="7">
        <f t="shared" si="7"/>
        <v>0.44459309950422021</v>
      </c>
      <c r="M7" s="7">
        <f t="shared" si="8"/>
        <v>-0.32214810073895384</v>
      </c>
      <c r="N7" s="7">
        <f t="shared" si="9"/>
        <v>3.7612001156935624</v>
      </c>
      <c r="O7" s="9">
        <f t="shared" si="10"/>
        <v>29.386538461538468</v>
      </c>
      <c r="P7" s="7">
        <f t="shared" si="11"/>
        <v>0.55700766366089105</v>
      </c>
    </row>
    <row r="8" spans="1:16" x14ac:dyDescent="0.25">
      <c r="A8" t="s">
        <v>90</v>
      </c>
      <c r="B8">
        <v>2017</v>
      </c>
      <c r="C8" s="5" t="str">
        <f>'1_Du_lieu'!C8</f>
        <v>ĐNB</v>
      </c>
      <c r="D8" s="8">
        <f>'1_Du_lieu'!E8</f>
        <v>24</v>
      </c>
      <c r="E8" s="5">
        <f t="shared" si="0"/>
        <v>0</v>
      </c>
      <c r="F8" s="9">
        <f t="shared" si="1"/>
        <v>31.157407407407412</v>
      </c>
      <c r="G8" s="5">
        <f t="shared" si="2"/>
        <v>54</v>
      </c>
      <c r="H8" s="8">
        <f t="shared" si="3"/>
        <v>7</v>
      </c>
      <c r="I8" s="8">
        <f t="shared" si="4"/>
        <v>168</v>
      </c>
      <c r="J8" s="7">
        <f t="shared" si="5"/>
        <v>0.77028231797919755</v>
      </c>
      <c r="K8" s="7">
        <f t="shared" si="6"/>
        <v>-0.26099818460666296</v>
      </c>
      <c r="L8" s="7">
        <f t="shared" si="7"/>
        <v>-0.20104228662718288</v>
      </c>
      <c r="M8" s="7">
        <f t="shared" si="8"/>
        <v>0.26099818460666302</v>
      </c>
      <c r="N8" s="7">
        <f t="shared" si="9"/>
        <v>3.1780538303479458</v>
      </c>
      <c r="O8" s="9">
        <f t="shared" si="10"/>
        <v>29.386538461538468</v>
      </c>
      <c r="P8" s="7">
        <f t="shared" si="11"/>
        <v>-0.16536785149855029</v>
      </c>
    </row>
    <row r="9" spans="1:16" x14ac:dyDescent="0.25">
      <c r="A9" t="s">
        <v>91</v>
      </c>
      <c r="B9">
        <v>2017</v>
      </c>
      <c r="C9" s="5" t="str">
        <f>'1_Du_lieu'!C9</f>
        <v>BTB&amp;DHMT</v>
      </c>
      <c r="D9" s="8">
        <f>'1_Du_lieu'!E9</f>
        <v>29.5</v>
      </c>
      <c r="E9" s="5">
        <f t="shared" si="0"/>
        <v>0</v>
      </c>
      <c r="F9" s="9">
        <f t="shared" si="1"/>
        <v>31.157407407407412</v>
      </c>
      <c r="G9" s="5">
        <f t="shared" si="2"/>
        <v>54</v>
      </c>
      <c r="H9" s="8">
        <f t="shared" si="3"/>
        <v>33.5</v>
      </c>
      <c r="I9" s="8">
        <f t="shared" si="4"/>
        <v>988.25</v>
      </c>
      <c r="J9" s="7">
        <f t="shared" si="5"/>
        <v>0.9468053491827636</v>
      </c>
      <c r="K9" s="7">
        <f t="shared" si="6"/>
        <v>-5.4661751608834498E-2</v>
      </c>
      <c r="L9" s="7">
        <f t="shared" si="7"/>
        <v>-5.175403881894404E-2</v>
      </c>
      <c r="M9" s="7">
        <f t="shared" si="8"/>
        <v>5.4661751608834581E-2</v>
      </c>
      <c r="N9" s="7">
        <f t="shared" si="9"/>
        <v>3.3843902633457743</v>
      </c>
      <c r="O9" s="9">
        <f t="shared" si="10"/>
        <v>29.386538461538468</v>
      </c>
      <c r="P9" s="7">
        <f t="shared" si="11"/>
        <v>3.8684479619974328E-3</v>
      </c>
    </row>
    <row r="10" spans="1:16" x14ac:dyDescent="0.25">
      <c r="A10" t="s">
        <v>93</v>
      </c>
      <c r="B10">
        <v>2017</v>
      </c>
      <c r="C10" s="5" t="str">
        <f>'1_Du_lieu'!C10</f>
        <v>BTB&amp;DHMT</v>
      </c>
      <c r="D10" s="8">
        <f>'1_Du_lieu'!E10</f>
        <v>29.9</v>
      </c>
      <c r="E10" s="5">
        <f t="shared" si="0"/>
        <v>0</v>
      </c>
      <c r="F10" s="9">
        <f t="shared" si="1"/>
        <v>31.157407407407412</v>
      </c>
      <c r="G10" s="5">
        <f t="shared" si="2"/>
        <v>54</v>
      </c>
      <c r="H10" s="8">
        <f t="shared" si="3"/>
        <v>36</v>
      </c>
      <c r="I10" s="8">
        <f t="shared" si="4"/>
        <v>1076.3999999999999</v>
      </c>
      <c r="J10" s="7">
        <f t="shared" si="5"/>
        <v>0.9596433878157502</v>
      </c>
      <c r="K10" s="7">
        <f t="shared" si="6"/>
        <v>-4.1193534557967919E-2</v>
      </c>
      <c r="L10" s="7">
        <f t="shared" si="7"/>
        <v>-3.9531103059313517E-2</v>
      </c>
      <c r="M10" s="7">
        <f t="shared" si="8"/>
        <v>4.1193534557968002E-2</v>
      </c>
      <c r="N10" s="7">
        <f t="shared" si="9"/>
        <v>3.3978584803966405</v>
      </c>
      <c r="O10" s="9">
        <f t="shared" si="10"/>
        <v>29.386538461538468</v>
      </c>
      <c r="P10" s="7">
        <f t="shared" si="11"/>
        <v>1.7624444370910337E-2</v>
      </c>
    </row>
    <row r="11" spans="1:16" x14ac:dyDescent="0.25">
      <c r="A11" t="s">
        <v>95</v>
      </c>
      <c r="B11">
        <v>2017</v>
      </c>
      <c r="C11" s="5" t="str">
        <f>'1_Du_lieu'!C12</f>
        <v>TDMNPB</v>
      </c>
      <c r="D11" s="8">
        <f>'1_Du_lieu'!E12</f>
        <v>30</v>
      </c>
      <c r="E11" s="5">
        <f t="shared" si="0"/>
        <v>0</v>
      </c>
      <c r="F11" s="9">
        <f t="shared" si="1"/>
        <v>31.157407407407412</v>
      </c>
      <c r="G11" s="5">
        <f t="shared" si="2"/>
        <v>54</v>
      </c>
      <c r="H11" s="8">
        <f t="shared" si="3"/>
        <v>37</v>
      </c>
      <c r="I11" s="8">
        <f t="shared" si="4"/>
        <v>1110</v>
      </c>
      <c r="J11" s="7">
        <f t="shared" si="5"/>
        <v>0.96285289747399694</v>
      </c>
      <c r="K11" s="7">
        <f t="shared" si="6"/>
        <v>-3.7854633292453206E-2</v>
      </c>
      <c r="L11" s="7">
        <f t="shared" si="7"/>
        <v>-3.64484433484542E-2</v>
      </c>
      <c r="M11" s="7">
        <f t="shared" si="8"/>
        <v>3.7854633292453171E-2</v>
      </c>
      <c r="N11" s="7">
        <f t="shared" si="9"/>
        <v>3.4011973816621555</v>
      </c>
      <c r="O11" s="9">
        <f t="shared" si="10"/>
        <v>29.386538461538468</v>
      </c>
      <c r="P11" s="7">
        <f t="shared" si="11"/>
        <v>2.1091991824159866E-2</v>
      </c>
    </row>
    <row r="12" spans="1:16" x14ac:dyDescent="0.25">
      <c r="A12" t="s">
        <v>97</v>
      </c>
      <c r="B12">
        <v>2017</v>
      </c>
      <c r="C12" s="5" t="str">
        <f>'1_Du_lieu'!C13</f>
        <v>TDMNPB</v>
      </c>
      <c r="D12" s="8">
        <f>'1_Du_lieu'!E13</f>
        <v>22.6</v>
      </c>
      <c r="E12" s="5">
        <f t="shared" si="0"/>
        <v>0</v>
      </c>
      <c r="F12" s="9">
        <f t="shared" si="1"/>
        <v>31.157407407407412</v>
      </c>
      <c r="G12" s="5">
        <f t="shared" si="2"/>
        <v>54</v>
      </c>
      <c r="H12" s="8">
        <f t="shared" si="3"/>
        <v>3</v>
      </c>
      <c r="I12" s="8">
        <f t="shared" si="4"/>
        <v>67.800000000000011</v>
      </c>
      <c r="J12" s="7">
        <f t="shared" si="5"/>
        <v>0.72534918276374438</v>
      </c>
      <c r="K12" s="7">
        <f t="shared" si="6"/>
        <v>-0.32110210867636835</v>
      </c>
      <c r="L12" s="7">
        <f t="shared" si="7"/>
        <v>-0.23291115211211882</v>
      </c>
      <c r="M12" s="7">
        <f t="shared" si="8"/>
        <v>0.3211021086763684</v>
      </c>
      <c r="N12" s="7">
        <f t="shared" si="9"/>
        <v>3.1179499062782403</v>
      </c>
      <c r="O12" s="9">
        <f t="shared" si="10"/>
        <v>29.386538461538468</v>
      </c>
      <c r="P12" s="7">
        <f t="shared" si="11"/>
        <v>-0.20194489429069731</v>
      </c>
    </row>
    <row r="13" spans="1:16" x14ac:dyDescent="0.25">
      <c r="A13" t="s">
        <v>98</v>
      </c>
      <c r="B13">
        <v>2017</v>
      </c>
      <c r="C13" s="5" t="str">
        <f>'1_Du_lieu'!C14</f>
        <v>ĐBSH</v>
      </c>
      <c r="D13" s="8">
        <f>'1_Du_lieu'!E14</f>
        <v>38.9</v>
      </c>
      <c r="E13" s="5">
        <f t="shared" si="0"/>
        <v>0</v>
      </c>
      <c r="F13" s="9">
        <f t="shared" si="1"/>
        <v>31.157407407407412</v>
      </c>
      <c r="G13" s="5">
        <f t="shared" si="2"/>
        <v>54</v>
      </c>
      <c r="H13" s="8">
        <f t="shared" si="3"/>
        <v>49</v>
      </c>
      <c r="I13" s="8">
        <f t="shared" si="4"/>
        <v>1906.1</v>
      </c>
      <c r="J13" s="7">
        <f t="shared" si="5"/>
        <v>1.2484992570579492</v>
      </c>
      <c r="K13" s="7">
        <f t="shared" si="6"/>
        <v>0.22194223566979188</v>
      </c>
      <c r="L13" s="7">
        <f t="shared" si="7"/>
        <v>0.2770947163435154</v>
      </c>
      <c r="M13" s="7">
        <f t="shared" si="8"/>
        <v>-0.2219422356697919</v>
      </c>
      <c r="N13" s="7">
        <f t="shared" si="9"/>
        <v>3.6609942506244004</v>
      </c>
      <c r="O13" s="9">
        <f t="shared" si="10"/>
        <v>29.386538461538468</v>
      </c>
      <c r="P13" s="7">
        <f t="shared" si="11"/>
        <v>0.37125158397983737</v>
      </c>
    </row>
    <row r="14" spans="1:16" x14ac:dyDescent="0.25">
      <c r="A14" t="s">
        <v>100</v>
      </c>
      <c r="B14">
        <v>2017</v>
      </c>
      <c r="C14" s="5" t="str">
        <f>'1_Du_lieu'!C15</f>
        <v>ĐBSCL</v>
      </c>
      <c r="D14" s="8">
        <f>'1_Du_lieu'!E15</f>
        <v>28.1</v>
      </c>
      <c r="E14" s="5">
        <f t="shared" si="0"/>
        <v>0</v>
      </c>
      <c r="F14" s="9">
        <f t="shared" si="1"/>
        <v>31.157407407407412</v>
      </c>
      <c r="G14" s="5">
        <f t="shared" si="2"/>
        <v>54</v>
      </c>
      <c r="H14" s="8">
        <f t="shared" si="3"/>
        <v>27.5</v>
      </c>
      <c r="I14" s="8">
        <f t="shared" si="4"/>
        <v>772.75</v>
      </c>
      <c r="J14" s="7">
        <f t="shared" si="5"/>
        <v>0.90187221396731043</v>
      </c>
      <c r="K14" s="7">
        <f t="shared" si="6"/>
        <v>-0.10328243861490853</v>
      </c>
      <c r="L14" s="7">
        <f t="shared" si="7"/>
        <v>-9.3147561577570398E-2</v>
      </c>
      <c r="M14" s="7">
        <f t="shared" si="8"/>
        <v>0.10328243861490849</v>
      </c>
      <c r="N14" s="7">
        <f t="shared" si="9"/>
        <v>3.3357695763396999</v>
      </c>
      <c r="O14" s="9">
        <f t="shared" si="10"/>
        <v>29.386538461538468</v>
      </c>
      <c r="P14" s="7">
        <f t="shared" si="11"/>
        <v>-4.2807219664126116E-2</v>
      </c>
    </row>
    <row r="15" spans="1:16" x14ac:dyDescent="0.25">
      <c r="A15" t="s">
        <v>102</v>
      </c>
      <c r="B15">
        <v>2017</v>
      </c>
      <c r="C15" s="5" t="str">
        <f>'1_Du_lieu'!C17</f>
        <v>ĐBSCL</v>
      </c>
      <c r="D15" s="8">
        <f>'1_Du_lieu'!E17</f>
        <v>21.2</v>
      </c>
      <c r="E15" s="5">
        <f t="shared" si="0"/>
        <v>0</v>
      </c>
      <c r="F15" s="9">
        <f t="shared" si="1"/>
        <v>31.157407407407412</v>
      </c>
      <c r="G15" s="5">
        <f t="shared" si="2"/>
        <v>54</v>
      </c>
      <c r="H15" s="8">
        <f t="shared" si="3"/>
        <v>1.5</v>
      </c>
      <c r="I15" s="8">
        <f t="shared" si="4"/>
        <v>31.799999999999997</v>
      </c>
      <c r="J15" s="7">
        <f t="shared" si="5"/>
        <v>0.6804160475482911</v>
      </c>
      <c r="K15" s="7">
        <f t="shared" si="6"/>
        <v>-0.38505083327664191</v>
      </c>
      <c r="L15" s="7">
        <f t="shared" si="7"/>
        <v>-0.26199476608326872</v>
      </c>
      <c r="M15" s="7">
        <f t="shared" si="8"/>
        <v>0.38505083327664197</v>
      </c>
      <c r="N15" s="7">
        <f t="shared" si="9"/>
        <v>3.0540011816779669</v>
      </c>
      <c r="O15" s="9">
        <f t="shared" si="10"/>
        <v>29.386538461538468</v>
      </c>
      <c r="P15" s="7">
        <f t="shared" si="11"/>
        <v>-0.2355688428876668</v>
      </c>
    </row>
    <row r="16" spans="1:16" x14ac:dyDescent="0.25">
      <c r="A16" t="s">
        <v>103</v>
      </c>
      <c r="B16">
        <v>2017</v>
      </c>
      <c r="C16" s="5" t="str">
        <f>'1_Du_lieu'!C18</f>
        <v>ĐBSCL</v>
      </c>
      <c r="D16" s="8">
        <f>'1_Du_lieu'!E18</f>
        <v>37.200000000000003</v>
      </c>
      <c r="E16" s="5">
        <f t="shared" si="0"/>
        <v>0</v>
      </c>
      <c r="F16" s="9">
        <f t="shared" si="1"/>
        <v>31.157407407407412</v>
      </c>
      <c r="G16" s="5">
        <f t="shared" si="2"/>
        <v>54</v>
      </c>
      <c r="H16" s="8">
        <f t="shared" si="3"/>
        <v>47</v>
      </c>
      <c r="I16" s="8">
        <f t="shared" si="4"/>
        <v>1748.4</v>
      </c>
      <c r="J16" s="7">
        <f t="shared" si="5"/>
        <v>1.1939375928677562</v>
      </c>
      <c r="K16" s="7">
        <f t="shared" si="6"/>
        <v>0.17725674632449234</v>
      </c>
      <c r="L16" s="7">
        <f t="shared" si="7"/>
        <v>0.21163349302623488</v>
      </c>
      <c r="M16" s="7">
        <f t="shared" si="8"/>
        <v>-0.17725674632449234</v>
      </c>
      <c r="N16" s="7">
        <f t="shared" si="9"/>
        <v>3.6163087612791012</v>
      </c>
      <c r="O16" s="9">
        <f t="shared" si="10"/>
        <v>29.386538461538468</v>
      </c>
      <c r="P16" s="7">
        <f t="shared" si="11"/>
        <v>0.29846049793016016</v>
      </c>
    </row>
    <row r="17" spans="1:16" x14ac:dyDescent="0.25">
      <c r="A17" t="s">
        <v>104</v>
      </c>
      <c r="B17">
        <v>2017</v>
      </c>
      <c r="C17" s="5" t="str">
        <f>'1_Du_lieu'!C19</f>
        <v>TN</v>
      </c>
      <c r="D17" s="8">
        <f>'1_Du_lieu'!E19</f>
        <v>23.7</v>
      </c>
      <c r="E17" s="5">
        <f t="shared" si="0"/>
        <v>0</v>
      </c>
      <c r="F17" s="9">
        <f t="shared" si="1"/>
        <v>31.157407407407412</v>
      </c>
      <c r="G17" s="5">
        <f t="shared" si="2"/>
        <v>54</v>
      </c>
      <c r="H17" s="8">
        <f t="shared" si="3"/>
        <v>5.5</v>
      </c>
      <c r="I17" s="8">
        <f t="shared" si="4"/>
        <v>130.35</v>
      </c>
      <c r="J17" s="7">
        <f t="shared" si="5"/>
        <v>0.76065378900445757</v>
      </c>
      <c r="K17" s="7">
        <f t="shared" si="6"/>
        <v>-0.27357696681352311</v>
      </c>
      <c r="L17" s="7">
        <f t="shared" si="7"/>
        <v>-0.20809735639105309</v>
      </c>
      <c r="M17" s="7">
        <f t="shared" si="8"/>
        <v>0.27357696681352323</v>
      </c>
      <c r="N17" s="7">
        <f t="shared" si="9"/>
        <v>3.1654750481410856</v>
      </c>
      <c r="O17" s="9">
        <f t="shared" si="10"/>
        <v>29.386538461538468</v>
      </c>
      <c r="P17" s="7">
        <f t="shared" si="11"/>
        <v>-0.17344543707429647</v>
      </c>
    </row>
    <row r="18" spans="1:16" x14ac:dyDescent="0.25">
      <c r="A18" t="s">
        <v>107</v>
      </c>
      <c r="B18">
        <v>2017</v>
      </c>
      <c r="C18" s="5" t="str">
        <f>'1_Du_lieu'!C21</f>
        <v>ĐBSH</v>
      </c>
      <c r="D18" s="8">
        <f>'1_Du_lieu'!E21</f>
        <v>29.3</v>
      </c>
      <c r="E18" s="5">
        <f t="shared" si="0"/>
        <v>0</v>
      </c>
      <c r="F18" s="9">
        <f t="shared" si="1"/>
        <v>31.157407407407412</v>
      </c>
      <c r="G18" s="5">
        <f t="shared" si="2"/>
        <v>54</v>
      </c>
      <c r="H18" s="8">
        <f t="shared" si="3"/>
        <v>32</v>
      </c>
      <c r="I18" s="8">
        <f t="shared" si="4"/>
        <v>937.6</v>
      </c>
      <c r="J18" s="7">
        <f t="shared" si="5"/>
        <v>0.94038632986627035</v>
      </c>
      <c r="K18" s="7">
        <f t="shared" si="6"/>
        <v>-6.1464498931586946E-2</v>
      </c>
      <c r="L18" s="7">
        <f t="shared" si="7"/>
        <v>-5.7800374567344347E-2</v>
      </c>
      <c r="M18" s="7">
        <f t="shared" si="8"/>
        <v>6.146449893158689E-2</v>
      </c>
      <c r="N18" s="7">
        <f t="shared" si="9"/>
        <v>3.3775875160230218</v>
      </c>
      <c r="O18" s="9">
        <f t="shared" si="10"/>
        <v>29.386538461538468</v>
      </c>
      <c r="P18" s="7">
        <f t="shared" si="11"/>
        <v>-2.9404931687086393E-3</v>
      </c>
    </row>
    <row r="19" spans="1:16" x14ac:dyDescent="0.25">
      <c r="A19" t="s">
        <v>108</v>
      </c>
      <c r="B19">
        <v>2017</v>
      </c>
      <c r="C19" s="5" t="str">
        <f>'1_Du_lieu'!C22</f>
        <v>ĐBSH</v>
      </c>
      <c r="D19" s="8">
        <f>'1_Du_lieu'!E22</f>
        <v>75.8</v>
      </c>
      <c r="E19" s="5">
        <f t="shared" si="0"/>
        <v>1</v>
      </c>
      <c r="F19" s="9">
        <f t="shared" si="1"/>
        <v>31.157407407407412</v>
      </c>
      <c r="G19" s="5">
        <f t="shared" si="2"/>
        <v>54</v>
      </c>
      <c r="H19" s="8">
        <f t="shared" si="3"/>
        <v>53</v>
      </c>
      <c r="I19" s="8">
        <f t="shared" si="4"/>
        <v>4017.3999999999996</v>
      </c>
      <c r="J19" s="7">
        <f t="shared" si="5"/>
        <v>2.4328083209509654</v>
      </c>
      <c r="K19" s="7">
        <f t="shared" si="6"/>
        <v>0.88904627769371736</v>
      </c>
      <c r="L19" s="7">
        <f t="shared" si="7"/>
        <v>2.1628791820837581</v>
      </c>
      <c r="M19" s="7">
        <f t="shared" si="8"/>
        <v>-0.88904627769371725</v>
      </c>
      <c r="N19" s="7">
        <f t="shared" si="9"/>
        <v>4.3280982926483258</v>
      </c>
      <c r="O19" s="9">
        <f t="shared" si="10"/>
        <v>29.386538461538468</v>
      </c>
      <c r="P19" s="7">
        <f t="shared" si="11"/>
        <v>0</v>
      </c>
    </row>
    <row r="20" spans="1:16" x14ac:dyDescent="0.25">
      <c r="A20" t="s">
        <v>109</v>
      </c>
      <c r="B20">
        <v>2017</v>
      </c>
      <c r="C20" s="5" t="str">
        <f>'1_Du_lieu'!C23</f>
        <v>BTB&amp;DHMT</v>
      </c>
      <c r="D20" s="8">
        <f>'1_Du_lieu'!E23</f>
        <v>27.1</v>
      </c>
      <c r="E20" s="5">
        <f t="shared" si="0"/>
        <v>0</v>
      </c>
      <c r="F20" s="9">
        <f t="shared" si="1"/>
        <v>31.157407407407412</v>
      </c>
      <c r="G20" s="5">
        <f t="shared" si="2"/>
        <v>54</v>
      </c>
      <c r="H20" s="8">
        <f t="shared" si="3"/>
        <v>21</v>
      </c>
      <c r="I20" s="8">
        <f t="shared" si="4"/>
        <v>569.1</v>
      </c>
      <c r="J20" s="7">
        <f t="shared" si="5"/>
        <v>0.86977711738484387</v>
      </c>
      <c r="K20" s="7">
        <f t="shared" si="6"/>
        <v>-0.13951828706895339</v>
      </c>
      <c r="L20" s="7">
        <f t="shared" si="7"/>
        <v>-0.12134981354930542</v>
      </c>
      <c r="M20" s="7">
        <f t="shared" si="8"/>
        <v>0.13951828706895333</v>
      </c>
      <c r="N20" s="7">
        <f t="shared" si="9"/>
        <v>3.2995337278856551</v>
      </c>
      <c r="O20" s="9">
        <f t="shared" si="10"/>
        <v>29.386538461538468</v>
      </c>
      <c r="P20" s="7">
        <f t="shared" si="11"/>
        <v>-7.4700202794520443E-2</v>
      </c>
    </row>
    <row r="21" spans="1:16" x14ac:dyDescent="0.25">
      <c r="A21" t="s">
        <v>110</v>
      </c>
      <c r="B21">
        <v>2017</v>
      </c>
      <c r="C21" s="5" t="str">
        <f>'1_Du_lieu'!C24</f>
        <v>TDMNPB</v>
      </c>
      <c r="D21" s="8">
        <f>'1_Du_lieu'!E24</f>
        <v>25.1</v>
      </c>
      <c r="E21" s="5">
        <f t="shared" si="0"/>
        <v>0</v>
      </c>
      <c r="F21" s="9">
        <f t="shared" si="1"/>
        <v>31.157407407407412</v>
      </c>
      <c r="G21" s="5">
        <f t="shared" si="2"/>
        <v>54</v>
      </c>
      <c r="H21" s="8">
        <f t="shared" si="3"/>
        <v>10</v>
      </c>
      <c r="I21" s="8">
        <f t="shared" si="4"/>
        <v>251</v>
      </c>
      <c r="J21" s="7">
        <f t="shared" si="5"/>
        <v>0.80558692421991074</v>
      </c>
      <c r="K21" s="7">
        <f t="shared" si="6"/>
        <v>-0.21618416881687041</v>
      </c>
      <c r="L21" s="7">
        <f t="shared" si="7"/>
        <v>-0.17415513962222057</v>
      </c>
      <c r="M21" s="7">
        <f t="shared" si="8"/>
        <v>0.21618416881687033</v>
      </c>
      <c r="N21" s="7">
        <f t="shared" si="9"/>
        <v>3.2228678461377385</v>
      </c>
      <c r="O21" s="9">
        <f t="shared" si="10"/>
        <v>29.386538461538468</v>
      </c>
      <c r="P21" s="7">
        <f t="shared" si="11"/>
        <v>-0.13467010030017573</v>
      </c>
    </row>
    <row r="22" spans="1:16" x14ac:dyDescent="0.25">
      <c r="A22" t="s">
        <v>111</v>
      </c>
      <c r="B22">
        <v>2017</v>
      </c>
      <c r="C22" s="5" t="str">
        <f>'1_Du_lieu'!C25</f>
        <v>ĐBSH</v>
      </c>
      <c r="D22" s="8">
        <f>'1_Du_lieu'!E25</f>
        <v>28</v>
      </c>
      <c r="E22" s="5">
        <f t="shared" si="0"/>
        <v>0</v>
      </c>
      <c r="F22" s="9">
        <f t="shared" si="1"/>
        <v>31.157407407407412</v>
      </c>
      <c r="G22" s="5">
        <f t="shared" si="2"/>
        <v>54</v>
      </c>
      <c r="H22" s="8">
        <f t="shared" si="3"/>
        <v>26</v>
      </c>
      <c r="I22" s="8">
        <f t="shared" si="4"/>
        <v>728</v>
      </c>
      <c r="J22" s="7">
        <f t="shared" si="5"/>
        <v>0.89866270430906381</v>
      </c>
      <c r="K22" s="7">
        <f t="shared" si="6"/>
        <v>-0.10684750477940466</v>
      </c>
      <c r="L22" s="7">
        <f t="shared" si="7"/>
        <v>-9.6019867593735417E-2</v>
      </c>
      <c r="M22" s="7">
        <f t="shared" si="8"/>
        <v>0.10684750477940473</v>
      </c>
      <c r="N22" s="7">
        <f t="shared" si="9"/>
        <v>3.3322045101752038</v>
      </c>
      <c r="O22" s="9">
        <f t="shared" si="10"/>
        <v>29.386538461538468</v>
      </c>
      <c r="P22" s="7">
        <f t="shared" si="11"/>
        <v>-4.6051737250356023E-2</v>
      </c>
    </row>
    <row r="23" spans="1:16" x14ac:dyDescent="0.25">
      <c r="A23" t="s">
        <v>112</v>
      </c>
      <c r="B23">
        <v>2017</v>
      </c>
      <c r="C23" s="5" t="str">
        <f>'1_Du_lieu'!C26</f>
        <v>ĐBSH</v>
      </c>
      <c r="D23" s="8">
        <f>'1_Du_lieu'!E26</f>
        <v>34.6</v>
      </c>
      <c r="E23" s="5">
        <f t="shared" si="0"/>
        <v>0</v>
      </c>
      <c r="F23" s="9">
        <f t="shared" si="1"/>
        <v>31.157407407407412</v>
      </c>
      <c r="G23" s="5">
        <f t="shared" si="2"/>
        <v>54</v>
      </c>
      <c r="H23" s="8">
        <f t="shared" si="3"/>
        <v>44.5</v>
      </c>
      <c r="I23" s="8">
        <f t="shared" si="4"/>
        <v>1539.7</v>
      </c>
      <c r="J23" s="7">
        <f t="shared" si="5"/>
        <v>1.1104903417533432</v>
      </c>
      <c r="K23" s="7">
        <f t="shared" si="6"/>
        <v>0.10480166710907002</v>
      </c>
      <c r="L23" s="7">
        <f t="shared" si="7"/>
        <v>0.11638123912427127</v>
      </c>
      <c r="M23" s="7">
        <f t="shared" si="8"/>
        <v>-0.10480166710907002</v>
      </c>
      <c r="N23" s="7">
        <f t="shared" si="9"/>
        <v>3.5438536820636788</v>
      </c>
      <c r="O23" s="9">
        <f t="shared" si="10"/>
        <v>29.386538461538468</v>
      </c>
      <c r="P23" s="7">
        <f t="shared" si="11"/>
        <v>0.1922910312614243</v>
      </c>
    </row>
    <row r="24" spans="1:16" x14ac:dyDescent="0.25">
      <c r="A24" t="s">
        <v>113</v>
      </c>
      <c r="B24">
        <v>2017</v>
      </c>
      <c r="C24" s="5" t="str">
        <f>'1_Du_lieu'!C27</f>
        <v>ĐBSH</v>
      </c>
      <c r="D24" s="8">
        <f>'1_Du_lieu'!E27</f>
        <v>42.2</v>
      </c>
      <c r="E24" s="5">
        <f t="shared" si="0"/>
        <v>0</v>
      </c>
      <c r="F24" s="9">
        <f t="shared" si="1"/>
        <v>31.157407407407412</v>
      </c>
      <c r="G24" s="5">
        <f t="shared" si="2"/>
        <v>54</v>
      </c>
      <c r="H24" s="8">
        <f t="shared" si="3"/>
        <v>50</v>
      </c>
      <c r="I24" s="8">
        <f t="shared" si="4"/>
        <v>2110</v>
      </c>
      <c r="J24" s="7">
        <f t="shared" si="5"/>
        <v>1.354413075780089</v>
      </c>
      <c r="K24" s="7">
        <f t="shared" si="6"/>
        <v>0.30336820608735748</v>
      </c>
      <c r="L24" s="7">
        <f t="shared" si="7"/>
        <v>0.41088586510066577</v>
      </c>
      <c r="M24" s="7">
        <f t="shared" si="8"/>
        <v>-0.30336820608735765</v>
      </c>
      <c r="N24" s="7">
        <f t="shared" si="9"/>
        <v>3.7424202210419661</v>
      </c>
      <c r="O24" s="9">
        <f t="shared" si="10"/>
        <v>29.386538461538468</v>
      </c>
      <c r="P24" s="7">
        <f t="shared" si="11"/>
        <v>0.51967620684217752</v>
      </c>
    </row>
    <row r="25" spans="1:16" x14ac:dyDescent="0.25">
      <c r="A25" t="s">
        <v>115</v>
      </c>
      <c r="B25">
        <v>2017</v>
      </c>
      <c r="C25" s="5" t="str">
        <f>'1_Du_lieu'!C29</f>
        <v>BTB&amp;DHMT</v>
      </c>
      <c r="D25" s="8">
        <f>'1_Du_lieu'!E29</f>
        <v>34.6</v>
      </c>
      <c r="E25" s="5">
        <f t="shared" si="0"/>
        <v>0</v>
      </c>
      <c r="F25" s="9">
        <f t="shared" si="1"/>
        <v>31.157407407407412</v>
      </c>
      <c r="G25" s="5">
        <f t="shared" si="2"/>
        <v>54</v>
      </c>
      <c r="H25" s="8">
        <f t="shared" si="3"/>
        <v>44.5</v>
      </c>
      <c r="I25" s="8">
        <f t="shared" si="4"/>
        <v>1539.7</v>
      </c>
      <c r="J25" s="7">
        <f t="shared" si="5"/>
        <v>1.1104903417533432</v>
      </c>
      <c r="K25" s="7">
        <f t="shared" si="6"/>
        <v>0.10480166710907002</v>
      </c>
      <c r="L25" s="7">
        <f t="shared" si="7"/>
        <v>0.11638123912427127</v>
      </c>
      <c r="M25" s="7">
        <f t="shared" si="8"/>
        <v>-0.10480166710907002</v>
      </c>
      <c r="N25" s="7">
        <f t="shared" si="9"/>
        <v>3.5438536820636788</v>
      </c>
      <c r="O25" s="9">
        <f t="shared" si="10"/>
        <v>29.386538461538468</v>
      </c>
      <c r="P25" s="7">
        <f t="shared" si="11"/>
        <v>0.1922910312614243</v>
      </c>
    </row>
    <row r="26" spans="1:16" x14ac:dyDescent="0.25">
      <c r="A26" t="s">
        <v>116</v>
      </c>
      <c r="B26">
        <v>2017</v>
      </c>
      <c r="C26" s="5" t="str">
        <f>'1_Du_lieu'!C30</f>
        <v>ĐBSCL</v>
      </c>
      <c r="D26" s="8">
        <f>'1_Du_lieu'!E30</f>
        <v>27.5</v>
      </c>
      <c r="E26" s="5">
        <f t="shared" si="0"/>
        <v>0</v>
      </c>
      <c r="F26" s="9">
        <f t="shared" si="1"/>
        <v>31.157407407407412</v>
      </c>
      <c r="G26" s="5">
        <f t="shared" si="2"/>
        <v>54</v>
      </c>
      <c r="H26" s="8">
        <f t="shared" si="3"/>
        <v>24</v>
      </c>
      <c r="I26" s="8">
        <f t="shared" si="4"/>
        <v>660</v>
      </c>
      <c r="J26" s="7">
        <f t="shared" si="5"/>
        <v>0.88261515601783047</v>
      </c>
      <c r="K26" s="7">
        <f t="shared" si="6"/>
        <v>-0.12486601028208304</v>
      </c>
      <c r="L26" s="7">
        <f t="shared" si="7"/>
        <v>-0.11020863314644475</v>
      </c>
      <c r="M26" s="7">
        <f t="shared" si="8"/>
        <v>0.12486601028208308</v>
      </c>
      <c r="N26" s="7">
        <f t="shared" si="9"/>
        <v>3.3141860046725258</v>
      </c>
      <c r="O26" s="9">
        <f t="shared" si="10"/>
        <v>29.386538461538468</v>
      </c>
      <c r="P26" s="7">
        <f t="shared" si="11"/>
        <v>-6.2091149650467935E-2</v>
      </c>
    </row>
    <row r="27" spans="1:16" x14ac:dyDescent="0.25">
      <c r="A27" t="s">
        <v>117</v>
      </c>
      <c r="B27">
        <v>2017</v>
      </c>
      <c r="C27" s="5" t="str">
        <f>'1_Du_lieu'!C31</f>
        <v>TN</v>
      </c>
      <c r="D27" s="8">
        <f>'1_Du_lieu'!E31</f>
        <v>24.2</v>
      </c>
      <c r="E27" s="5">
        <f t="shared" si="0"/>
        <v>0</v>
      </c>
      <c r="F27" s="9">
        <f t="shared" si="1"/>
        <v>31.157407407407412</v>
      </c>
      <c r="G27" s="5">
        <f t="shared" si="2"/>
        <v>54</v>
      </c>
      <c r="H27" s="8">
        <f t="shared" si="3"/>
        <v>8.5</v>
      </c>
      <c r="I27" s="8">
        <f t="shared" si="4"/>
        <v>205.7</v>
      </c>
      <c r="J27" s="7">
        <f t="shared" si="5"/>
        <v>0.7767013372956908</v>
      </c>
      <c r="K27" s="7">
        <f t="shared" si="6"/>
        <v>-0.25269938179196794</v>
      </c>
      <c r="L27" s="7">
        <f t="shared" si="7"/>
        <v>-0.19627194777161583</v>
      </c>
      <c r="M27" s="7">
        <f t="shared" si="8"/>
        <v>0.25269938179196799</v>
      </c>
      <c r="N27" s="7">
        <f t="shared" si="9"/>
        <v>3.1863526331626408</v>
      </c>
      <c r="O27" s="9">
        <f t="shared" si="10"/>
        <v>29.386538461538468</v>
      </c>
      <c r="P27" s="7">
        <f t="shared" si="11"/>
        <v>-0.15991180040260033</v>
      </c>
    </row>
    <row r="28" spans="1:16" x14ac:dyDescent="0.25">
      <c r="A28" t="s">
        <v>119</v>
      </c>
      <c r="B28">
        <v>2017</v>
      </c>
      <c r="C28" s="5" t="str">
        <f>'1_Du_lieu'!C33</f>
        <v>ĐBSCL</v>
      </c>
      <c r="D28" s="8">
        <f>'1_Du_lieu'!E33</f>
        <v>27.9</v>
      </c>
      <c r="E28" s="5">
        <f t="shared" si="0"/>
        <v>0</v>
      </c>
      <c r="F28" s="9">
        <f t="shared" si="1"/>
        <v>31.157407407407412</v>
      </c>
      <c r="G28" s="5">
        <f t="shared" si="2"/>
        <v>54</v>
      </c>
      <c r="H28" s="8">
        <f t="shared" si="3"/>
        <v>25</v>
      </c>
      <c r="I28" s="8">
        <f t="shared" si="4"/>
        <v>697.5</v>
      </c>
      <c r="J28" s="7">
        <f t="shared" si="5"/>
        <v>0.89545319465081707</v>
      </c>
      <c r="K28" s="7">
        <f t="shared" si="6"/>
        <v>-0.11042532612728873</v>
      </c>
      <c r="L28" s="7">
        <f t="shared" si="7"/>
        <v>-9.888071105103903E-2</v>
      </c>
      <c r="M28" s="7">
        <f t="shared" si="8"/>
        <v>0.11042532612728866</v>
      </c>
      <c r="N28" s="7">
        <f t="shared" si="9"/>
        <v>3.3286266888273199</v>
      </c>
      <c r="O28" s="9">
        <f t="shared" si="10"/>
        <v>29.386538461538468</v>
      </c>
      <c r="P28" s="7">
        <f t="shared" si="11"/>
        <v>-4.9284101529831439E-2</v>
      </c>
    </row>
    <row r="29" spans="1:16" x14ac:dyDescent="0.25">
      <c r="A29" t="s">
        <v>120</v>
      </c>
      <c r="B29">
        <v>2017</v>
      </c>
      <c r="C29" s="5" t="str">
        <f>'1_Du_lieu'!C34</f>
        <v>TDMNPB</v>
      </c>
      <c r="D29" s="8">
        <f>'1_Du_lieu'!E34</f>
        <v>26.6</v>
      </c>
      <c r="E29" s="5">
        <f t="shared" si="0"/>
        <v>0</v>
      </c>
      <c r="F29" s="9">
        <f t="shared" si="1"/>
        <v>31.157407407407412</v>
      </c>
      <c r="G29" s="5">
        <f t="shared" si="2"/>
        <v>54</v>
      </c>
      <c r="H29" s="8">
        <f t="shared" si="3"/>
        <v>18</v>
      </c>
      <c r="I29" s="8">
        <f t="shared" si="4"/>
        <v>478.8</v>
      </c>
      <c r="J29" s="7">
        <f t="shared" si="5"/>
        <v>0.85372956909361064</v>
      </c>
      <c r="K29" s="7">
        <f t="shared" si="6"/>
        <v>-0.15814079916695517</v>
      </c>
      <c r="L29" s="7">
        <f t="shared" si="7"/>
        <v>-0.13500947632892385</v>
      </c>
      <c r="M29" s="7">
        <f t="shared" si="8"/>
        <v>0.15814079916695523</v>
      </c>
      <c r="N29" s="7">
        <f t="shared" si="9"/>
        <v>3.2809112157876537</v>
      </c>
      <c r="O29" s="9">
        <f t="shared" si="10"/>
        <v>29.386538461538468</v>
      </c>
      <c r="P29" s="7">
        <f t="shared" si="11"/>
        <v>-9.0178628037769396E-2</v>
      </c>
    </row>
    <row r="30" spans="1:16" x14ac:dyDescent="0.25">
      <c r="A30" t="s">
        <v>121</v>
      </c>
      <c r="B30">
        <v>2017</v>
      </c>
      <c r="C30" s="5" t="str">
        <f>'1_Du_lieu'!C35</f>
        <v>TN</v>
      </c>
      <c r="D30" s="8">
        <f>'1_Du_lieu'!E35</f>
        <v>27.2</v>
      </c>
      <c r="E30" s="5">
        <f t="shared" si="0"/>
        <v>0</v>
      </c>
      <c r="F30" s="9">
        <f t="shared" si="1"/>
        <v>31.157407407407412</v>
      </c>
      <c r="G30" s="5">
        <f t="shared" si="2"/>
        <v>54</v>
      </c>
      <c r="H30" s="8">
        <f t="shared" si="3"/>
        <v>22.5</v>
      </c>
      <c r="I30" s="8">
        <f t="shared" si="4"/>
        <v>612</v>
      </c>
      <c r="J30" s="7">
        <f t="shared" si="5"/>
        <v>0.87298662704309049</v>
      </c>
      <c r="K30" s="7">
        <f t="shared" si="6"/>
        <v>-0.13583504165265703</v>
      </c>
      <c r="L30" s="7">
        <f t="shared" si="7"/>
        <v>-0.11858217484661077</v>
      </c>
      <c r="M30" s="7">
        <f t="shared" si="8"/>
        <v>0.13583504165265695</v>
      </c>
      <c r="N30" s="7">
        <f t="shared" si="9"/>
        <v>3.3032169733019514</v>
      </c>
      <c r="O30" s="9">
        <f t="shared" si="10"/>
        <v>29.386538461538468</v>
      </c>
      <c r="P30" s="7">
        <f t="shared" si="11"/>
        <v>-7.1566659902785615E-2</v>
      </c>
    </row>
    <row r="31" spans="1:16" x14ac:dyDescent="0.25">
      <c r="A31" t="s">
        <v>122</v>
      </c>
      <c r="B31">
        <v>2017</v>
      </c>
      <c r="C31" s="5" t="str">
        <f>'1_Du_lieu'!C36</f>
        <v>TDMNPB</v>
      </c>
      <c r="D31" s="8">
        <f>'1_Du_lieu'!E36</f>
        <v>21.2</v>
      </c>
      <c r="E31" s="5">
        <f t="shared" si="0"/>
        <v>0</v>
      </c>
      <c r="F31" s="9">
        <f t="shared" si="1"/>
        <v>31.157407407407412</v>
      </c>
      <c r="G31" s="5">
        <f t="shared" si="2"/>
        <v>54</v>
      </c>
      <c r="H31" s="8">
        <f t="shared" si="3"/>
        <v>1.5</v>
      </c>
      <c r="I31" s="8">
        <f t="shared" si="4"/>
        <v>31.799999999999997</v>
      </c>
      <c r="J31" s="7">
        <f t="shared" si="5"/>
        <v>0.6804160475482911</v>
      </c>
      <c r="K31" s="7">
        <f t="shared" si="6"/>
        <v>-0.38505083327664191</v>
      </c>
      <c r="L31" s="7">
        <f t="shared" si="7"/>
        <v>-0.26199476608326872</v>
      </c>
      <c r="M31" s="7">
        <f t="shared" si="8"/>
        <v>0.38505083327664197</v>
      </c>
      <c r="N31" s="7">
        <f t="shared" si="9"/>
        <v>3.0540011816779669</v>
      </c>
      <c r="O31" s="9">
        <f t="shared" si="10"/>
        <v>29.386538461538468</v>
      </c>
      <c r="P31" s="7">
        <f t="shared" si="11"/>
        <v>-0.2355688428876668</v>
      </c>
    </row>
    <row r="32" spans="1:16" x14ac:dyDescent="0.25">
      <c r="A32" t="s">
        <v>123</v>
      </c>
      <c r="B32">
        <v>2017</v>
      </c>
      <c r="C32" s="5" t="str">
        <f>'1_Du_lieu'!C37</f>
        <v>ĐBSH</v>
      </c>
      <c r="D32" s="8">
        <f>'1_Du_lieu'!E37</f>
        <v>33.299999999999997</v>
      </c>
      <c r="E32" s="5">
        <f t="shared" si="0"/>
        <v>0</v>
      </c>
      <c r="F32" s="9">
        <f t="shared" si="1"/>
        <v>31.157407407407412</v>
      </c>
      <c r="G32" s="5">
        <f t="shared" si="2"/>
        <v>54</v>
      </c>
      <c r="H32" s="8">
        <f t="shared" si="3"/>
        <v>42</v>
      </c>
      <c r="I32" s="8">
        <f t="shared" si="4"/>
        <v>1398.6</v>
      </c>
      <c r="J32" s="7">
        <f t="shared" si="5"/>
        <v>1.0687667161961365</v>
      </c>
      <c r="K32" s="7">
        <f t="shared" si="6"/>
        <v>6.6505382031789476E-2</v>
      </c>
      <c r="L32" s="7">
        <f t="shared" si="7"/>
        <v>7.107873876348518E-2</v>
      </c>
      <c r="M32" s="7">
        <f t="shared" si="8"/>
        <v>-6.6505382031789434E-2</v>
      </c>
      <c r="N32" s="7">
        <f t="shared" si="9"/>
        <v>3.505557396986398</v>
      </c>
      <c r="O32" s="9">
        <f t="shared" si="10"/>
        <v>29.386538461538468</v>
      </c>
      <c r="P32" s="7">
        <f t="shared" si="11"/>
        <v>0.14166994911306335</v>
      </c>
    </row>
    <row r="33" spans="1:16" x14ac:dyDescent="0.25">
      <c r="A33" t="s">
        <v>124</v>
      </c>
      <c r="B33">
        <v>2017</v>
      </c>
      <c r="C33" s="5" t="str">
        <f>'1_Du_lieu'!C38</f>
        <v>BTB&amp;DHMT</v>
      </c>
      <c r="D33" s="8">
        <f>'1_Du_lieu'!E38</f>
        <v>30.7</v>
      </c>
      <c r="E33" s="5">
        <f t="shared" si="0"/>
        <v>0</v>
      </c>
      <c r="F33" s="9">
        <f t="shared" si="1"/>
        <v>31.157407407407412</v>
      </c>
      <c r="G33" s="5">
        <f t="shared" si="2"/>
        <v>54</v>
      </c>
      <c r="H33" s="8">
        <f t="shared" si="3"/>
        <v>38</v>
      </c>
      <c r="I33" s="8">
        <f t="shared" si="4"/>
        <v>1166.5999999999999</v>
      </c>
      <c r="J33" s="7">
        <f t="shared" si="5"/>
        <v>0.98531946508172341</v>
      </c>
      <c r="K33" s="7">
        <f t="shared" si="6"/>
        <v>-1.4789360361457234E-2</v>
      </c>
      <c r="L33" s="7">
        <f t="shared" si="7"/>
        <v>-1.4572244640251884E-2</v>
      </c>
      <c r="M33" s="7">
        <f t="shared" si="8"/>
        <v>1.4789360361457097E-2</v>
      </c>
      <c r="N33" s="7">
        <f t="shared" si="9"/>
        <v>3.4242626545931514</v>
      </c>
      <c r="O33" s="9">
        <f t="shared" si="10"/>
        <v>29.386538461538468</v>
      </c>
      <c r="P33" s="7">
        <f t="shared" si="11"/>
        <v>4.5680337309965992E-2</v>
      </c>
    </row>
    <row r="34" spans="1:16" x14ac:dyDescent="0.25">
      <c r="A34" t="s">
        <v>125</v>
      </c>
      <c r="B34">
        <v>2017</v>
      </c>
      <c r="C34" s="5" t="str">
        <f>'1_Du_lieu'!C39</f>
        <v>ĐBSH</v>
      </c>
      <c r="D34" s="8">
        <f>'1_Du_lieu'!E39</f>
        <v>29.6</v>
      </c>
      <c r="E34" s="5">
        <f t="shared" si="0"/>
        <v>0</v>
      </c>
      <c r="F34" s="9">
        <f t="shared" si="1"/>
        <v>31.157407407407412</v>
      </c>
      <c r="G34" s="5">
        <f t="shared" si="2"/>
        <v>54</v>
      </c>
      <c r="H34" s="8">
        <f t="shared" si="3"/>
        <v>35</v>
      </c>
      <c r="I34" s="8">
        <f t="shared" si="4"/>
        <v>1036</v>
      </c>
      <c r="J34" s="7">
        <f t="shared" si="5"/>
        <v>0.95001485884101033</v>
      </c>
      <c r="K34" s="7">
        <f t="shared" si="6"/>
        <v>-5.1277653624593869E-2</v>
      </c>
      <c r="L34" s="7">
        <f t="shared" si="7"/>
        <v>-4.8714532869866767E-2</v>
      </c>
      <c r="M34" s="7">
        <f t="shared" si="8"/>
        <v>5.1277653624593966E-2</v>
      </c>
      <c r="N34" s="7">
        <f t="shared" si="9"/>
        <v>3.3877743613300146</v>
      </c>
      <c r="O34" s="9">
        <f t="shared" si="10"/>
        <v>29.386538461538468</v>
      </c>
      <c r="P34" s="7">
        <f t="shared" si="11"/>
        <v>7.2902411547114731E-3</v>
      </c>
    </row>
    <row r="35" spans="1:16" x14ac:dyDescent="0.25">
      <c r="A35" t="s">
        <v>126</v>
      </c>
      <c r="B35">
        <v>2017</v>
      </c>
      <c r="C35" s="5" t="str">
        <f>'1_Du_lieu'!C40</f>
        <v>BTB&amp;DHMT</v>
      </c>
      <c r="D35" s="8">
        <f>'1_Du_lieu'!E40</f>
        <v>25.3</v>
      </c>
      <c r="E35" s="5">
        <f t="shared" si="0"/>
        <v>0</v>
      </c>
      <c r="F35" s="9">
        <f t="shared" si="1"/>
        <v>31.157407407407412</v>
      </c>
      <c r="G35" s="5">
        <f t="shared" si="2"/>
        <v>54</v>
      </c>
      <c r="H35" s="8">
        <f t="shared" si="3"/>
        <v>12.5</v>
      </c>
      <c r="I35" s="8">
        <f t="shared" si="4"/>
        <v>316.25</v>
      </c>
      <c r="J35" s="7">
        <f t="shared" si="5"/>
        <v>0.8120059435364041</v>
      </c>
      <c r="K35" s="7">
        <f t="shared" si="6"/>
        <v>-0.20824761922113402</v>
      </c>
      <c r="L35" s="7">
        <f t="shared" si="7"/>
        <v>-0.16909830453486674</v>
      </c>
      <c r="M35" s="7">
        <f t="shared" si="8"/>
        <v>0.20824761922113408</v>
      </c>
      <c r="N35" s="7">
        <f t="shared" si="9"/>
        <v>3.2308043957334744</v>
      </c>
      <c r="O35" s="9">
        <f t="shared" si="10"/>
        <v>29.386538461538468</v>
      </c>
      <c r="P35" s="7">
        <f t="shared" si="11"/>
        <v>-0.12891028835719204</v>
      </c>
    </row>
    <row r="36" spans="1:16" x14ac:dyDescent="0.25">
      <c r="A36" t="s">
        <v>127</v>
      </c>
      <c r="B36">
        <v>2017</v>
      </c>
      <c r="C36" s="5" t="str">
        <f>'1_Du_lieu'!C41</f>
        <v>TDMNPB</v>
      </c>
      <c r="D36" s="8">
        <f>'1_Du_lieu'!E41</f>
        <v>28.5</v>
      </c>
      <c r="E36" s="5">
        <f t="shared" si="0"/>
        <v>0</v>
      </c>
      <c r="F36" s="9">
        <f t="shared" si="1"/>
        <v>31.157407407407412</v>
      </c>
      <c r="G36" s="5">
        <f t="shared" si="2"/>
        <v>54</v>
      </c>
      <c r="H36" s="8">
        <f t="shared" si="3"/>
        <v>30</v>
      </c>
      <c r="I36" s="8">
        <f t="shared" si="4"/>
        <v>855</v>
      </c>
      <c r="J36" s="7">
        <f t="shared" si="5"/>
        <v>0.91471025260029704</v>
      </c>
      <c r="K36" s="7">
        <f t="shared" si="6"/>
        <v>-8.9147927680003805E-2</v>
      </c>
      <c r="L36" s="7">
        <f t="shared" si="7"/>
        <v>-8.1544523446969289E-2</v>
      </c>
      <c r="M36" s="7">
        <f t="shared" si="8"/>
        <v>8.9147927680003763E-2</v>
      </c>
      <c r="N36" s="7">
        <f t="shared" si="9"/>
        <v>3.3499040872746049</v>
      </c>
      <c r="O36" s="9">
        <f t="shared" si="10"/>
        <v>29.386538461538468</v>
      </c>
      <c r="P36" s="7">
        <f t="shared" si="11"/>
        <v>-2.9708476677688642E-2</v>
      </c>
    </row>
    <row r="37" spans="1:16" x14ac:dyDescent="0.25">
      <c r="A37" t="s">
        <v>128</v>
      </c>
      <c r="B37">
        <v>2017</v>
      </c>
      <c r="C37" s="5" t="str">
        <f>'1_Du_lieu'!C42</f>
        <v>BTB&amp;DHMT</v>
      </c>
      <c r="D37" s="8">
        <f>'1_Du_lieu'!E42</f>
        <v>25.4</v>
      </c>
      <c r="E37" s="5">
        <f t="shared" si="0"/>
        <v>0</v>
      </c>
      <c r="F37" s="9">
        <f t="shared" ref="F37:F58" si="12">AVERAGE($D$5:$D$58)</f>
        <v>31.157407407407412</v>
      </c>
      <c r="G37" s="5">
        <f t="shared" ref="G37:G58" si="13">COUNT($D$5:$D$58)</f>
        <v>54</v>
      </c>
      <c r="H37" s="8">
        <f t="shared" ref="H37:H58" si="14">_xlfn.RANK.AVG(D37,$D$5:$D$58,1)</f>
        <v>14</v>
      </c>
      <c r="I37" s="8">
        <f t="shared" si="4"/>
        <v>355.59999999999997</v>
      </c>
      <c r="J37" s="7">
        <f t="shared" si="5"/>
        <v>0.81521545319465061</v>
      </c>
      <c r="K37" s="7">
        <f t="shared" si="6"/>
        <v>-0.20430284093011786</v>
      </c>
      <c r="L37" s="7">
        <f t="shared" si="7"/>
        <v>-0.16655083305780063</v>
      </c>
      <c r="M37" s="7">
        <f t="shared" si="8"/>
        <v>0.20430284093011786</v>
      </c>
      <c r="N37" s="7">
        <f t="shared" si="9"/>
        <v>3.2347491740244907</v>
      </c>
      <c r="O37" s="9">
        <f t="shared" ref="O37:O58" si="15">SUMPRODUCT((1-$E$5:$E$58)*$D$5:$D$58)/(G37-SUM($E$5:$E$58))</f>
        <v>29.386538461538468</v>
      </c>
      <c r="P37" s="7">
        <f t="shared" si="11"/>
        <v>-0.12601018023885324</v>
      </c>
    </row>
    <row r="38" spans="1:16" x14ac:dyDescent="0.25">
      <c r="A38" t="s">
        <v>129</v>
      </c>
      <c r="B38">
        <v>2017</v>
      </c>
      <c r="C38" s="5" t="str">
        <f>'1_Du_lieu'!C43</f>
        <v>BTB&amp;DHMT</v>
      </c>
      <c r="D38" s="8">
        <f>'1_Du_lieu'!E43</f>
        <v>25.3</v>
      </c>
      <c r="E38" s="5">
        <f t="shared" si="0"/>
        <v>0</v>
      </c>
      <c r="F38" s="9">
        <f t="shared" si="12"/>
        <v>31.157407407407412</v>
      </c>
      <c r="G38" s="5">
        <f t="shared" si="13"/>
        <v>54</v>
      </c>
      <c r="H38" s="8">
        <f t="shared" si="14"/>
        <v>12.5</v>
      </c>
      <c r="I38" s="8">
        <f t="shared" si="4"/>
        <v>316.25</v>
      </c>
      <c r="J38" s="7">
        <f t="shared" si="5"/>
        <v>0.8120059435364041</v>
      </c>
      <c r="K38" s="7">
        <f t="shared" si="6"/>
        <v>-0.20824761922113402</v>
      </c>
      <c r="L38" s="7">
        <f t="shared" si="7"/>
        <v>-0.16909830453486674</v>
      </c>
      <c r="M38" s="7">
        <f t="shared" si="8"/>
        <v>0.20824761922113408</v>
      </c>
      <c r="N38" s="7">
        <f t="shared" si="9"/>
        <v>3.2308043957334744</v>
      </c>
      <c r="O38" s="9">
        <f t="shared" si="15"/>
        <v>29.386538461538468</v>
      </c>
      <c r="P38" s="7">
        <f t="shared" si="11"/>
        <v>-0.12891028835719204</v>
      </c>
    </row>
    <row r="39" spans="1:16" x14ac:dyDescent="0.25">
      <c r="A39" t="s">
        <v>130</v>
      </c>
      <c r="B39">
        <v>2017</v>
      </c>
      <c r="C39" s="5" t="str">
        <f>'1_Du_lieu'!C44</f>
        <v>BTB&amp;DHMT</v>
      </c>
      <c r="D39" s="8">
        <f>'1_Du_lieu'!E44</f>
        <v>29.2</v>
      </c>
      <c r="E39" s="5">
        <f t="shared" si="0"/>
        <v>0</v>
      </c>
      <c r="F39" s="9">
        <f t="shared" si="12"/>
        <v>31.157407407407412</v>
      </c>
      <c r="G39" s="5">
        <f t="shared" si="13"/>
        <v>54</v>
      </c>
      <c r="H39" s="8">
        <f t="shared" si="14"/>
        <v>31</v>
      </c>
      <c r="I39" s="8">
        <f t="shared" si="4"/>
        <v>905.19999999999993</v>
      </c>
      <c r="J39" s="7">
        <f t="shared" si="5"/>
        <v>0.93717682020802362</v>
      </c>
      <c r="K39" s="7">
        <f t="shared" si="6"/>
        <v>-6.488330568037258E-2</v>
      </c>
      <c r="L39" s="7">
        <f t="shared" si="7"/>
        <v>-6.0807130102116774E-2</v>
      </c>
      <c r="M39" s="7">
        <f t="shared" si="8"/>
        <v>6.4883305680372594E-2</v>
      </c>
      <c r="N39" s="7">
        <f t="shared" si="9"/>
        <v>3.3741687092742358</v>
      </c>
      <c r="O39" s="9">
        <f t="shared" si="15"/>
        <v>29.386538461538468</v>
      </c>
      <c r="P39" s="7">
        <f t="shared" si="11"/>
        <v>-6.3275623668769213E-3</v>
      </c>
    </row>
    <row r="40" spans="1:16" x14ac:dyDescent="0.25">
      <c r="A40" t="s">
        <v>131</v>
      </c>
      <c r="B40">
        <v>2017</v>
      </c>
      <c r="C40" s="5" t="str">
        <f>'1_Du_lieu'!C45</f>
        <v>BTB&amp;DHMT</v>
      </c>
      <c r="D40" s="8">
        <f>'1_Du_lieu'!E45</f>
        <v>25.6</v>
      </c>
      <c r="E40" s="5">
        <f t="shared" si="0"/>
        <v>0</v>
      </c>
      <c r="F40" s="9">
        <f t="shared" si="12"/>
        <v>31.157407407407412</v>
      </c>
      <c r="G40" s="5">
        <f t="shared" si="13"/>
        <v>54</v>
      </c>
      <c r="H40" s="8">
        <f t="shared" si="14"/>
        <v>15</v>
      </c>
      <c r="I40" s="8">
        <f t="shared" si="4"/>
        <v>384</v>
      </c>
      <c r="J40" s="7">
        <f t="shared" si="5"/>
        <v>0.82163447251114408</v>
      </c>
      <c r="K40" s="7">
        <f t="shared" si="6"/>
        <v>-0.19645966346909177</v>
      </c>
      <c r="L40" s="7">
        <f t="shared" si="7"/>
        <v>-0.16141803196414409</v>
      </c>
      <c r="M40" s="7">
        <f t="shared" si="8"/>
        <v>0.19645966346909169</v>
      </c>
      <c r="N40" s="7">
        <f t="shared" si="9"/>
        <v>3.2425923514855168</v>
      </c>
      <c r="O40" s="9">
        <f t="shared" si="15"/>
        <v>29.386538461538468</v>
      </c>
      <c r="P40" s="7">
        <f t="shared" si="11"/>
        <v>-0.12016982448460763</v>
      </c>
    </row>
    <row r="41" spans="1:16" x14ac:dyDescent="0.25">
      <c r="A41" t="s">
        <v>132</v>
      </c>
      <c r="B41">
        <v>2017</v>
      </c>
      <c r="C41" s="5" t="str">
        <f>'1_Du_lieu'!C46</f>
        <v>ĐBSH</v>
      </c>
      <c r="D41" s="8">
        <f>'1_Du_lieu'!E46</f>
        <v>32.700000000000003</v>
      </c>
      <c r="E41" s="5">
        <f t="shared" si="0"/>
        <v>0</v>
      </c>
      <c r="F41" s="9">
        <f t="shared" si="12"/>
        <v>31.157407407407412</v>
      </c>
      <c r="G41" s="5">
        <f t="shared" si="13"/>
        <v>54</v>
      </c>
      <c r="H41" s="8">
        <f t="shared" si="14"/>
        <v>41</v>
      </c>
      <c r="I41" s="8">
        <f t="shared" si="4"/>
        <v>1340.7</v>
      </c>
      <c r="J41" s="7">
        <f t="shared" si="5"/>
        <v>1.0495096582466568</v>
      </c>
      <c r="K41" s="7">
        <f t="shared" si="6"/>
        <v>4.832306294859922E-2</v>
      </c>
      <c r="L41" s="7">
        <f t="shared" si="7"/>
        <v>5.0715521280616051E-2</v>
      </c>
      <c r="M41" s="7">
        <f t="shared" si="8"/>
        <v>-4.8323062948599158E-2</v>
      </c>
      <c r="N41" s="7">
        <f t="shared" si="9"/>
        <v>3.487375077903208</v>
      </c>
      <c r="O41" s="9">
        <f t="shared" si="15"/>
        <v>29.386538461538468</v>
      </c>
      <c r="P41" s="7">
        <f t="shared" si="11"/>
        <v>0.11888488183912638</v>
      </c>
    </row>
    <row r="42" spans="1:16" x14ac:dyDescent="0.25">
      <c r="A42" t="s">
        <v>133</v>
      </c>
      <c r="B42">
        <v>2017</v>
      </c>
      <c r="C42" s="5" t="str">
        <f>'1_Du_lieu'!C47</f>
        <v>BTB&amp;DHMT</v>
      </c>
      <c r="D42" s="8">
        <f>'1_Du_lieu'!E47</f>
        <v>25.7</v>
      </c>
      <c r="E42" s="5">
        <f t="shared" si="0"/>
        <v>0</v>
      </c>
      <c r="F42" s="9">
        <f t="shared" si="12"/>
        <v>31.157407407407412</v>
      </c>
      <c r="G42" s="5">
        <f t="shared" si="13"/>
        <v>54</v>
      </c>
      <c r="H42" s="8">
        <f t="shared" si="14"/>
        <v>16</v>
      </c>
      <c r="I42" s="8">
        <f t="shared" si="4"/>
        <v>411.2</v>
      </c>
      <c r="J42" s="7">
        <f t="shared" si="5"/>
        <v>0.8248439821693907</v>
      </c>
      <c r="K42" s="7">
        <f t="shared" si="6"/>
        <v>-0.19256102305343448</v>
      </c>
      <c r="L42" s="7">
        <f t="shared" si="7"/>
        <v>-0.15883280106600675</v>
      </c>
      <c r="M42" s="7">
        <f t="shared" si="8"/>
        <v>0.19256102305343453</v>
      </c>
      <c r="N42" s="7">
        <f t="shared" si="9"/>
        <v>3.2464909919011742</v>
      </c>
      <c r="O42" s="9">
        <f t="shared" si="15"/>
        <v>29.386538461538468</v>
      </c>
      <c r="P42" s="7">
        <f t="shared" si="11"/>
        <v>-0.11722968151604915</v>
      </c>
    </row>
    <row r="43" spans="1:16" x14ac:dyDescent="0.25">
      <c r="A43" t="s">
        <v>136</v>
      </c>
      <c r="B43">
        <v>2017</v>
      </c>
      <c r="C43" s="5" t="str">
        <f>'1_Du_lieu'!C50</f>
        <v>ĐNB</v>
      </c>
      <c r="D43" s="8">
        <f>'1_Du_lieu'!E50</f>
        <v>78.599999999999994</v>
      </c>
      <c r="E43" s="5">
        <f t="shared" si="0"/>
        <v>1</v>
      </c>
      <c r="F43" s="9">
        <f t="shared" si="12"/>
        <v>31.157407407407412</v>
      </c>
      <c r="G43" s="5">
        <f t="shared" si="13"/>
        <v>54</v>
      </c>
      <c r="H43" s="8">
        <f t="shared" si="14"/>
        <v>54</v>
      </c>
      <c r="I43" s="8">
        <f t="shared" si="4"/>
        <v>4244.3999999999996</v>
      </c>
      <c r="J43" s="7">
        <f t="shared" si="5"/>
        <v>2.5226745913818718</v>
      </c>
      <c r="K43" s="7">
        <f t="shared" si="6"/>
        <v>0.92531968448055224</v>
      </c>
      <c r="L43" s="7">
        <f t="shared" si="7"/>
        <v>2.3342804569445796</v>
      </c>
      <c r="M43" s="7">
        <f t="shared" si="8"/>
        <v>-0.92531968448055224</v>
      </c>
      <c r="N43" s="7">
        <f t="shared" si="9"/>
        <v>4.3643716994351607</v>
      </c>
      <c r="O43" s="9">
        <f t="shared" si="15"/>
        <v>29.386538461538468</v>
      </c>
      <c r="P43" s="7">
        <f t="shared" si="11"/>
        <v>0</v>
      </c>
    </row>
    <row r="44" spans="1:16" x14ac:dyDescent="0.25">
      <c r="A44" t="s">
        <v>137</v>
      </c>
      <c r="B44">
        <v>2017</v>
      </c>
      <c r="C44" s="5" t="str">
        <f>'1_Du_lieu'!C51</f>
        <v>BTB&amp;DHMT</v>
      </c>
      <c r="D44" s="8">
        <f>'1_Du_lieu'!E51</f>
        <v>29.5</v>
      </c>
      <c r="E44" s="5">
        <f t="shared" si="0"/>
        <v>0</v>
      </c>
      <c r="F44" s="9">
        <f t="shared" si="12"/>
        <v>31.157407407407412</v>
      </c>
      <c r="G44" s="5">
        <f t="shared" si="13"/>
        <v>54</v>
      </c>
      <c r="H44" s="8">
        <f t="shared" si="14"/>
        <v>33.5</v>
      </c>
      <c r="I44" s="8">
        <f t="shared" si="4"/>
        <v>988.25</v>
      </c>
      <c r="J44" s="7">
        <f t="shared" si="5"/>
        <v>0.9468053491827636</v>
      </c>
      <c r="K44" s="7">
        <f t="shared" si="6"/>
        <v>-5.4661751608834498E-2</v>
      </c>
      <c r="L44" s="7">
        <f t="shared" si="7"/>
        <v>-5.175403881894404E-2</v>
      </c>
      <c r="M44" s="7">
        <f t="shared" si="8"/>
        <v>5.4661751608834581E-2</v>
      </c>
      <c r="N44" s="7">
        <f t="shared" si="9"/>
        <v>3.3843902633457743</v>
      </c>
      <c r="O44" s="9">
        <f t="shared" si="15"/>
        <v>29.386538461538468</v>
      </c>
      <c r="P44" s="7">
        <f t="shared" si="11"/>
        <v>3.8684479619974328E-3</v>
      </c>
    </row>
    <row r="45" spans="1:16" x14ac:dyDescent="0.25">
      <c r="A45" t="s">
        <v>138</v>
      </c>
      <c r="B45">
        <v>2017</v>
      </c>
      <c r="C45" s="5" t="str">
        <f>'1_Du_lieu'!C52</f>
        <v>ĐBSH</v>
      </c>
      <c r="D45" s="8">
        <f>'1_Du_lieu'!E52</f>
        <v>28.3</v>
      </c>
      <c r="E45" s="5">
        <f t="shared" si="0"/>
        <v>0</v>
      </c>
      <c r="F45" s="9">
        <f t="shared" si="12"/>
        <v>31.157407407407412</v>
      </c>
      <c r="G45" s="5">
        <f t="shared" si="13"/>
        <v>54</v>
      </c>
      <c r="H45" s="8">
        <f t="shared" si="14"/>
        <v>29</v>
      </c>
      <c r="I45" s="8">
        <f t="shared" si="4"/>
        <v>820.7</v>
      </c>
      <c r="J45" s="7">
        <f t="shared" si="5"/>
        <v>0.90829123328380379</v>
      </c>
      <c r="K45" s="7">
        <f t="shared" si="6"/>
        <v>-9.6190210305416621E-2</v>
      </c>
      <c r="L45" s="7">
        <f t="shared" si="7"/>
        <v>-8.7368724748135312E-2</v>
      </c>
      <c r="M45" s="7">
        <f t="shared" si="8"/>
        <v>9.6190210305416746E-2</v>
      </c>
      <c r="N45" s="7">
        <f t="shared" si="9"/>
        <v>3.3428618046491918</v>
      </c>
      <c r="O45" s="9">
        <f t="shared" si="15"/>
        <v>29.386538461538468</v>
      </c>
      <c r="P45" s="7">
        <f t="shared" si="11"/>
        <v>-3.6281897266199764E-2</v>
      </c>
    </row>
    <row r="46" spans="1:16" x14ac:dyDescent="0.25">
      <c r="A46" t="s">
        <v>139</v>
      </c>
      <c r="B46">
        <v>2017</v>
      </c>
      <c r="C46" s="5" t="str">
        <f>'1_Du_lieu'!C53</f>
        <v>TDMNPB</v>
      </c>
      <c r="D46" s="8">
        <f>'1_Du_lieu'!E53</f>
        <v>25.2</v>
      </c>
      <c r="E46" s="5">
        <f t="shared" si="0"/>
        <v>0</v>
      </c>
      <c r="F46" s="9">
        <f t="shared" si="12"/>
        <v>31.157407407407412</v>
      </c>
      <c r="G46" s="5">
        <f t="shared" si="13"/>
        <v>54</v>
      </c>
      <c r="H46" s="8">
        <f t="shared" si="14"/>
        <v>11</v>
      </c>
      <c r="I46" s="8">
        <f t="shared" si="4"/>
        <v>277.2</v>
      </c>
      <c r="J46" s="7">
        <f t="shared" si="5"/>
        <v>0.80879643387815736</v>
      </c>
      <c r="K46" s="7">
        <f t="shared" si="6"/>
        <v>-0.21220802043723103</v>
      </c>
      <c r="L46" s="7">
        <f t="shared" si="7"/>
        <v>-0.17163309016997558</v>
      </c>
      <c r="M46" s="7">
        <f t="shared" si="8"/>
        <v>0.21220802043723108</v>
      </c>
      <c r="N46" s="7">
        <f t="shared" si="9"/>
        <v>3.2268439945173775</v>
      </c>
      <c r="O46" s="9">
        <f t="shared" si="15"/>
        <v>29.386538461538468</v>
      </c>
      <c r="P46" s="7">
        <f t="shared" si="11"/>
        <v>-0.13179694616913665</v>
      </c>
    </row>
    <row r="47" spans="1:16" x14ac:dyDescent="0.25">
      <c r="A47" t="s">
        <v>140</v>
      </c>
      <c r="B47">
        <v>2017</v>
      </c>
      <c r="C47" s="5" t="str">
        <f>'1_Du_lieu'!C54</f>
        <v>BTB&amp;DHMT</v>
      </c>
      <c r="D47" s="8">
        <f>'1_Du_lieu'!E54</f>
        <v>32.299999999999997</v>
      </c>
      <c r="E47" s="5">
        <f t="shared" si="0"/>
        <v>0</v>
      </c>
      <c r="F47" s="9">
        <f t="shared" si="12"/>
        <v>31.157407407407412</v>
      </c>
      <c r="G47" s="5">
        <f t="shared" si="13"/>
        <v>54</v>
      </c>
      <c r="H47" s="8">
        <f t="shared" si="14"/>
        <v>40</v>
      </c>
      <c r="I47" s="8">
        <f t="shared" si="4"/>
        <v>1292</v>
      </c>
      <c r="J47" s="7">
        <f t="shared" si="5"/>
        <v>1.0366716196136698</v>
      </c>
      <c r="K47" s="7">
        <f t="shared" si="6"/>
        <v>3.6015215274002074E-2</v>
      </c>
      <c r="L47" s="7">
        <f t="shared" si="7"/>
        <v>3.7335951548834713E-2</v>
      </c>
      <c r="M47" s="7">
        <f t="shared" si="8"/>
        <v>-3.601521527400213E-2</v>
      </c>
      <c r="N47" s="7">
        <f t="shared" si="9"/>
        <v>3.475067230228611</v>
      </c>
      <c r="O47" s="9">
        <f t="shared" si="15"/>
        <v>29.386538461538468</v>
      </c>
      <c r="P47" s="7">
        <f t="shared" si="11"/>
        <v>0.10390255127252718</v>
      </c>
    </row>
    <row r="48" spans="1:16" x14ac:dyDescent="0.25">
      <c r="A48" t="s">
        <v>141</v>
      </c>
      <c r="B48">
        <v>2017</v>
      </c>
      <c r="C48" s="5" t="str">
        <f>'1_Du_lieu'!C55</f>
        <v>ĐBSCL</v>
      </c>
      <c r="D48" s="8">
        <f>'1_Du_lieu'!E55</f>
        <v>27</v>
      </c>
      <c r="E48" s="5">
        <f t="shared" si="0"/>
        <v>0</v>
      </c>
      <c r="F48" s="9">
        <f t="shared" si="12"/>
        <v>31.157407407407412</v>
      </c>
      <c r="G48" s="5">
        <f t="shared" si="13"/>
        <v>54</v>
      </c>
      <c r="H48" s="8">
        <f t="shared" si="14"/>
        <v>20</v>
      </c>
      <c r="I48" s="8">
        <f t="shared" si="4"/>
        <v>540</v>
      </c>
      <c r="J48" s="7">
        <f t="shared" si="5"/>
        <v>0.86656760772659724</v>
      </c>
      <c r="K48" s="7">
        <f t="shared" si="6"/>
        <v>-0.14321514895027951</v>
      </c>
      <c r="L48" s="7">
        <f t="shared" si="7"/>
        <v>-0.12410560901605201</v>
      </c>
      <c r="M48" s="7">
        <f t="shared" si="8"/>
        <v>0.14321514895027954</v>
      </c>
      <c r="N48" s="7">
        <f t="shared" si="9"/>
        <v>3.2958368660043291</v>
      </c>
      <c r="O48" s="9">
        <f t="shared" si="15"/>
        <v>29.386538461538468</v>
      </c>
      <c r="P48" s="7">
        <f t="shared" si="11"/>
        <v>-7.7821188762344895E-2</v>
      </c>
    </row>
    <row r="49" spans="1:16" x14ac:dyDescent="0.25">
      <c r="A49" t="s">
        <v>142</v>
      </c>
      <c r="B49">
        <v>2017</v>
      </c>
      <c r="C49" s="5" t="str">
        <f>'1_Du_lieu'!C56</f>
        <v>ĐBSCL</v>
      </c>
      <c r="D49" s="8">
        <f>'1_Du_lieu'!E56</f>
        <v>26</v>
      </c>
      <c r="E49" s="5">
        <f t="shared" si="0"/>
        <v>0</v>
      </c>
      <c r="F49" s="9">
        <f t="shared" si="12"/>
        <v>31.157407407407412</v>
      </c>
      <c r="G49" s="5">
        <f t="shared" si="13"/>
        <v>54</v>
      </c>
      <c r="H49" s="8">
        <f t="shared" si="14"/>
        <v>17</v>
      </c>
      <c r="I49" s="8">
        <f t="shared" si="4"/>
        <v>442</v>
      </c>
      <c r="J49" s="7">
        <f t="shared" si="5"/>
        <v>0.83447251114413068</v>
      </c>
      <c r="K49" s="7">
        <f t="shared" si="6"/>
        <v>-0.18095547693312652</v>
      </c>
      <c r="L49" s="7">
        <f t="shared" si="7"/>
        <v>-0.1510023712416699</v>
      </c>
      <c r="M49" s="7">
        <f t="shared" si="8"/>
        <v>0.18095547693312666</v>
      </c>
      <c r="N49" s="7">
        <f t="shared" si="9"/>
        <v>3.2580965380214821</v>
      </c>
      <c r="O49" s="9">
        <f t="shared" si="15"/>
        <v>29.386538461538468</v>
      </c>
      <c r="P49" s="7">
        <f t="shared" si="11"/>
        <v>-0.10833001172909147</v>
      </c>
    </row>
    <row r="50" spans="1:16" x14ac:dyDescent="0.25">
      <c r="A50" t="s">
        <v>143</v>
      </c>
      <c r="B50">
        <v>2017</v>
      </c>
      <c r="C50" s="5" t="str">
        <f>'1_Du_lieu'!C57</f>
        <v>TDMNPB</v>
      </c>
      <c r="D50" s="8">
        <f>'1_Du_lieu'!E57</f>
        <v>23.2</v>
      </c>
      <c r="E50" s="5">
        <f t="shared" si="0"/>
        <v>0</v>
      </c>
      <c r="F50" s="9">
        <f t="shared" si="12"/>
        <v>31.157407407407412</v>
      </c>
      <c r="G50" s="5">
        <f t="shared" si="13"/>
        <v>54</v>
      </c>
      <c r="H50" s="8">
        <f t="shared" si="14"/>
        <v>4</v>
      </c>
      <c r="I50" s="8">
        <f t="shared" si="4"/>
        <v>92.8</v>
      </c>
      <c r="J50" s="7">
        <f t="shared" si="5"/>
        <v>0.74460624071322423</v>
      </c>
      <c r="K50" s="7">
        <f t="shared" si="6"/>
        <v>-0.29489973628234439</v>
      </c>
      <c r="L50" s="7">
        <f t="shared" si="7"/>
        <v>-0.21958418402051769</v>
      </c>
      <c r="M50" s="7">
        <f t="shared" si="8"/>
        <v>0.29489973628234439</v>
      </c>
      <c r="N50" s="7">
        <f t="shared" si="9"/>
        <v>3.1441522786722644</v>
      </c>
      <c r="O50" s="9">
        <f t="shared" si="15"/>
        <v>29.386538461538468</v>
      </c>
      <c r="P50" s="7">
        <f t="shared" si="11"/>
        <v>-0.18662008944919323</v>
      </c>
    </row>
    <row r="51" spans="1:16" x14ac:dyDescent="0.25">
      <c r="A51" t="s">
        <v>144</v>
      </c>
      <c r="B51">
        <v>2017</v>
      </c>
      <c r="C51" s="5" t="str">
        <f>'1_Du_lieu'!C58</f>
        <v>ĐNB</v>
      </c>
      <c r="D51" s="8">
        <f>'1_Du_lieu'!E58</f>
        <v>30.8</v>
      </c>
      <c r="E51" s="5">
        <f t="shared" si="0"/>
        <v>0</v>
      </c>
      <c r="F51" s="9">
        <f t="shared" si="12"/>
        <v>31.157407407407412</v>
      </c>
      <c r="G51" s="5">
        <f t="shared" si="13"/>
        <v>54</v>
      </c>
      <c r="H51" s="8">
        <f t="shared" si="14"/>
        <v>39</v>
      </c>
      <c r="I51" s="8">
        <f t="shared" si="4"/>
        <v>1201.2</v>
      </c>
      <c r="J51" s="7">
        <f t="shared" si="5"/>
        <v>0.98852897473997015</v>
      </c>
      <c r="K51" s="7">
        <f t="shared" si="6"/>
        <v>-1.1537324975079841E-2</v>
      </c>
      <c r="L51" s="7">
        <f t="shared" si="7"/>
        <v>-1.1404980028857528E-2</v>
      </c>
      <c r="M51" s="7">
        <f t="shared" si="8"/>
        <v>1.1537324975079715E-2</v>
      </c>
      <c r="N51" s="7">
        <f t="shared" si="9"/>
        <v>3.427514689979529</v>
      </c>
      <c r="O51" s="9">
        <f t="shared" si="15"/>
        <v>29.386538461538468</v>
      </c>
      <c r="P51" s="7">
        <f t="shared" si="11"/>
        <v>4.9237588059099918E-2</v>
      </c>
    </row>
    <row r="52" spans="1:16" x14ac:dyDescent="0.25">
      <c r="A52" t="s">
        <v>146</v>
      </c>
      <c r="B52">
        <v>2017</v>
      </c>
      <c r="C52" s="5" t="str">
        <f>'1_Du_lieu'!C60</f>
        <v>ĐBSH</v>
      </c>
      <c r="D52" s="8">
        <f>'1_Du_lieu'!E60</f>
        <v>33.5</v>
      </c>
      <c r="E52" s="5">
        <f t="shared" si="0"/>
        <v>0</v>
      </c>
      <c r="F52" s="9">
        <f t="shared" si="12"/>
        <v>31.157407407407412</v>
      </c>
      <c r="G52" s="5">
        <f t="shared" si="13"/>
        <v>54</v>
      </c>
      <c r="H52" s="8">
        <f t="shared" si="14"/>
        <v>43</v>
      </c>
      <c r="I52" s="8">
        <f t="shared" si="4"/>
        <v>1440.5</v>
      </c>
      <c r="J52" s="7">
        <f t="shared" si="5"/>
        <v>1.07518573551263</v>
      </c>
      <c r="K52" s="7">
        <f t="shared" si="6"/>
        <v>7.2493423876412222E-2</v>
      </c>
      <c r="L52" s="7">
        <f t="shared" si="7"/>
        <v>7.7943895270389127E-2</v>
      </c>
      <c r="M52" s="7">
        <f t="shared" si="8"/>
        <v>-7.2493423876412097E-2</v>
      </c>
      <c r="N52" s="7">
        <f t="shared" si="9"/>
        <v>3.5115454388310208</v>
      </c>
      <c r="O52" s="9">
        <f t="shared" si="15"/>
        <v>29.386538461538468</v>
      </c>
      <c r="P52" s="7">
        <f t="shared" si="11"/>
        <v>0.14934705414812757</v>
      </c>
    </row>
    <row r="53" spans="1:16" x14ac:dyDescent="0.25">
      <c r="A53" t="s">
        <v>147</v>
      </c>
      <c r="B53">
        <v>2017</v>
      </c>
      <c r="C53" s="5" t="str">
        <f>'1_Du_lieu'!C61</f>
        <v>TDMNPB</v>
      </c>
      <c r="D53" s="8">
        <f>'1_Du_lieu'!E61</f>
        <v>23.7</v>
      </c>
      <c r="E53" s="5">
        <f t="shared" si="0"/>
        <v>0</v>
      </c>
      <c r="F53" s="9">
        <f t="shared" si="12"/>
        <v>31.157407407407412</v>
      </c>
      <c r="G53" s="5">
        <f t="shared" si="13"/>
        <v>54</v>
      </c>
      <c r="H53" s="8">
        <f t="shared" si="14"/>
        <v>5.5</v>
      </c>
      <c r="I53" s="8">
        <f t="shared" si="4"/>
        <v>130.35</v>
      </c>
      <c r="J53" s="7">
        <f t="shared" si="5"/>
        <v>0.76065378900445757</v>
      </c>
      <c r="K53" s="7">
        <f t="shared" si="6"/>
        <v>-0.27357696681352311</v>
      </c>
      <c r="L53" s="7">
        <f t="shared" si="7"/>
        <v>-0.20809735639105309</v>
      </c>
      <c r="M53" s="7">
        <f t="shared" si="8"/>
        <v>0.27357696681352323</v>
      </c>
      <c r="N53" s="7">
        <f t="shared" si="9"/>
        <v>3.1654750481410856</v>
      </c>
      <c r="O53" s="9">
        <f t="shared" si="15"/>
        <v>29.386538461538468</v>
      </c>
      <c r="P53" s="7">
        <f t="shared" si="11"/>
        <v>-0.17344543707429647</v>
      </c>
    </row>
    <row r="54" spans="1:16" x14ac:dyDescent="0.25">
      <c r="A54" t="s">
        <v>149</v>
      </c>
      <c r="B54">
        <v>2017</v>
      </c>
      <c r="C54" s="5" t="str">
        <f>'1_Du_lieu'!C63</f>
        <v>BTB&amp;DHMT</v>
      </c>
      <c r="D54" s="8">
        <f>'1_Du_lieu'!E63</f>
        <v>52.8</v>
      </c>
      <c r="E54" s="5">
        <f t="shared" si="0"/>
        <v>0</v>
      </c>
      <c r="F54" s="9">
        <f t="shared" si="12"/>
        <v>31.157407407407412</v>
      </c>
      <c r="G54" s="5">
        <f t="shared" si="13"/>
        <v>54</v>
      </c>
      <c r="H54" s="8">
        <f t="shared" si="14"/>
        <v>52</v>
      </c>
      <c r="I54" s="8">
        <f t="shared" si="4"/>
        <v>2745.6</v>
      </c>
      <c r="J54" s="7">
        <f t="shared" si="5"/>
        <v>1.6946210995542343</v>
      </c>
      <c r="K54" s="7">
        <f t="shared" si="6"/>
        <v>0.52745917575760703</v>
      </c>
      <c r="L54" s="7">
        <f t="shared" si="7"/>
        <v>0.89384344839232621</v>
      </c>
      <c r="M54" s="7">
        <f t="shared" si="8"/>
        <v>-0.52745917575760703</v>
      </c>
      <c r="N54" s="7">
        <f t="shared" si="9"/>
        <v>3.9665111907122159</v>
      </c>
      <c r="O54" s="9">
        <f t="shared" si="15"/>
        <v>29.386538461538468</v>
      </c>
      <c r="P54" s="7">
        <f t="shared" si="11"/>
        <v>1.0528444330156945</v>
      </c>
    </row>
    <row r="55" spans="1:16" x14ac:dyDescent="0.25">
      <c r="A55" t="s">
        <v>150</v>
      </c>
      <c r="B55">
        <v>2017</v>
      </c>
      <c r="C55" s="5" t="str">
        <f>'1_Du_lieu'!C64</f>
        <v>TN</v>
      </c>
      <c r="D55" s="8">
        <f>'1_Du_lieu'!E64</f>
        <v>28.1</v>
      </c>
      <c r="E55" s="5">
        <f t="shared" si="0"/>
        <v>0</v>
      </c>
      <c r="F55" s="9">
        <f t="shared" si="12"/>
        <v>31.157407407407412</v>
      </c>
      <c r="G55" s="5">
        <f t="shared" si="13"/>
        <v>54</v>
      </c>
      <c r="H55" s="8">
        <f t="shared" si="14"/>
        <v>27.5</v>
      </c>
      <c r="I55" s="8">
        <f t="shared" si="4"/>
        <v>772.75</v>
      </c>
      <c r="J55" s="7">
        <f t="shared" si="5"/>
        <v>0.90187221396731043</v>
      </c>
      <c r="K55" s="7">
        <f t="shared" si="6"/>
        <v>-0.10328243861490853</v>
      </c>
      <c r="L55" s="7">
        <f t="shared" si="7"/>
        <v>-9.3147561577570398E-2</v>
      </c>
      <c r="M55" s="7">
        <f t="shared" si="8"/>
        <v>0.10328243861490849</v>
      </c>
      <c r="N55" s="7">
        <f t="shared" si="9"/>
        <v>3.3357695763396999</v>
      </c>
      <c r="O55" s="9">
        <f t="shared" si="15"/>
        <v>29.386538461538468</v>
      </c>
      <c r="P55" s="7">
        <f t="shared" si="11"/>
        <v>-4.2807219664126116E-2</v>
      </c>
    </row>
    <row r="56" spans="1:16" x14ac:dyDescent="0.25">
      <c r="A56" t="s">
        <v>151</v>
      </c>
      <c r="B56">
        <v>2017</v>
      </c>
      <c r="C56" s="5" t="str">
        <f>'1_Du_lieu'!C65</f>
        <v>TN</v>
      </c>
      <c r="D56" s="8">
        <f>'1_Du_lieu'!E65</f>
        <v>24.2</v>
      </c>
      <c r="E56" s="5">
        <f t="shared" si="0"/>
        <v>0</v>
      </c>
      <c r="F56" s="9">
        <f t="shared" si="12"/>
        <v>31.157407407407412</v>
      </c>
      <c r="G56" s="5">
        <f t="shared" si="13"/>
        <v>54</v>
      </c>
      <c r="H56" s="8">
        <f t="shared" si="14"/>
        <v>8.5</v>
      </c>
      <c r="I56" s="8">
        <f t="shared" si="4"/>
        <v>205.7</v>
      </c>
      <c r="J56" s="7">
        <f t="shared" si="5"/>
        <v>0.7767013372956908</v>
      </c>
      <c r="K56" s="7">
        <f t="shared" si="6"/>
        <v>-0.25269938179196794</v>
      </c>
      <c r="L56" s="7">
        <f t="shared" si="7"/>
        <v>-0.19627194777161583</v>
      </c>
      <c r="M56" s="7">
        <f t="shared" si="8"/>
        <v>0.25269938179196799</v>
      </c>
      <c r="N56" s="7">
        <f t="shared" si="9"/>
        <v>3.1863526331626408</v>
      </c>
      <c r="O56" s="9">
        <f t="shared" si="15"/>
        <v>29.386538461538468</v>
      </c>
      <c r="P56" s="7">
        <f t="shared" si="11"/>
        <v>-0.15991180040260033</v>
      </c>
    </row>
    <row r="57" spans="1:16" x14ac:dyDescent="0.25">
      <c r="A57" t="s">
        <v>152</v>
      </c>
      <c r="B57">
        <v>2017</v>
      </c>
      <c r="C57" s="5" t="str">
        <f>'1_Du_lieu'!C66</f>
        <v>ĐNB</v>
      </c>
      <c r="D57" s="8">
        <f>'1_Du_lieu'!E66</f>
        <v>36.700000000000003</v>
      </c>
      <c r="E57" s="5">
        <f t="shared" si="0"/>
        <v>0</v>
      </c>
      <c r="F57" s="9">
        <f t="shared" si="12"/>
        <v>31.157407407407412</v>
      </c>
      <c r="G57" s="5">
        <f t="shared" si="13"/>
        <v>54</v>
      </c>
      <c r="H57" s="8">
        <f t="shared" si="14"/>
        <v>46</v>
      </c>
      <c r="I57" s="8">
        <f t="shared" si="4"/>
        <v>1688.2</v>
      </c>
      <c r="J57" s="7">
        <f t="shared" si="5"/>
        <v>1.177890044576523</v>
      </c>
      <c r="K57" s="7">
        <f t="shared" si="6"/>
        <v>0.16372474010591609</v>
      </c>
      <c r="L57" s="7">
        <f t="shared" si="7"/>
        <v>0.19284974142163716</v>
      </c>
      <c r="M57" s="7">
        <f t="shared" si="8"/>
        <v>-0.16372474010591598</v>
      </c>
      <c r="N57" s="7">
        <f t="shared" si="9"/>
        <v>3.6027767550605247</v>
      </c>
      <c r="O57" s="9">
        <f t="shared" si="15"/>
        <v>29.386538461538468</v>
      </c>
      <c r="P57" s="7">
        <f t="shared" si="11"/>
        <v>0.27754919996797633</v>
      </c>
    </row>
    <row r="58" spans="1:16" x14ac:dyDescent="0.25">
      <c r="A58" t="s">
        <v>153</v>
      </c>
      <c r="B58">
        <v>2017</v>
      </c>
      <c r="C58" s="5" t="str">
        <f>'1_Du_lieu'!C67</f>
        <v>ĐBSCL</v>
      </c>
      <c r="D58" s="8">
        <f>'1_Du_lieu'!E67</f>
        <v>26.9</v>
      </c>
      <c r="E58" s="5">
        <f t="shared" si="0"/>
        <v>0</v>
      </c>
      <c r="F58" s="9">
        <f t="shared" si="12"/>
        <v>31.157407407407412</v>
      </c>
      <c r="G58" s="5">
        <f t="shared" si="13"/>
        <v>54</v>
      </c>
      <c r="H58" s="8">
        <f t="shared" si="14"/>
        <v>19</v>
      </c>
      <c r="I58" s="8">
        <f t="shared" si="4"/>
        <v>511.09999999999997</v>
      </c>
      <c r="J58" s="7">
        <f t="shared" si="5"/>
        <v>0.86335809806835051</v>
      </c>
      <c r="K58" s="7">
        <f t="shared" si="6"/>
        <v>-0.14692572834681525</v>
      </c>
      <c r="L58" s="7">
        <f t="shared" si="7"/>
        <v>-0.12684951738281355</v>
      </c>
      <c r="M58" s="7">
        <f t="shared" si="8"/>
        <v>0.14692572834681519</v>
      </c>
      <c r="N58" s="7">
        <f t="shared" si="9"/>
        <v>3.2921262866077932</v>
      </c>
      <c r="O58" s="9">
        <f t="shared" si="15"/>
        <v>29.386538461538468</v>
      </c>
      <c r="P58" s="7">
        <f t="shared" si="11"/>
        <v>-8.0929571298920921E-2</v>
      </c>
    </row>
    <row r="59" spans="1:16" x14ac:dyDescent="0.25">
      <c r="A59" t="s">
        <v>85</v>
      </c>
      <c r="B59">
        <v>2018</v>
      </c>
      <c r="C59" s="5" t="str">
        <f>'1_Du_lieu'!C68</f>
        <v>ĐBSCL</v>
      </c>
      <c r="D59" s="8">
        <f>'1_Du_lieu'!E68</f>
        <v>32.5</v>
      </c>
      <c r="E59" s="5">
        <f t="shared" si="0"/>
        <v>0</v>
      </c>
      <c r="F59" s="9">
        <f t="shared" ref="F59:F90" si="16">AVERAGE($D$59:$D$112)</f>
        <v>37.527777777777764</v>
      </c>
      <c r="G59" s="5">
        <f t="shared" ref="G59:G90" si="17">COUNT($D$59:$D$112)</f>
        <v>54</v>
      </c>
      <c r="H59" s="8">
        <f t="shared" ref="H59:H90" si="18">_xlfn.RANK.AVG(D59,$D$59:$D$112,1)</f>
        <v>16</v>
      </c>
      <c r="I59" s="8">
        <f t="shared" si="4"/>
        <v>520</v>
      </c>
      <c r="J59" s="7">
        <f t="shared" si="5"/>
        <v>0.86602516654330153</v>
      </c>
      <c r="K59" s="7">
        <f t="shared" si="6"/>
        <v>-0.14384131016839674</v>
      </c>
      <c r="L59" s="7">
        <f t="shared" si="7"/>
        <v>-0.12457019459439247</v>
      </c>
      <c r="M59" s="7">
        <f t="shared" si="8"/>
        <v>0.14384131016839677</v>
      </c>
      <c r="N59" s="7">
        <f t="shared" si="9"/>
        <v>3.4812400893356918</v>
      </c>
      <c r="O59" s="9">
        <f t="shared" ref="O59:O90" si="19">SUMPRODUCT((1-$E$59:$E$112)*$D$59:$D$112)/(G59-SUM($E$59:$E$112))</f>
        <v>35.85769230769229</v>
      </c>
      <c r="P59" s="7">
        <f t="shared" si="11"/>
        <v>-8.9111584504907526E-2</v>
      </c>
    </row>
    <row r="60" spans="1:16" x14ac:dyDescent="0.25">
      <c r="A60" t="s">
        <v>87</v>
      </c>
      <c r="B60">
        <v>2018</v>
      </c>
      <c r="C60" s="5" t="str">
        <f>'1_Du_lieu'!C69</f>
        <v>ĐNB</v>
      </c>
      <c r="D60" s="8">
        <f>'1_Du_lieu'!E69</f>
        <v>44.4</v>
      </c>
      <c r="E60" s="5">
        <f t="shared" si="0"/>
        <v>0</v>
      </c>
      <c r="F60" s="9">
        <f t="shared" si="16"/>
        <v>37.527777777777764</v>
      </c>
      <c r="G60" s="5">
        <f t="shared" si="17"/>
        <v>54</v>
      </c>
      <c r="H60" s="8">
        <f t="shared" si="18"/>
        <v>47</v>
      </c>
      <c r="I60" s="8">
        <f t="shared" si="4"/>
        <v>2086.7999999999997</v>
      </c>
      <c r="J60" s="7">
        <f t="shared" si="5"/>
        <v>1.1831236121391566</v>
      </c>
      <c r="K60" s="7">
        <f t="shared" si="6"/>
        <v>0.16815806993409058</v>
      </c>
      <c r="L60" s="7">
        <f t="shared" si="7"/>
        <v>0.19895178311077016</v>
      </c>
      <c r="M60" s="7">
        <f t="shared" si="8"/>
        <v>-0.16815806993409058</v>
      </c>
      <c r="N60" s="7">
        <f t="shared" si="9"/>
        <v>3.7932394694381792</v>
      </c>
      <c r="O60" s="9">
        <f t="shared" si="19"/>
        <v>35.85769230769229</v>
      </c>
      <c r="P60" s="7">
        <f t="shared" si="11"/>
        <v>0.26458624643103779</v>
      </c>
    </row>
    <row r="61" spans="1:16" x14ac:dyDescent="0.25">
      <c r="A61" t="s">
        <v>89</v>
      </c>
      <c r="B61">
        <v>2018</v>
      </c>
      <c r="C61" s="5" t="str">
        <f>'1_Du_lieu'!C70</f>
        <v>ĐNB</v>
      </c>
      <c r="D61" s="8">
        <f>'1_Du_lieu'!E70</f>
        <v>50.4</v>
      </c>
      <c r="E61" s="5">
        <f t="shared" si="0"/>
        <v>0</v>
      </c>
      <c r="F61" s="9">
        <f t="shared" si="16"/>
        <v>37.527777777777764</v>
      </c>
      <c r="G61" s="5">
        <f t="shared" si="17"/>
        <v>54</v>
      </c>
      <c r="H61" s="8">
        <f t="shared" si="18"/>
        <v>50</v>
      </c>
      <c r="I61" s="8">
        <f t="shared" si="4"/>
        <v>2520</v>
      </c>
      <c r="J61" s="7">
        <f t="shared" si="5"/>
        <v>1.3430051813471506</v>
      </c>
      <c r="K61" s="7">
        <f t="shared" si="6"/>
        <v>0.29490977557323433</v>
      </c>
      <c r="L61" s="7">
        <f t="shared" si="7"/>
        <v>0.3960653566247791</v>
      </c>
      <c r="M61" s="7">
        <f t="shared" si="8"/>
        <v>-0.29490977557323433</v>
      </c>
      <c r="N61" s="7">
        <f t="shared" si="9"/>
        <v>3.9199911750773229</v>
      </c>
      <c r="O61" s="9">
        <f t="shared" si="19"/>
        <v>35.85769230769229</v>
      </c>
      <c r="P61" s="7">
        <f t="shared" si="11"/>
        <v>0.47849778416570299</v>
      </c>
    </row>
    <row r="62" spans="1:16" x14ac:dyDescent="0.25">
      <c r="A62" t="s">
        <v>90</v>
      </c>
      <c r="B62">
        <v>2018</v>
      </c>
      <c r="C62" s="5" t="str">
        <f>'1_Du_lieu'!C71</f>
        <v>ĐNB</v>
      </c>
      <c r="D62" s="8">
        <f>'1_Du_lieu'!E71</f>
        <v>27.8</v>
      </c>
      <c r="E62" s="5">
        <f t="shared" si="0"/>
        <v>0</v>
      </c>
      <c r="F62" s="9">
        <f t="shared" si="16"/>
        <v>37.527777777777764</v>
      </c>
      <c r="G62" s="5">
        <f t="shared" si="17"/>
        <v>54</v>
      </c>
      <c r="H62" s="8">
        <f t="shared" si="18"/>
        <v>4</v>
      </c>
      <c r="I62" s="8">
        <f t="shared" si="4"/>
        <v>111.2</v>
      </c>
      <c r="J62" s="7">
        <f t="shared" si="5"/>
        <v>0.74078460399703949</v>
      </c>
      <c r="K62" s="7">
        <f t="shared" si="6"/>
        <v>-0.3000453788074971</v>
      </c>
      <c r="L62" s="7">
        <f t="shared" si="7"/>
        <v>-0.22226899712105344</v>
      </c>
      <c r="M62" s="7">
        <f t="shared" si="8"/>
        <v>0.3000453788074971</v>
      </c>
      <c r="N62" s="7">
        <f t="shared" si="9"/>
        <v>3.3250360206965914</v>
      </c>
      <c r="O62" s="9">
        <f t="shared" si="19"/>
        <v>35.85769230769229</v>
      </c>
      <c r="P62" s="7">
        <f t="shared" si="11"/>
        <v>-0.19732765045600151</v>
      </c>
    </row>
    <row r="63" spans="1:16" x14ac:dyDescent="0.25">
      <c r="A63" t="s">
        <v>91</v>
      </c>
      <c r="B63">
        <v>2018</v>
      </c>
      <c r="C63" s="5" t="str">
        <f>'1_Du_lieu'!C72</f>
        <v>BTB&amp;DHMT</v>
      </c>
      <c r="D63" s="8">
        <f>'1_Du_lieu'!E72</f>
        <v>34.4</v>
      </c>
      <c r="E63" s="5">
        <f t="shared" si="0"/>
        <v>0</v>
      </c>
      <c r="F63" s="9">
        <f t="shared" si="16"/>
        <v>37.527777777777764</v>
      </c>
      <c r="G63" s="5">
        <f t="shared" si="17"/>
        <v>54</v>
      </c>
      <c r="H63" s="8">
        <f t="shared" si="18"/>
        <v>25</v>
      </c>
      <c r="I63" s="8">
        <f t="shared" si="4"/>
        <v>860</v>
      </c>
      <c r="J63" s="7">
        <f t="shared" si="5"/>
        <v>0.91665433012583297</v>
      </c>
      <c r="K63" s="7">
        <f t="shared" si="6"/>
        <v>-8.7024835124735911E-2</v>
      </c>
      <c r="L63" s="7">
        <f t="shared" si="7"/>
        <v>-7.9771691945575859E-2</v>
      </c>
      <c r="M63" s="7">
        <f t="shared" si="8"/>
        <v>8.7024835124735966E-2</v>
      </c>
      <c r="N63" s="7">
        <f t="shared" si="9"/>
        <v>3.5380565643793527</v>
      </c>
      <c r="O63" s="9">
        <f t="shared" si="19"/>
        <v>35.85769230769229</v>
      </c>
      <c r="P63" s="7">
        <f t="shared" si="11"/>
        <v>-3.9814421685917992E-2</v>
      </c>
    </row>
    <row r="64" spans="1:16" x14ac:dyDescent="0.25">
      <c r="A64" t="s">
        <v>93</v>
      </c>
      <c r="B64">
        <v>2018</v>
      </c>
      <c r="C64" s="5" t="str">
        <f>'1_Du_lieu'!C73</f>
        <v>BTB&amp;DHMT</v>
      </c>
      <c r="D64" s="8">
        <f>'1_Du_lieu'!E73</f>
        <v>36.799999999999997</v>
      </c>
      <c r="E64" s="5">
        <f t="shared" si="0"/>
        <v>0</v>
      </c>
      <c r="F64" s="9">
        <f t="shared" si="16"/>
        <v>37.527777777777764</v>
      </c>
      <c r="G64" s="5">
        <f t="shared" si="17"/>
        <v>54</v>
      </c>
      <c r="H64" s="8">
        <f t="shared" si="18"/>
        <v>36</v>
      </c>
      <c r="I64" s="8">
        <f t="shared" si="4"/>
        <v>1324.8</v>
      </c>
      <c r="J64" s="7">
        <f t="shared" si="5"/>
        <v>0.98060695780903062</v>
      </c>
      <c r="K64" s="7">
        <f t="shared" si="6"/>
        <v>-1.9583554329203331E-2</v>
      </c>
      <c r="L64" s="7">
        <f t="shared" si="7"/>
        <v>-1.9203769633847949E-2</v>
      </c>
      <c r="M64" s="7">
        <f t="shared" si="8"/>
        <v>1.9583554329203234E-2</v>
      </c>
      <c r="N64" s="7">
        <f t="shared" si="9"/>
        <v>3.6054978451748854</v>
      </c>
      <c r="O64" s="9">
        <f t="shared" si="19"/>
        <v>35.85769230769229</v>
      </c>
      <c r="P64" s="7">
        <f t="shared" si="11"/>
        <v>2.6621404564958848E-2</v>
      </c>
    </row>
    <row r="65" spans="1:16" x14ac:dyDescent="0.25">
      <c r="A65" t="s">
        <v>95</v>
      </c>
      <c r="B65">
        <v>2018</v>
      </c>
      <c r="C65" s="5" t="str">
        <f>'1_Du_lieu'!C75</f>
        <v>TDMNPB</v>
      </c>
      <c r="D65" s="8">
        <f>'1_Du_lieu'!E75</f>
        <v>40.799999999999997</v>
      </c>
      <c r="E65" s="5">
        <f t="shared" si="0"/>
        <v>0</v>
      </c>
      <c r="F65" s="9">
        <f t="shared" si="16"/>
        <v>37.527777777777764</v>
      </c>
      <c r="G65" s="5">
        <f t="shared" si="17"/>
        <v>54</v>
      </c>
      <c r="H65" s="8">
        <f t="shared" si="18"/>
        <v>43</v>
      </c>
      <c r="I65" s="8">
        <f t="shared" si="4"/>
        <v>1754.3999999999999</v>
      </c>
      <c r="J65" s="7">
        <f t="shared" si="5"/>
        <v>1.08719467061436</v>
      </c>
      <c r="K65" s="7">
        <f t="shared" si="6"/>
        <v>8.3600681906027444E-2</v>
      </c>
      <c r="L65" s="7">
        <f t="shared" si="7"/>
        <v>9.0890215827959392E-2</v>
      </c>
      <c r="M65" s="7">
        <f t="shared" si="8"/>
        <v>-8.3600681906027499E-2</v>
      </c>
      <c r="N65" s="7">
        <f t="shared" si="9"/>
        <v>3.708682081410116</v>
      </c>
      <c r="O65" s="9">
        <f t="shared" si="19"/>
        <v>35.85769230769229</v>
      </c>
      <c r="P65" s="7">
        <f t="shared" si="11"/>
        <v>0.14692127576015312</v>
      </c>
    </row>
    <row r="66" spans="1:16" x14ac:dyDescent="0.25">
      <c r="A66" t="s">
        <v>97</v>
      </c>
      <c r="B66">
        <v>2018</v>
      </c>
      <c r="C66" s="5" t="str">
        <f>'1_Du_lieu'!C76</f>
        <v>TDMNPB</v>
      </c>
      <c r="D66" s="8">
        <f>'1_Du_lieu'!E76</f>
        <v>26</v>
      </c>
      <c r="E66" s="5">
        <f t="shared" si="0"/>
        <v>0</v>
      </c>
      <c r="F66" s="9">
        <f t="shared" si="16"/>
        <v>37.527777777777764</v>
      </c>
      <c r="G66" s="5">
        <f t="shared" si="17"/>
        <v>54</v>
      </c>
      <c r="H66" s="8">
        <f t="shared" si="18"/>
        <v>1</v>
      </c>
      <c r="I66" s="8">
        <f t="shared" si="4"/>
        <v>26</v>
      </c>
      <c r="J66" s="7">
        <f t="shared" si="5"/>
        <v>0.6928201332346412</v>
      </c>
      <c r="K66" s="7">
        <f t="shared" si="6"/>
        <v>-0.36698486148260651</v>
      </c>
      <c r="L66" s="7">
        <f t="shared" si="7"/>
        <v>-0.25425450062747579</v>
      </c>
      <c r="M66" s="7">
        <f t="shared" si="8"/>
        <v>0.36698486148260651</v>
      </c>
      <c r="N66" s="7">
        <f t="shared" si="9"/>
        <v>3.2580965380214821</v>
      </c>
      <c r="O66" s="9">
        <f t="shared" si="19"/>
        <v>35.85769230769229</v>
      </c>
      <c r="P66" s="7">
        <f t="shared" si="11"/>
        <v>-0.23308808846459941</v>
      </c>
    </row>
    <row r="67" spans="1:16" x14ac:dyDescent="0.25">
      <c r="A67" t="s">
        <v>98</v>
      </c>
      <c r="B67">
        <v>2018</v>
      </c>
      <c r="C67" s="5" t="str">
        <f>'1_Du_lieu'!C77</f>
        <v>ĐBSH</v>
      </c>
      <c r="D67" s="8">
        <f>'1_Du_lieu'!E77</f>
        <v>46.3</v>
      </c>
      <c r="E67" s="5">
        <f t="shared" si="0"/>
        <v>0</v>
      </c>
      <c r="F67" s="9">
        <f t="shared" si="16"/>
        <v>37.527777777777764</v>
      </c>
      <c r="G67" s="5">
        <f t="shared" si="17"/>
        <v>54</v>
      </c>
      <c r="H67" s="8">
        <f t="shared" si="18"/>
        <v>48</v>
      </c>
      <c r="I67" s="8">
        <f t="shared" si="4"/>
        <v>2222.3999999999996</v>
      </c>
      <c r="J67" s="7">
        <f t="shared" si="5"/>
        <v>1.233752775721688</v>
      </c>
      <c r="K67" s="7">
        <f t="shared" si="6"/>
        <v>0.2100605615880998</v>
      </c>
      <c r="L67" s="7">
        <f t="shared" si="7"/>
        <v>0.2591628009289747</v>
      </c>
      <c r="M67" s="7">
        <f t="shared" si="8"/>
        <v>-0.21006056158809985</v>
      </c>
      <c r="N67" s="7">
        <f t="shared" si="9"/>
        <v>3.8351419610921882</v>
      </c>
      <c r="O67" s="9">
        <f t="shared" si="19"/>
        <v>35.85769230769229</v>
      </c>
      <c r="P67" s="7">
        <f t="shared" si="11"/>
        <v>0.33001376809493677</v>
      </c>
    </row>
    <row r="68" spans="1:16" x14ac:dyDescent="0.25">
      <c r="A68" t="s">
        <v>100</v>
      </c>
      <c r="B68">
        <v>2018</v>
      </c>
      <c r="C68" s="5" t="str">
        <f>'1_Du_lieu'!C78</f>
        <v>ĐBSCL</v>
      </c>
      <c r="D68" s="8">
        <f>'1_Du_lieu'!E78</f>
        <v>35.6</v>
      </c>
      <c r="E68" s="5">
        <f t="shared" si="0"/>
        <v>0</v>
      </c>
      <c r="F68" s="9">
        <f t="shared" si="16"/>
        <v>37.527777777777764</v>
      </c>
      <c r="G68" s="5">
        <f t="shared" si="17"/>
        <v>54</v>
      </c>
      <c r="H68" s="8">
        <f t="shared" si="18"/>
        <v>29</v>
      </c>
      <c r="I68" s="8">
        <f t="shared" si="4"/>
        <v>1032.4000000000001</v>
      </c>
      <c r="J68" s="7">
        <f t="shared" si="5"/>
        <v>0.94863064396743191</v>
      </c>
      <c r="K68" s="7">
        <f t="shared" si="6"/>
        <v>-5.2735761646103683E-2</v>
      </c>
      <c r="L68" s="7">
        <f t="shared" si="7"/>
        <v>-5.0026759530456336E-2</v>
      </c>
      <c r="M68" s="7">
        <f t="shared" si="8"/>
        <v>5.273576164610376E-2</v>
      </c>
      <c r="N68" s="7">
        <f t="shared" si="9"/>
        <v>3.572345637857985</v>
      </c>
      <c r="O68" s="9">
        <f t="shared" si="19"/>
        <v>35.85769230769229</v>
      </c>
      <c r="P68" s="7">
        <f t="shared" si="11"/>
        <v>-7.1606427670233962E-3</v>
      </c>
    </row>
    <row r="69" spans="1:16" x14ac:dyDescent="0.25">
      <c r="A69" t="s">
        <v>103</v>
      </c>
      <c r="B69">
        <v>2018</v>
      </c>
      <c r="C69" s="5" t="str">
        <f>'1_Du_lieu'!C81</f>
        <v>ĐBSCL</v>
      </c>
      <c r="D69" s="8">
        <f>'1_Du_lieu'!E81</f>
        <v>41.1</v>
      </c>
      <c r="E69" s="5">
        <f t="shared" ref="E69:E132" si="20">IF(OR(A69="Hà Nội",A69="TP. Hồ Chí Minh"),1,0)</f>
        <v>0</v>
      </c>
      <c r="F69" s="9">
        <f t="shared" si="16"/>
        <v>37.527777777777764</v>
      </c>
      <c r="G69" s="5">
        <f t="shared" si="17"/>
        <v>54</v>
      </c>
      <c r="H69" s="8">
        <f t="shared" si="18"/>
        <v>44</v>
      </c>
      <c r="I69" s="8">
        <f t="shared" ref="I69:I132" si="21">H69*D69</f>
        <v>1808.4</v>
      </c>
      <c r="J69" s="7">
        <f t="shared" ref="J69:J132" si="22">D69/F69</f>
        <v>1.0951887490747598</v>
      </c>
      <c r="K69" s="7">
        <f t="shared" ref="K69:K132" si="23">LN(J69)</f>
        <v>9.0926721998100424E-2</v>
      </c>
      <c r="L69" s="7">
        <f t="shared" ref="L69:L132" si="24">J69*K69</f>
        <v>9.9581922922568053E-2</v>
      </c>
      <c r="M69" s="7">
        <f t="shared" ref="M69:M132" si="25">LN(F69/D69)</f>
        <v>-9.0926721998100479E-2</v>
      </c>
      <c r="N69" s="7">
        <f t="shared" ref="N69:N132" si="26">LN(D69)</f>
        <v>3.7160081215021892</v>
      </c>
      <c r="O69" s="9">
        <f t="shared" si="19"/>
        <v>35.85769230769229</v>
      </c>
      <c r="P69" s="7">
        <f t="shared" ref="P69:P132" si="27">(1-E69)*(D69/O69)*LN(D69/O69)</f>
        <v>0.15639866865277893</v>
      </c>
    </row>
    <row r="70" spans="1:16" x14ac:dyDescent="0.25">
      <c r="A70" t="s">
        <v>104</v>
      </c>
      <c r="B70">
        <v>2018</v>
      </c>
      <c r="C70" s="5" t="str">
        <f>'1_Du_lieu'!C82</f>
        <v>TN</v>
      </c>
      <c r="D70" s="8">
        <f>'1_Du_lieu'!E82</f>
        <v>30.1</v>
      </c>
      <c r="E70" s="5">
        <f t="shared" si="20"/>
        <v>0</v>
      </c>
      <c r="F70" s="9">
        <f t="shared" si="16"/>
        <v>37.527777777777764</v>
      </c>
      <c r="G70" s="5">
        <f t="shared" si="17"/>
        <v>54</v>
      </c>
      <c r="H70" s="8">
        <f t="shared" si="18"/>
        <v>11.5</v>
      </c>
      <c r="I70" s="8">
        <f t="shared" si="21"/>
        <v>346.15000000000003</v>
      </c>
      <c r="J70" s="7">
        <f t="shared" si="22"/>
        <v>0.80207253886010399</v>
      </c>
      <c r="K70" s="7">
        <f t="shared" si="23"/>
        <v>-0.22055622774925837</v>
      </c>
      <c r="L70" s="7">
        <f t="shared" si="24"/>
        <v>-0.17690209355225497</v>
      </c>
      <c r="M70" s="7">
        <f t="shared" si="25"/>
        <v>0.22055622774925834</v>
      </c>
      <c r="N70" s="7">
        <f t="shared" si="26"/>
        <v>3.4045251717548299</v>
      </c>
      <c r="O70" s="9">
        <f t="shared" si="19"/>
        <v>35.85769230769229</v>
      </c>
      <c r="P70" s="7">
        <f t="shared" si="27"/>
        <v>-0.14692779152473459</v>
      </c>
    </row>
    <row r="71" spans="1:16" x14ac:dyDescent="0.25">
      <c r="A71" t="s">
        <v>107</v>
      </c>
      <c r="B71">
        <v>2018</v>
      </c>
      <c r="C71" s="5" t="str">
        <f>'1_Du_lieu'!C84</f>
        <v>ĐBSH</v>
      </c>
      <c r="D71" s="8">
        <f>'1_Du_lieu'!E84</f>
        <v>35</v>
      </c>
      <c r="E71" s="5">
        <f t="shared" si="20"/>
        <v>0</v>
      </c>
      <c r="F71" s="9">
        <f t="shared" si="16"/>
        <v>37.527777777777764</v>
      </c>
      <c r="G71" s="5">
        <f t="shared" si="17"/>
        <v>54</v>
      </c>
      <c r="H71" s="8">
        <f t="shared" si="18"/>
        <v>27</v>
      </c>
      <c r="I71" s="8">
        <f t="shared" si="21"/>
        <v>945</v>
      </c>
      <c r="J71" s="7">
        <f t="shared" si="22"/>
        <v>0.93264248704663244</v>
      </c>
      <c r="K71" s="7">
        <f t="shared" si="23"/>
        <v>-6.9733338014674837E-2</v>
      </c>
      <c r="L71" s="7">
        <f t="shared" si="24"/>
        <v>-6.5036273796069813E-2</v>
      </c>
      <c r="M71" s="7">
        <f t="shared" si="25"/>
        <v>6.9733338014674726E-2</v>
      </c>
      <c r="N71" s="7">
        <f t="shared" si="26"/>
        <v>3.5553480614894135</v>
      </c>
      <c r="O71" s="9">
        <f t="shared" si="19"/>
        <v>35.85769230769229</v>
      </c>
      <c r="P71" s="7">
        <f t="shared" si="27"/>
        <v>-2.3630963349237474E-2</v>
      </c>
    </row>
    <row r="72" spans="1:16" x14ac:dyDescent="0.25">
      <c r="A72" t="s">
        <v>108</v>
      </c>
      <c r="B72">
        <v>2018</v>
      </c>
      <c r="C72" s="5" t="str">
        <f>'1_Du_lieu'!C85</f>
        <v>ĐBSH</v>
      </c>
      <c r="D72" s="8">
        <f>'1_Du_lieu'!E85</f>
        <v>79.8</v>
      </c>
      <c r="E72" s="5">
        <f t="shared" si="20"/>
        <v>1</v>
      </c>
      <c r="F72" s="9">
        <f t="shared" si="16"/>
        <v>37.527777777777764</v>
      </c>
      <c r="G72" s="5">
        <f t="shared" si="17"/>
        <v>54</v>
      </c>
      <c r="H72" s="8">
        <f t="shared" si="18"/>
        <v>53</v>
      </c>
      <c r="I72" s="8">
        <f t="shared" si="21"/>
        <v>4229.3999999999996</v>
      </c>
      <c r="J72" s="7">
        <f t="shared" si="22"/>
        <v>2.1264248704663218</v>
      </c>
      <c r="K72" s="7">
        <f t="shared" si="23"/>
        <v>0.75444210495167452</v>
      </c>
      <c r="L72" s="7">
        <f t="shared" si="24"/>
        <v>1.6042644552962035</v>
      </c>
      <c r="M72" s="7">
        <f t="shared" si="25"/>
        <v>-0.75444210495167463</v>
      </c>
      <c r="N72" s="7">
        <f t="shared" si="26"/>
        <v>4.3795235044557632</v>
      </c>
      <c r="O72" s="9">
        <f t="shared" si="19"/>
        <v>35.85769230769229</v>
      </c>
      <c r="P72" s="7">
        <f t="shared" si="27"/>
        <v>0</v>
      </c>
    </row>
    <row r="73" spans="1:16" x14ac:dyDescent="0.25">
      <c r="A73" t="s">
        <v>109</v>
      </c>
      <c r="B73">
        <v>2018</v>
      </c>
      <c r="C73" s="5" t="str">
        <f>'1_Du_lieu'!C86</f>
        <v>BTB&amp;DHMT</v>
      </c>
      <c r="D73" s="8">
        <f>'1_Du_lieu'!E86</f>
        <v>33.700000000000003</v>
      </c>
      <c r="E73" s="5">
        <f t="shared" si="20"/>
        <v>0</v>
      </c>
      <c r="F73" s="9">
        <f t="shared" si="16"/>
        <v>37.527777777777764</v>
      </c>
      <c r="G73" s="5">
        <f t="shared" si="17"/>
        <v>54</v>
      </c>
      <c r="H73" s="8">
        <f t="shared" si="18"/>
        <v>21</v>
      </c>
      <c r="I73" s="8">
        <f t="shared" si="21"/>
        <v>707.7</v>
      </c>
      <c r="J73" s="7">
        <f t="shared" si="22"/>
        <v>0.89800148038490046</v>
      </c>
      <c r="K73" s="7">
        <f t="shared" si="23"/>
        <v>-0.10758356214577239</v>
      </c>
      <c r="L73" s="7">
        <f t="shared" si="24"/>
        <v>-9.6610198071984538E-2</v>
      </c>
      <c r="M73" s="7">
        <f t="shared" si="25"/>
        <v>0.10758356214577236</v>
      </c>
      <c r="N73" s="7">
        <f t="shared" si="26"/>
        <v>3.5174978373583161</v>
      </c>
      <c r="O73" s="9">
        <f t="shared" si="19"/>
        <v>35.85769230769229</v>
      </c>
      <c r="P73" s="7">
        <f t="shared" si="27"/>
        <v>-5.8325875537488567E-2</v>
      </c>
    </row>
    <row r="74" spans="1:16" x14ac:dyDescent="0.25">
      <c r="A74" t="s">
        <v>110</v>
      </c>
      <c r="B74">
        <v>2018</v>
      </c>
      <c r="C74" s="5" t="str">
        <f>'1_Du_lieu'!C87</f>
        <v>TDMNPB</v>
      </c>
      <c r="D74" s="8">
        <f>'1_Du_lieu'!E87</f>
        <v>31.1</v>
      </c>
      <c r="E74" s="5">
        <f t="shared" si="20"/>
        <v>0</v>
      </c>
      <c r="F74" s="9">
        <f t="shared" si="16"/>
        <v>37.527777777777764</v>
      </c>
      <c r="G74" s="5">
        <f t="shared" si="17"/>
        <v>54</v>
      </c>
      <c r="H74" s="8">
        <f t="shared" si="18"/>
        <v>14</v>
      </c>
      <c r="I74" s="8">
        <f t="shared" si="21"/>
        <v>435.40000000000003</v>
      </c>
      <c r="J74" s="7">
        <f t="shared" si="22"/>
        <v>0.82871946706143629</v>
      </c>
      <c r="K74" s="7">
        <f t="shared" si="23"/>
        <v>-0.18787358031890003</v>
      </c>
      <c r="L74" s="7">
        <f t="shared" si="24"/>
        <v>-0.15569449335680277</v>
      </c>
      <c r="M74" s="7">
        <f t="shared" si="25"/>
        <v>0.18787358031889992</v>
      </c>
      <c r="N74" s="7">
        <f t="shared" si="26"/>
        <v>3.4372078191851885</v>
      </c>
      <c r="O74" s="9">
        <f t="shared" si="19"/>
        <v>35.85769230769229</v>
      </c>
      <c r="P74" s="7">
        <f t="shared" si="27"/>
        <v>-0.12346288512925778</v>
      </c>
    </row>
    <row r="75" spans="1:16" x14ac:dyDescent="0.25">
      <c r="A75" t="s">
        <v>111</v>
      </c>
      <c r="B75">
        <v>2018</v>
      </c>
      <c r="C75" s="5" t="str">
        <f>'1_Du_lieu'!C88</f>
        <v>ĐBSH</v>
      </c>
      <c r="D75" s="8">
        <f>'1_Du_lieu'!E88</f>
        <v>34.700000000000003</v>
      </c>
      <c r="E75" s="5">
        <f t="shared" si="20"/>
        <v>0</v>
      </c>
      <c r="F75" s="9">
        <f t="shared" si="16"/>
        <v>37.527777777777764</v>
      </c>
      <c r="G75" s="5">
        <f t="shared" si="17"/>
        <v>54</v>
      </c>
      <c r="H75" s="8">
        <f t="shared" si="18"/>
        <v>26</v>
      </c>
      <c r="I75" s="8">
        <f t="shared" si="21"/>
        <v>902.2</v>
      </c>
      <c r="J75" s="7">
        <f t="shared" si="22"/>
        <v>0.92464840858623287</v>
      </c>
      <c r="K75" s="7">
        <f t="shared" si="23"/>
        <v>-7.8341712551274853E-2</v>
      </c>
      <c r="L75" s="7">
        <f t="shared" si="24"/>
        <v>-7.24385398364564E-2</v>
      </c>
      <c r="M75" s="7">
        <f t="shared" si="25"/>
        <v>7.8341712551274964E-2</v>
      </c>
      <c r="N75" s="7">
        <f t="shared" si="26"/>
        <v>3.5467396869528134</v>
      </c>
      <c r="O75" s="9">
        <f t="shared" si="19"/>
        <v>35.85769230769229</v>
      </c>
      <c r="P75" s="7">
        <f t="shared" si="27"/>
        <v>-3.1758858986848666E-2</v>
      </c>
    </row>
    <row r="76" spans="1:16" x14ac:dyDescent="0.25">
      <c r="A76" t="s">
        <v>112</v>
      </c>
      <c r="B76">
        <v>2018</v>
      </c>
      <c r="C76" s="5" t="str">
        <f>'1_Du_lieu'!C89</f>
        <v>ĐBSH</v>
      </c>
      <c r="D76" s="8">
        <f>'1_Du_lieu'!E89</f>
        <v>43.1</v>
      </c>
      <c r="E76" s="5">
        <f t="shared" si="20"/>
        <v>0</v>
      </c>
      <c r="F76" s="9">
        <f t="shared" si="16"/>
        <v>37.527777777777764</v>
      </c>
      <c r="G76" s="5">
        <f t="shared" si="17"/>
        <v>54</v>
      </c>
      <c r="H76" s="8">
        <f t="shared" si="18"/>
        <v>46</v>
      </c>
      <c r="I76" s="8">
        <f t="shared" si="21"/>
        <v>1982.6000000000001</v>
      </c>
      <c r="J76" s="7">
        <f t="shared" si="22"/>
        <v>1.1484826054774246</v>
      </c>
      <c r="K76" s="7">
        <f t="shared" si="23"/>
        <v>0.1384415976056137</v>
      </c>
      <c r="L76" s="7">
        <f t="shared" si="24"/>
        <v>0.1589977667245524</v>
      </c>
      <c r="M76" s="7">
        <f t="shared" si="25"/>
        <v>-0.13844159760561364</v>
      </c>
      <c r="N76" s="7">
        <f t="shared" si="26"/>
        <v>3.763522997109702</v>
      </c>
      <c r="O76" s="9">
        <f t="shared" si="19"/>
        <v>35.85769230769229</v>
      </c>
      <c r="P76" s="7">
        <f t="shared" si="27"/>
        <v>0.22112093619892567</v>
      </c>
    </row>
    <row r="77" spans="1:16" x14ac:dyDescent="0.25">
      <c r="A77" t="s">
        <v>113</v>
      </c>
      <c r="B77">
        <v>2018</v>
      </c>
      <c r="C77" s="5" t="str">
        <f>'1_Du_lieu'!C90</f>
        <v>ĐBSH</v>
      </c>
      <c r="D77" s="8">
        <f>'1_Du_lieu'!E90</f>
        <v>54.9</v>
      </c>
      <c r="E77" s="5">
        <f t="shared" si="20"/>
        <v>0</v>
      </c>
      <c r="F77" s="9">
        <f t="shared" si="16"/>
        <v>37.527777777777764</v>
      </c>
      <c r="G77" s="5">
        <f t="shared" si="17"/>
        <v>54</v>
      </c>
      <c r="H77" s="8">
        <f t="shared" si="18"/>
        <v>52</v>
      </c>
      <c r="I77" s="8">
        <f t="shared" si="21"/>
        <v>2854.7999999999997</v>
      </c>
      <c r="J77" s="7">
        <f t="shared" si="22"/>
        <v>1.4629163582531464</v>
      </c>
      <c r="K77" s="7">
        <f t="shared" si="23"/>
        <v>0.38043194901139649</v>
      </c>
      <c r="L77" s="7">
        <f t="shared" si="24"/>
        <v>0.55654012141089881</v>
      </c>
      <c r="M77" s="7">
        <f t="shared" si="25"/>
        <v>-0.38043194901139649</v>
      </c>
      <c r="N77" s="7">
        <f t="shared" si="26"/>
        <v>4.0055133485154846</v>
      </c>
      <c r="O77" s="9">
        <f t="shared" si="19"/>
        <v>35.85769230769229</v>
      </c>
      <c r="P77" s="7">
        <f t="shared" si="27"/>
        <v>0.65215971551374874</v>
      </c>
    </row>
    <row r="78" spans="1:16" x14ac:dyDescent="0.25">
      <c r="A78" t="s">
        <v>115</v>
      </c>
      <c r="B78">
        <v>2018</v>
      </c>
      <c r="C78" s="5" t="str">
        <f>'1_Du_lieu'!C92</f>
        <v>BTB&amp;DHMT</v>
      </c>
      <c r="D78" s="8">
        <f>'1_Du_lieu'!E92</f>
        <v>40.299999999999997</v>
      </c>
      <c r="E78" s="5">
        <f t="shared" si="20"/>
        <v>0</v>
      </c>
      <c r="F78" s="9">
        <f t="shared" si="16"/>
        <v>37.527777777777764</v>
      </c>
      <c r="G78" s="5">
        <f t="shared" si="17"/>
        <v>54</v>
      </c>
      <c r="H78" s="8">
        <f t="shared" si="18"/>
        <v>41.5</v>
      </c>
      <c r="I78" s="8">
        <f t="shared" si="21"/>
        <v>1672.4499999999998</v>
      </c>
      <c r="J78" s="7">
        <f t="shared" si="22"/>
        <v>1.0738712065136939</v>
      </c>
      <c r="K78" s="7">
        <f t="shared" si="23"/>
        <v>7.1270069448548801E-2</v>
      </c>
      <c r="L78" s="7">
        <f t="shared" si="24"/>
        <v>7.6534875467027863E-2</v>
      </c>
      <c r="M78" s="7">
        <f t="shared" si="25"/>
        <v>-7.1270069448548717E-2</v>
      </c>
      <c r="N78" s="7">
        <f t="shared" si="26"/>
        <v>3.6963514689526371</v>
      </c>
      <c r="O78" s="9">
        <f t="shared" si="19"/>
        <v>35.85769230769229</v>
      </c>
      <c r="P78" s="7">
        <f t="shared" si="27"/>
        <v>0.13126255290418132</v>
      </c>
    </row>
    <row r="79" spans="1:16" x14ac:dyDescent="0.25">
      <c r="A79" t="s">
        <v>116</v>
      </c>
      <c r="B79">
        <v>2018</v>
      </c>
      <c r="C79" s="5" t="str">
        <f>'1_Du_lieu'!C93</f>
        <v>ĐBSCL</v>
      </c>
      <c r="D79" s="8">
        <f>'1_Du_lieu'!E93</f>
        <v>35.299999999999997</v>
      </c>
      <c r="E79" s="5">
        <f t="shared" si="20"/>
        <v>0</v>
      </c>
      <c r="F79" s="9">
        <f t="shared" si="16"/>
        <v>37.527777777777764</v>
      </c>
      <c r="G79" s="5">
        <f t="shared" si="17"/>
        <v>54</v>
      </c>
      <c r="H79" s="8">
        <f t="shared" si="18"/>
        <v>28</v>
      </c>
      <c r="I79" s="8">
        <f t="shared" si="21"/>
        <v>988.39999999999986</v>
      </c>
      <c r="J79" s="7">
        <f t="shared" si="22"/>
        <v>0.94063656550703212</v>
      </c>
      <c r="K79" s="7">
        <f t="shared" si="23"/>
        <v>-6.1198435564837464E-2</v>
      </c>
      <c r="L79" s="7">
        <f t="shared" si="24"/>
        <v>-5.7565486244112118E-2</v>
      </c>
      <c r="M79" s="7">
        <f t="shared" si="25"/>
        <v>6.1198435564837436E-2</v>
      </c>
      <c r="N79" s="7">
        <f t="shared" si="26"/>
        <v>3.5638829639392511</v>
      </c>
      <c r="O79" s="9">
        <f t="shared" si="19"/>
        <v>35.85769230769229</v>
      </c>
      <c r="P79" s="7">
        <f t="shared" si="27"/>
        <v>-1.5431354784950222E-2</v>
      </c>
    </row>
    <row r="80" spans="1:16" x14ac:dyDescent="0.25">
      <c r="A80" t="s">
        <v>117</v>
      </c>
      <c r="B80">
        <v>2018</v>
      </c>
      <c r="C80" s="5" t="str">
        <f>'1_Du_lieu'!C94</f>
        <v>TN</v>
      </c>
      <c r="D80" s="8">
        <f>'1_Du_lieu'!E94</f>
        <v>29</v>
      </c>
      <c r="E80" s="5">
        <f t="shared" si="20"/>
        <v>0</v>
      </c>
      <c r="F80" s="9">
        <f t="shared" si="16"/>
        <v>37.527777777777764</v>
      </c>
      <c r="G80" s="5">
        <f t="shared" si="17"/>
        <v>54</v>
      </c>
      <c r="H80" s="8">
        <f t="shared" si="18"/>
        <v>5</v>
      </c>
      <c r="I80" s="8">
        <f t="shared" si="21"/>
        <v>145</v>
      </c>
      <c r="J80" s="7">
        <f t="shared" si="22"/>
        <v>0.77276091783863832</v>
      </c>
      <c r="K80" s="7">
        <f t="shared" si="23"/>
        <v>-0.2577855695176145</v>
      </c>
      <c r="L80" s="7">
        <f t="shared" si="24"/>
        <v>-0.19920661330598788</v>
      </c>
      <c r="M80" s="7">
        <f t="shared" si="25"/>
        <v>0.25778556951761444</v>
      </c>
      <c r="N80" s="7">
        <f t="shared" si="26"/>
        <v>3.3672958299864741</v>
      </c>
      <c r="O80" s="9">
        <f t="shared" si="19"/>
        <v>35.85769230769229</v>
      </c>
      <c r="P80" s="7">
        <f t="shared" si="27"/>
        <v>-0.17166766234495054</v>
      </c>
    </row>
    <row r="81" spans="1:16" x14ac:dyDescent="0.25">
      <c r="A81" t="s">
        <v>119</v>
      </c>
      <c r="B81">
        <v>2018</v>
      </c>
      <c r="C81" s="5" t="str">
        <f>'1_Du_lieu'!C96</f>
        <v>ĐBSCL</v>
      </c>
      <c r="D81" s="8">
        <f>'1_Du_lieu'!E96</f>
        <v>34.200000000000003</v>
      </c>
      <c r="E81" s="5">
        <f t="shared" si="20"/>
        <v>0</v>
      </c>
      <c r="F81" s="9">
        <f t="shared" si="16"/>
        <v>37.527777777777764</v>
      </c>
      <c r="G81" s="5">
        <f t="shared" si="17"/>
        <v>54</v>
      </c>
      <c r="H81" s="8">
        <f t="shared" si="18"/>
        <v>24</v>
      </c>
      <c r="I81" s="8">
        <f t="shared" si="21"/>
        <v>820.80000000000007</v>
      </c>
      <c r="J81" s="7">
        <f t="shared" si="22"/>
        <v>0.91132494448556667</v>
      </c>
      <c r="K81" s="7">
        <f t="shared" si="23"/>
        <v>-9.2855755435528931E-2</v>
      </c>
      <c r="L81" s="7">
        <f t="shared" si="24"/>
        <v>-8.4621766167448764E-2</v>
      </c>
      <c r="M81" s="7">
        <f t="shared" si="25"/>
        <v>9.2855755435528944E-2</v>
      </c>
      <c r="N81" s="7">
        <f t="shared" si="26"/>
        <v>3.5322256440685598</v>
      </c>
      <c r="O81" s="9">
        <f t="shared" si="19"/>
        <v>35.85769230769229</v>
      </c>
      <c r="P81" s="7">
        <f t="shared" si="27"/>
        <v>-4.5144300787138367E-2</v>
      </c>
    </row>
    <row r="82" spans="1:16" x14ac:dyDescent="0.25">
      <c r="A82" t="s">
        <v>120</v>
      </c>
      <c r="B82">
        <v>2018</v>
      </c>
      <c r="C82" s="5" t="str">
        <f>'1_Du_lieu'!C97</f>
        <v>TDMNPB</v>
      </c>
      <c r="D82" s="8">
        <f>'1_Du_lieu'!E97</f>
        <v>33.700000000000003</v>
      </c>
      <c r="E82" s="5">
        <f t="shared" si="20"/>
        <v>0</v>
      </c>
      <c r="F82" s="9">
        <f t="shared" si="16"/>
        <v>37.527777777777764</v>
      </c>
      <c r="G82" s="5">
        <f t="shared" si="17"/>
        <v>54</v>
      </c>
      <c r="H82" s="8">
        <f t="shared" si="18"/>
        <v>21</v>
      </c>
      <c r="I82" s="8">
        <f t="shared" si="21"/>
        <v>707.7</v>
      </c>
      <c r="J82" s="7">
        <f t="shared" si="22"/>
        <v>0.89800148038490046</v>
      </c>
      <c r="K82" s="7">
        <f t="shared" si="23"/>
        <v>-0.10758356214577239</v>
      </c>
      <c r="L82" s="7">
        <f t="shared" si="24"/>
        <v>-9.6610198071984538E-2</v>
      </c>
      <c r="M82" s="7">
        <f t="shared" si="25"/>
        <v>0.10758356214577236</v>
      </c>
      <c r="N82" s="7">
        <f t="shared" si="26"/>
        <v>3.5174978373583161</v>
      </c>
      <c r="O82" s="9">
        <f t="shared" si="19"/>
        <v>35.85769230769229</v>
      </c>
      <c r="P82" s="7">
        <f t="shared" si="27"/>
        <v>-5.8325875537488567E-2</v>
      </c>
    </row>
    <row r="83" spans="1:16" x14ac:dyDescent="0.25">
      <c r="A83" t="s">
        <v>121</v>
      </c>
      <c r="B83">
        <v>2018</v>
      </c>
      <c r="C83" s="5" t="str">
        <f>'1_Du_lieu'!C98</f>
        <v>TN</v>
      </c>
      <c r="D83" s="8">
        <f>'1_Du_lieu'!E98</f>
        <v>35.9</v>
      </c>
      <c r="E83" s="5">
        <f t="shared" si="20"/>
        <v>0</v>
      </c>
      <c r="F83" s="9">
        <f t="shared" si="16"/>
        <v>37.527777777777764</v>
      </c>
      <c r="G83" s="5">
        <f t="shared" si="17"/>
        <v>54</v>
      </c>
      <c r="H83" s="8">
        <f t="shared" si="18"/>
        <v>31</v>
      </c>
      <c r="I83" s="8">
        <f t="shared" si="21"/>
        <v>1112.8999999999999</v>
      </c>
      <c r="J83" s="7">
        <f t="shared" si="22"/>
        <v>0.95662472242783159</v>
      </c>
      <c r="K83" s="7">
        <f t="shared" si="23"/>
        <v>-4.4344104009855299E-2</v>
      </c>
      <c r="L83" s="7">
        <f t="shared" si="24"/>
        <v>-4.242066618973872E-2</v>
      </c>
      <c r="M83" s="7">
        <f t="shared" si="25"/>
        <v>4.4344104009855341E-2</v>
      </c>
      <c r="N83" s="7">
        <f t="shared" si="26"/>
        <v>3.5807372954942331</v>
      </c>
      <c r="O83" s="9">
        <f t="shared" si="19"/>
        <v>35.85769230769229</v>
      </c>
      <c r="P83" s="7">
        <f t="shared" si="27"/>
        <v>1.180573503890751E-3</v>
      </c>
    </row>
    <row r="84" spans="1:16" x14ac:dyDescent="0.25">
      <c r="A84" t="s">
        <v>122</v>
      </c>
      <c r="B84">
        <v>2018</v>
      </c>
      <c r="C84" s="5" t="str">
        <f>'1_Du_lieu'!C99</f>
        <v>TDMNPB</v>
      </c>
      <c r="D84" s="8">
        <f>'1_Du_lieu'!E99</f>
        <v>27.3</v>
      </c>
      <c r="E84" s="5">
        <f t="shared" si="20"/>
        <v>0</v>
      </c>
      <c r="F84" s="9">
        <f t="shared" si="16"/>
        <v>37.527777777777764</v>
      </c>
      <c r="G84" s="5">
        <f t="shared" si="17"/>
        <v>54</v>
      </c>
      <c r="H84" s="8">
        <f t="shared" si="18"/>
        <v>2</v>
      </c>
      <c r="I84" s="8">
        <f t="shared" si="21"/>
        <v>54.6</v>
      </c>
      <c r="J84" s="7">
        <f t="shared" si="22"/>
        <v>0.72746113989637329</v>
      </c>
      <c r="K84" s="7">
        <f t="shared" si="23"/>
        <v>-0.31819469731317451</v>
      </c>
      <c r="L84" s="7">
        <f t="shared" si="24"/>
        <v>-0.23147427721642339</v>
      </c>
      <c r="M84" s="7">
        <f t="shared" si="25"/>
        <v>0.3181946973131744</v>
      </c>
      <c r="N84" s="7">
        <f t="shared" si="26"/>
        <v>3.3068867021909143</v>
      </c>
      <c r="O84" s="9">
        <f t="shared" si="19"/>
        <v>35.85769230769229</v>
      </c>
      <c r="P84" s="7">
        <f t="shared" si="27"/>
        <v>-0.20759644705766434</v>
      </c>
    </row>
    <row r="85" spans="1:16" x14ac:dyDescent="0.25">
      <c r="A85" t="s">
        <v>123</v>
      </c>
      <c r="B85">
        <v>2018</v>
      </c>
      <c r="C85" s="5" t="str">
        <f>'1_Du_lieu'!C100</f>
        <v>ĐBSH</v>
      </c>
      <c r="D85" s="8">
        <f>'1_Du_lieu'!E100</f>
        <v>37.799999999999997</v>
      </c>
      <c r="E85" s="5">
        <f t="shared" si="20"/>
        <v>0</v>
      </c>
      <c r="F85" s="9">
        <f t="shared" si="16"/>
        <v>37.527777777777764</v>
      </c>
      <c r="G85" s="5">
        <f t="shared" si="17"/>
        <v>54</v>
      </c>
      <c r="H85" s="8">
        <f t="shared" si="18"/>
        <v>38</v>
      </c>
      <c r="I85" s="8">
        <f t="shared" si="21"/>
        <v>1436.3999999999999</v>
      </c>
      <c r="J85" s="7">
        <f t="shared" si="22"/>
        <v>1.007253886010363</v>
      </c>
      <c r="K85" s="7">
        <f t="shared" si="23"/>
        <v>7.2277031214534838E-3</v>
      </c>
      <c r="L85" s="7">
        <f t="shared" si="24"/>
        <v>7.2801320560132521E-3</v>
      </c>
      <c r="M85" s="7">
        <f t="shared" si="25"/>
        <v>-7.2277031214534795E-3</v>
      </c>
      <c r="N85" s="7">
        <f t="shared" si="26"/>
        <v>3.6323091026255421</v>
      </c>
      <c r="O85" s="9">
        <f t="shared" si="19"/>
        <v>35.85769230769229</v>
      </c>
      <c r="P85" s="7">
        <f t="shared" si="27"/>
        <v>5.5608358176180685E-2</v>
      </c>
    </row>
    <row r="86" spans="1:16" x14ac:dyDescent="0.25">
      <c r="A86" t="s">
        <v>124</v>
      </c>
      <c r="B86">
        <v>2018</v>
      </c>
      <c r="C86" s="5" t="str">
        <f>'1_Du_lieu'!C101</f>
        <v>BTB&amp;DHMT</v>
      </c>
      <c r="D86" s="8">
        <f>'1_Du_lieu'!E101</f>
        <v>38</v>
      </c>
      <c r="E86" s="5">
        <f t="shared" si="20"/>
        <v>0</v>
      </c>
      <c r="F86" s="9">
        <f t="shared" si="16"/>
        <v>37.527777777777764</v>
      </c>
      <c r="G86" s="5">
        <f t="shared" si="17"/>
        <v>54</v>
      </c>
      <c r="H86" s="8">
        <f t="shared" si="18"/>
        <v>39</v>
      </c>
      <c r="I86" s="8">
        <f t="shared" si="21"/>
        <v>1482</v>
      </c>
      <c r="J86" s="7">
        <f t="shared" si="22"/>
        <v>1.0125832716506296</v>
      </c>
      <c r="K86" s="7">
        <f t="shared" si="23"/>
        <v>1.2504760222297302E-2</v>
      </c>
      <c r="L86" s="7">
        <f t="shared" si="24"/>
        <v>1.2662111017100457E-2</v>
      </c>
      <c r="M86" s="7">
        <f t="shared" si="25"/>
        <v>-1.2504760222297271E-2</v>
      </c>
      <c r="N86" s="7">
        <f t="shared" si="26"/>
        <v>3.6375861597263857</v>
      </c>
      <c r="O86" s="9">
        <f t="shared" si="19"/>
        <v>35.85769230769229</v>
      </c>
      <c r="P86" s="7">
        <f t="shared" si="27"/>
        <v>6.1494915679371147E-2</v>
      </c>
    </row>
    <row r="87" spans="1:16" x14ac:dyDescent="0.25">
      <c r="A87" t="s">
        <v>125</v>
      </c>
      <c r="B87">
        <v>2018</v>
      </c>
      <c r="C87" s="5" t="str">
        <f>'1_Du_lieu'!C102</f>
        <v>ĐBSH</v>
      </c>
      <c r="D87" s="8">
        <f>'1_Du_lieu'!E102</f>
        <v>36</v>
      </c>
      <c r="E87" s="5">
        <f t="shared" si="20"/>
        <v>0</v>
      </c>
      <c r="F87" s="9">
        <f t="shared" si="16"/>
        <v>37.527777777777764</v>
      </c>
      <c r="G87" s="5">
        <f t="shared" si="17"/>
        <v>54</v>
      </c>
      <c r="H87" s="8">
        <f t="shared" si="18"/>
        <v>32</v>
      </c>
      <c r="I87" s="8">
        <f t="shared" si="21"/>
        <v>1152</v>
      </c>
      <c r="J87" s="7">
        <f t="shared" si="22"/>
        <v>0.95928941524796485</v>
      </c>
      <c r="K87" s="7">
        <f t="shared" si="23"/>
        <v>-4.1562461047978456E-2</v>
      </c>
      <c r="L87" s="7">
        <f t="shared" si="24"/>
        <v>-3.9870428954981572E-2</v>
      </c>
      <c r="M87" s="7">
        <f t="shared" si="25"/>
        <v>4.156246104797845E-2</v>
      </c>
      <c r="N87" s="7">
        <f t="shared" si="26"/>
        <v>3.5835189384561099</v>
      </c>
      <c r="O87" s="9">
        <f t="shared" si="19"/>
        <v>35.85769230769229</v>
      </c>
      <c r="P87" s="7">
        <f t="shared" si="27"/>
        <v>3.9765444210533686E-3</v>
      </c>
    </row>
    <row r="88" spans="1:16" x14ac:dyDescent="0.25">
      <c r="A88" t="s">
        <v>126</v>
      </c>
      <c r="B88">
        <v>2018</v>
      </c>
      <c r="C88" s="5" t="str">
        <f>'1_Du_lieu'!C103</f>
        <v>BTB&amp;DHMT</v>
      </c>
      <c r="D88" s="8">
        <f>'1_Du_lieu'!E103</f>
        <v>31.6</v>
      </c>
      <c r="E88" s="5">
        <f t="shared" si="20"/>
        <v>0</v>
      </c>
      <c r="F88" s="9">
        <f t="shared" si="16"/>
        <v>37.527777777777764</v>
      </c>
      <c r="G88" s="5">
        <f t="shared" si="17"/>
        <v>54</v>
      </c>
      <c r="H88" s="8">
        <f t="shared" si="18"/>
        <v>15</v>
      </c>
      <c r="I88" s="8">
        <f t="shared" si="21"/>
        <v>474</v>
      </c>
      <c r="J88" s="7">
        <f t="shared" si="22"/>
        <v>0.84204293116210249</v>
      </c>
      <c r="K88" s="7">
        <f t="shared" si="23"/>
        <v>-0.17192427891122203</v>
      </c>
      <c r="L88" s="7">
        <f t="shared" si="24"/>
        <v>-0.14476762375233623</v>
      </c>
      <c r="M88" s="7">
        <f t="shared" si="25"/>
        <v>0.17192427891122194</v>
      </c>
      <c r="N88" s="7">
        <f t="shared" si="26"/>
        <v>3.4531571205928664</v>
      </c>
      <c r="O88" s="9">
        <f t="shared" si="19"/>
        <v>35.85769230769229</v>
      </c>
      <c r="P88" s="7">
        <f t="shared" si="27"/>
        <v>-0.11139231534131336</v>
      </c>
    </row>
    <row r="89" spans="1:16" x14ac:dyDescent="0.25">
      <c r="A89" t="s">
        <v>127</v>
      </c>
      <c r="B89">
        <v>2018</v>
      </c>
      <c r="C89" s="5" t="str">
        <f>'1_Du_lieu'!C104</f>
        <v>TDMNPB</v>
      </c>
      <c r="D89" s="8">
        <f>'1_Du_lieu'!E104</f>
        <v>36.700000000000003</v>
      </c>
      <c r="E89" s="5">
        <f t="shared" si="20"/>
        <v>0</v>
      </c>
      <c r="F89" s="9">
        <f t="shared" si="16"/>
        <v>37.527777777777764</v>
      </c>
      <c r="G89" s="5">
        <f t="shared" si="17"/>
        <v>54</v>
      </c>
      <c r="H89" s="8">
        <f t="shared" si="18"/>
        <v>35</v>
      </c>
      <c r="I89" s="8">
        <f t="shared" si="21"/>
        <v>1284.5</v>
      </c>
      <c r="J89" s="7">
        <f t="shared" si="22"/>
        <v>0.97794226498889758</v>
      </c>
      <c r="K89" s="7">
        <f t="shared" si="23"/>
        <v>-2.2304644443563788E-2</v>
      </c>
      <c r="L89" s="7">
        <f t="shared" si="24"/>
        <v>-2.1812654506910799E-2</v>
      </c>
      <c r="M89" s="7">
        <f t="shared" si="25"/>
        <v>2.2304644443563851E-2</v>
      </c>
      <c r="N89" s="7">
        <f t="shared" si="26"/>
        <v>3.6027767550605247</v>
      </c>
      <c r="O89" s="9">
        <f t="shared" si="19"/>
        <v>35.85769230769229</v>
      </c>
      <c r="P89" s="7">
        <f t="shared" si="27"/>
        <v>2.3764054473736671E-2</v>
      </c>
    </row>
    <row r="90" spans="1:16" x14ac:dyDescent="0.25">
      <c r="A90" t="s">
        <v>128</v>
      </c>
      <c r="B90">
        <v>2018</v>
      </c>
      <c r="C90" s="5" t="str">
        <f>'1_Du_lieu'!C105</f>
        <v>BTB&amp;DHMT</v>
      </c>
      <c r="D90" s="8">
        <f>'1_Du_lieu'!E105</f>
        <v>33.1</v>
      </c>
      <c r="E90" s="5">
        <f t="shared" si="20"/>
        <v>0</v>
      </c>
      <c r="F90" s="9">
        <f t="shared" si="16"/>
        <v>37.527777777777764</v>
      </c>
      <c r="G90" s="5">
        <f t="shared" si="17"/>
        <v>54</v>
      </c>
      <c r="H90" s="8">
        <f t="shared" si="18"/>
        <v>18</v>
      </c>
      <c r="I90" s="8">
        <f t="shared" si="21"/>
        <v>595.80000000000007</v>
      </c>
      <c r="J90" s="7">
        <f t="shared" si="22"/>
        <v>0.882013323464101</v>
      </c>
      <c r="K90" s="7">
        <f t="shared" si="23"/>
        <v>-0.12554811712107128</v>
      </c>
      <c r="L90" s="7">
        <f t="shared" si="24"/>
        <v>-0.11073511203661628</v>
      </c>
      <c r="M90" s="7">
        <f t="shared" si="25"/>
        <v>0.12554811712107128</v>
      </c>
      <c r="N90" s="7">
        <f t="shared" si="26"/>
        <v>3.4995332823830174</v>
      </c>
      <c r="O90" s="9">
        <f t="shared" si="19"/>
        <v>35.85769230769229</v>
      </c>
      <c r="P90" s="7">
        <f t="shared" si="27"/>
        <v>-7.3870395227873337E-2</v>
      </c>
    </row>
    <row r="91" spans="1:16" x14ac:dyDescent="0.25">
      <c r="A91" t="s">
        <v>129</v>
      </c>
      <c r="B91">
        <v>2018</v>
      </c>
      <c r="C91" s="5" t="str">
        <f>'1_Du_lieu'!C106</f>
        <v>BTB&amp;DHMT</v>
      </c>
      <c r="D91" s="8">
        <f>'1_Du_lieu'!E106</f>
        <v>30.1</v>
      </c>
      <c r="E91" s="5">
        <f t="shared" si="20"/>
        <v>0</v>
      </c>
      <c r="F91" s="9">
        <f t="shared" ref="F91:F112" si="28">AVERAGE($D$59:$D$112)</f>
        <v>37.527777777777764</v>
      </c>
      <c r="G91" s="5">
        <f t="shared" ref="G91:G112" si="29">COUNT($D$59:$D$112)</f>
        <v>54</v>
      </c>
      <c r="H91" s="8">
        <f t="shared" ref="H91:H112" si="30">_xlfn.RANK.AVG(D91,$D$59:$D$112,1)</f>
        <v>11.5</v>
      </c>
      <c r="I91" s="8">
        <f t="shared" si="21"/>
        <v>346.15000000000003</v>
      </c>
      <c r="J91" s="7">
        <f t="shared" si="22"/>
        <v>0.80207253886010399</v>
      </c>
      <c r="K91" s="7">
        <f t="shared" si="23"/>
        <v>-0.22055622774925837</v>
      </c>
      <c r="L91" s="7">
        <f t="shared" si="24"/>
        <v>-0.17690209355225497</v>
      </c>
      <c r="M91" s="7">
        <f t="shared" si="25"/>
        <v>0.22055622774925834</v>
      </c>
      <c r="N91" s="7">
        <f t="shared" si="26"/>
        <v>3.4045251717548299</v>
      </c>
      <c r="O91" s="9">
        <f t="shared" ref="O91:O112" si="31">SUMPRODUCT((1-$E$59:$E$112)*$D$59:$D$112)/(G91-SUM($E$59:$E$112))</f>
        <v>35.85769230769229</v>
      </c>
      <c r="P91" s="7">
        <f t="shared" si="27"/>
        <v>-0.14692779152473459</v>
      </c>
    </row>
    <row r="92" spans="1:16" x14ac:dyDescent="0.25">
      <c r="A92" t="s">
        <v>130</v>
      </c>
      <c r="B92">
        <v>2018</v>
      </c>
      <c r="C92" s="5" t="str">
        <f>'1_Du_lieu'!C107</f>
        <v>BTB&amp;DHMT</v>
      </c>
      <c r="D92" s="8">
        <f>'1_Du_lieu'!E107</f>
        <v>37.1</v>
      </c>
      <c r="E92" s="5">
        <f t="shared" si="20"/>
        <v>0</v>
      </c>
      <c r="F92" s="9">
        <f t="shared" si="28"/>
        <v>37.527777777777764</v>
      </c>
      <c r="G92" s="5">
        <f t="shared" si="29"/>
        <v>54</v>
      </c>
      <c r="H92" s="8">
        <f t="shared" si="30"/>
        <v>37</v>
      </c>
      <c r="I92" s="8">
        <f t="shared" si="21"/>
        <v>1372.7</v>
      </c>
      <c r="J92" s="7">
        <f t="shared" si="22"/>
        <v>0.98860103626943041</v>
      </c>
      <c r="K92" s="7">
        <f t="shared" si="23"/>
        <v>-1.1464429890699037E-2</v>
      </c>
      <c r="L92" s="7">
        <f t="shared" si="24"/>
        <v>-1.1333747270183301E-2</v>
      </c>
      <c r="M92" s="7">
        <f t="shared" si="25"/>
        <v>1.1464429890698995E-2</v>
      </c>
      <c r="N92" s="7">
        <f t="shared" si="26"/>
        <v>3.6136169696133895</v>
      </c>
      <c r="O92" s="9">
        <f t="shared" si="31"/>
        <v>35.85769230769229</v>
      </c>
      <c r="P92" s="7">
        <f t="shared" si="27"/>
        <v>3.5238842452068452E-2</v>
      </c>
    </row>
    <row r="93" spans="1:16" x14ac:dyDescent="0.25">
      <c r="A93" t="s">
        <v>131</v>
      </c>
      <c r="B93">
        <v>2018</v>
      </c>
      <c r="C93" s="5" t="str">
        <f>'1_Du_lieu'!C108</f>
        <v>BTB&amp;DHMT</v>
      </c>
      <c r="D93" s="8">
        <f>'1_Du_lieu'!E108</f>
        <v>30.1</v>
      </c>
      <c r="E93" s="5">
        <f t="shared" si="20"/>
        <v>0</v>
      </c>
      <c r="F93" s="9">
        <f t="shared" si="28"/>
        <v>37.527777777777764</v>
      </c>
      <c r="G93" s="5">
        <f t="shared" si="29"/>
        <v>54</v>
      </c>
      <c r="H93" s="8">
        <f t="shared" si="30"/>
        <v>11.5</v>
      </c>
      <c r="I93" s="8">
        <f t="shared" si="21"/>
        <v>346.15000000000003</v>
      </c>
      <c r="J93" s="7">
        <f t="shared" si="22"/>
        <v>0.80207253886010399</v>
      </c>
      <c r="K93" s="7">
        <f t="shared" si="23"/>
        <v>-0.22055622774925837</v>
      </c>
      <c r="L93" s="7">
        <f t="shared" si="24"/>
        <v>-0.17690209355225497</v>
      </c>
      <c r="M93" s="7">
        <f t="shared" si="25"/>
        <v>0.22055622774925834</v>
      </c>
      <c r="N93" s="7">
        <f t="shared" si="26"/>
        <v>3.4045251717548299</v>
      </c>
      <c r="O93" s="9">
        <f t="shared" si="31"/>
        <v>35.85769230769229</v>
      </c>
      <c r="P93" s="7">
        <f t="shared" si="27"/>
        <v>-0.14692779152473459</v>
      </c>
    </row>
    <row r="94" spans="1:16" x14ac:dyDescent="0.25">
      <c r="A94" t="s">
        <v>132</v>
      </c>
      <c r="B94">
        <v>2018</v>
      </c>
      <c r="C94" s="5" t="str">
        <f>'1_Du_lieu'!C109</f>
        <v>ĐBSH</v>
      </c>
      <c r="D94" s="8">
        <f>'1_Du_lieu'!E109</f>
        <v>40.299999999999997</v>
      </c>
      <c r="E94" s="5">
        <f t="shared" si="20"/>
        <v>0</v>
      </c>
      <c r="F94" s="9">
        <f t="shared" si="28"/>
        <v>37.527777777777764</v>
      </c>
      <c r="G94" s="5">
        <f t="shared" si="29"/>
        <v>54</v>
      </c>
      <c r="H94" s="8">
        <f t="shared" si="30"/>
        <v>41.5</v>
      </c>
      <c r="I94" s="8">
        <f t="shared" si="21"/>
        <v>1672.4499999999998</v>
      </c>
      <c r="J94" s="7">
        <f t="shared" si="22"/>
        <v>1.0738712065136939</v>
      </c>
      <c r="K94" s="7">
        <f t="shared" si="23"/>
        <v>7.1270069448548801E-2</v>
      </c>
      <c r="L94" s="7">
        <f t="shared" si="24"/>
        <v>7.6534875467027863E-2</v>
      </c>
      <c r="M94" s="7">
        <f t="shared" si="25"/>
        <v>-7.1270069448548717E-2</v>
      </c>
      <c r="N94" s="7">
        <f t="shared" si="26"/>
        <v>3.6963514689526371</v>
      </c>
      <c r="O94" s="9">
        <f t="shared" si="31"/>
        <v>35.85769230769229</v>
      </c>
      <c r="P94" s="7">
        <f t="shared" si="27"/>
        <v>0.13126255290418132</v>
      </c>
    </row>
    <row r="95" spans="1:16" x14ac:dyDescent="0.25">
      <c r="A95" t="s">
        <v>133</v>
      </c>
      <c r="B95">
        <v>2018</v>
      </c>
      <c r="C95" s="5" t="str">
        <f>'1_Du_lieu'!C110</f>
        <v>BTB&amp;DHMT</v>
      </c>
      <c r="D95" s="8">
        <f>'1_Du_lieu'!E110</f>
        <v>29.1</v>
      </c>
      <c r="E95" s="5">
        <f t="shared" si="20"/>
        <v>0</v>
      </c>
      <c r="F95" s="9">
        <f t="shared" si="28"/>
        <v>37.527777777777764</v>
      </c>
      <c r="G95" s="5">
        <f t="shared" si="29"/>
        <v>54</v>
      </c>
      <c r="H95" s="8">
        <f t="shared" si="30"/>
        <v>6</v>
      </c>
      <c r="I95" s="8">
        <f t="shared" si="21"/>
        <v>174.60000000000002</v>
      </c>
      <c r="J95" s="7">
        <f t="shared" si="22"/>
        <v>0.77542561065877158</v>
      </c>
      <c r="K95" s="7">
        <f t="shared" si="23"/>
        <v>-0.25434322532664166</v>
      </c>
      <c r="L95" s="7">
        <f t="shared" si="24"/>
        <v>-0.19722425081583264</v>
      </c>
      <c r="M95" s="7">
        <f t="shared" si="25"/>
        <v>0.25434322532664161</v>
      </c>
      <c r="N95" s="7">
        <f t="shared" si="26"/>
        <v>3.3707381741774469</v>
      </c>
      <c r="O95" s="9">
        <f t="shared" si="31"/>
        <v>35.85769230769229</v>
      </c>
      <c r="P95" s="7">
        <f t="shared" si="27"/>
        <v>-0.16946601515163953</v>
      </c>
    </row>
    <row r="96" spans="1:16" x14ac:dyDescent="0.25">
      <c r="A96" t="s">
        <v>136</v>
      </c>
      <c r="B96">
        <v>2018</v>
      </c>
      <c r="C96" s="5" t="str">
        <f>'1_Du_lieu'!C113</f>
        <v>ĐNB</v>
      </c>
      <c r="D96" s="8">
        <f>'1_Du_lieu'!E113</f>
        <v>82.1</v>
      </c>
      <c r="E96" s="5">
        <f t="shared" si="20"/>
        <v>1</v>
      </c>
      <c r="F96" s="9">
        <f t="shared" si="28"/>
        <v>37.527777777777764</v>
      </c>
      <c r="G96" s="5">
        <f t="shared" si="29"/>
        <v>54</v>
      </c>
      <c r="H96" s="8">
        <f t="shared" si="30"/>
        <v>54</v>
      </c>
      <c r="I96" s="8">
        <f t="shared" si="21"/>
        <v>4433.3999999999996</v>
      </c>
      <c r="J96" s="7">
        <f t="shared" si="22"/>
        <v>2.1877128053293862</v>
      </c>
      <c r="K96" s="7">
        <f t="shared" si="23"/>
        <v>0.78285661695429387</v>
      </c>
      <c r="L96" s="7">
        <f t="shared" si="24"/>
        <v>1.712665445647751</v>
      </c>
      <c r="M96" s="7">
        <f t="shared" si="25"/>
        <v>-0.78285661695429398</v>
      </c>
      <c r="N96" s="7">
        <f t="shared" si="26"/>
        <v>4.4079380164583828</v>
      </c>
      <c r="O96" s="9">
        <f t="shared" si="31"/>
        <v>35.85769230769229</v>
      </c>
      <c r="P96" s="7">
        <f t="shared" si="27"/>
        <v>0</v>
      </c>
    </row>
    <row r="97" spans="1:16" x14ac:dyDescent="0.25">
      <c r="A97" t="s">
        <v>137</v>
      </c>
      <c r="B97">
        <v>2018</v>
      </c>
      <c r="C97" s="5" t="str">
        <f>'1_Du_lieu'!C114</f>
        <v>BTB&amp;DHMT</v>
      </c>
      <c r="D97" s="8">
        <f>'1_Du_lieu'!E114</f>
        <v>36.4</v>
      </c>
      <c r="E97" s="5">
        <f t="shared" si="20"/>
        <v>0</v>
      </c>
      <c r="F97" s="9">
        <f t="shared" si="28"/>
        <v>37.527777777777764</v>
      </c>
      <c r="G97" s="5">
        <f t="shared" si="29"/>
        <v>54</v>
      </c>
      <c r="H97" s="8">
        <f t="shared" si="30"/>
        <v>33</v>
      </c>
      <c r="I97" s="8">
        <f t="shared" si="21"/>
        <v>1201.2</v>
      </c>
      <c r="J97" s="7">
        <f t="shared" si="22"/>
        <v>0.96994818652849768</v>
      </c>
      <c r="K97" s="7">
        <f t="shared" si="23"/>
        <v>-3.0512624861393601E-2</v>
      </c>
      <c r="L97" s="7">
        <f t="shared" si="24"/>
        <v>-2.9595665150533076E-2</v>
      </c>
      <c r="M97" s="7">
        <f t="shared" si="25"/>
        <v>3.0512624861393556E-2</v>
      </c>
      <c r="N97" s="7">
        <f t="shared" si="26"/>
        <v>3.5945687746426951</v>
      </c>
      <c r="O97" s="9">
        <f t="shared" si="31"/>
        <v>35.85769230769229</v>
      </c>
      <c r="P97" s="7">
        <f t="shared" si="27"/>
        <v>1.5237680910170161E-2</v>
      </c>
    </row>
    <row r="98" spans="1:16" x14ac:dyDescent="0.25">
      <c r="A98" t="s">
        <v>138</v>
      </c>
      <c r="B98">
        <v>2018</v>
      </c>
      <c r="C98" s="5" t="str">
        <f>'1_Du_lieu'!C115</f>
        <v>ĐBSH</v>
      </c>
      <c r="D98" s="8">
        <f>'1_Du_lieu'!E115</f>
        <v>35.799999999999997</v>
      </c>
      <c r="E98" s="5">
        <f t="shared" si="20"/>
        <v>0</v>
      </c>
      <c r="F98" s="9">
        <f t="shared" si="28"/>
        <v>37.527777777777764</v>
      </c>
      <c r="G98" s="5">
        <f t="shared" si="29"/>
        <v>54</v>
      </c>
      <c r="H98" s="8">
        <f t="shared" si="30"/>
        <v>30</v>
      </c>
      <c r="I98" s="8">
        <f t="shared" si="21"/>
        <v>1074</v>
      </c>
      <c r="J98" s="7">
        <f t="shared" si="22"/>
        <v>0.95396002960769821</v>
      </c>
      <c r="K98" s="7">
        <f t="shared" si="23"/>
        <v>-4.7133506097434011E-2</v>
      </c>
      <c r="L98" s="7">
        <f t="shared" si="24"/>
        <v>-4.4963480872222773E-2</v>
      </c>
      <c r="M98" s="7">
        <f t="shared" si="25"/>
        <v>4.7133506097433962E-2</v>
      </c>
      <c r="N98" s="7">
        <f t="shared" si="26"/>
        <v>3.5779478934066544</v>
      </c>
      <c r="O98" s="9">
        <f t="shared" si="31"/>
        <v>35.85769230769229</v>
      </c>
      <c r="P98" s="7">
        <f t="shared" si="27"/>
        <v>-1.6076291528421016E-3</v>
      </c>
    </row>
    <row r="99" spans="1:16" x14ac:dyDescent="0.25">
      <c r="A99" t="s">
        <v>139</v>
      </c>
      <c r="B99">
        <v>2018</v>
      </c>
      <c r="C99" s="5" t="str">
        <f>'1_Du_lieu'!C116</f>
        <v>TDMNPB</v>
      </c>
      <c r="D99" s="8">
        <f>'1_Du_lieu'!E116</f>
        <v>33.1</v>
      </c>
      <c r="E99" s="5">
        <f t="shared" si="20"/>
        <v>0</v>
      </c>
      <c r="F99" s="9">
        <f t="shared" si="28"/>
        <v>37.527777777777764</v>
      </c>
      <c r="G99" s="5">
        <f t="shared" si="29"/>
        <v>54</v>
      </c>
      <c r="H99" s="8">
        <f t="shared" si="30"/>
        <v>18</v>
      </c>
      <c r="I99" s="8">
        <f t="shared" si="21"/>
        <v>595.80000000000007</v>
      </c>
      <c r="J99" s="7">
        <f t="shared" si="22"/>
        <v>0.882013323464101</v>
      </c>
      <c r="K99" s="7">
        <f t="shared" si="23"/>
        <v>-0.12554811712107128</v>
      </c>
      <c r="L99" s="7">
        <f t="shared" si="24"/>
        <v>-0.11073511203661628</v>
      </c>
      <c r="M99" s="7">
        <f t="shared" si="25"/>
        <v>0.12554811712107128</v>
      </c>
      <c r="N99" s="7">
        <f t="shared" si="26"/>
        <v>3.4995332823830174</v>
      </c>
      <c r="O99" s="9">
        <f t="shared" si="31"/>
        <v>35.85769230769229</v>
      </c>
      <c r="P99" s="7">
        <f t="shared" si="27"/>
        <v>-7.3870395227873337E-2</v>
      </c>
    </row>
    <row r="100" spans="1:16" x14ac:dyDescent="0.25">
      <c r="A100" t="s">
        <v>140</v>
      </c>
      <c r="B100">
        <v>2018</v>
      </c>
      <c r="C100" s="5" t="str">
        <f>'1_Du_lieu'!C117</f>
        <v>BTB&amp;DHMT</v>
      </c>
      <c r="D100" s="8">
        <f>'1_Du_lieu'!E117</f>
        <v>38.299999999999997</v>
      </c>
      <c r="E100" s="5">
        <f t="shared" si="20"/>
        <v>0</v>
      </c>
      <c r="F100" s="9">
        <f t="shared" si="28"/>
        <v>37.527777777777764</v>
      </c>
      <c r="G100" s="5">
        <f t="shared" si="29"/>
        <v>54</v>
      </c>
      <c r="H100" s="8">
        <f t="shared" si="30"/>
        <v>40</v>
      </c>
      <c r="I100" s="8">
        <f t="shared" si="21"/>
        <v>1532</v>
      </c>
      <c r="J100" s="7">
        <f t="shared" si="22"/>
        <v>1.0205773501110291</v>
      </c>
      <c r="K100" s="7">
        <f t="shared" si="23"/>
        <v>2.0368496682511703E-2</v>
      </c>
      <c r="L100" s="7">
        <f t="shared" si="24"/>
        <v>2.0787626369983082E-2</v>
      </c>
      <c r="M100" s="7">
        <f t="shared" si="25"/>
        <v>-2.03684966825117E-2</v>
      </c>
      <c r="N100" s="7">
        <f t="shared" si="26"/>
        <v>3.6454498961866002</v>
      </c>
      <c r="O100" s="9">
        <f t="shared" si="31"/>
        <v>35.85769230769229</v>
      </c>
      <c r="P100" s="7">
        <f t="shared" si="27"/>
        <v>7.0379746237511503E-2</v>
      </c>
    </row>
    <row r="101" spans="1:16" x14ac:dyDescent="0.25">
      <c r="A101" t="s">
        <v>141</v>
      </c>
      <c r="B101">
        <v>2018</v>
      </c>
      <c r="C101" s="5" t="str">
        <f>'1_Du_lieu'!C118</f>
        <v>ĐBSCL</v>
      </c>
      <c r="D101" s="8">
        <f>'1_Du_lieu'!E118</f>
        <v>33.700000000000003</v>
      </c>
      <c r="E101" s="5">
        <f t="shared" si="20"/>
        <v>0</v>
      </c>
      <c r="F101" s="9">
        <f t="shared" si="28"/>
        <v>37.527777777777764</v>
      </c>
      <c r="G101" s="5">
        <f t="shared" si="29"/>
        <v>54</v>
      </c>
      <c r="H101" s="8">
        <f t="shared" si="30"/>
        <v>21</v>
      </c>
      <c r="I101" s="8">
        <f t="shared" si="21"/>
        <v>707.7</v>
      </c>
      <c r="J101" s="7">
        <f t="shared" si="22"/>
        <v>0.89800148038490046</v>
      </c>
      <c r="K101" s="7">
        <f t="shared" si="23"/>
        <v>-0.10758356214577239</v>
      </c>
      <c r="L101" s="7">
        <f t="shared" si="24"/>
        <v>-9.6610198071984538E-2</v>
      </c>
      <c r="M101" s="7">
        <f t="shared" si="25"/>
        <v>0.10758356214577236</v>
      </c>
      <c r="N101" s="7">
        <f t="shared" si="26"/>
        <v>3.5174978373583161</v>
      </c>
      <c r="O101" s="9">
        <f t="shared" si="31"/>
        <v>35.85769230769229</v>
      </c>
      <c r="P101" s="7">
        <f t="shared" si="27"/>
        <v>-5.8325875537488567E-2</v>
      </c>
    </row>
    <row r="102" spans="1:16" x14ac:dyDescent="0.25">
      <c r="A102" t="s">
        <v>142</v>
      </c>
      <c r="B102">
        <v>2018</v>
      </c>
      <c r="C102" s="5" t="str">
        <f>'1_Du_lieu'!C119</f>
        <v>ĐBSCL</v>
      </c>
      <c r="D102" s="8">
        <f>'1_Du_lieu'!E119</f>
        <v>29.2</v>
      </c>
      <c r="E102" s="5">
        <f t="shared" si="20"/>
        <v>0</v>
      </c>
      <c r="F102" s="9">
        <f t="shared" si="28"/>
        <v>37.527777777777764</v>
      </c>
      <c r="G102" s="5">
        <f t="shared" si="29"/>
        <v>54</v>
      </c>
      <c r="H102" s="8">
        <f t="shared" si="30"/>
        <v>7</v>
      </c>
      <c r="I102" s="8">
        <f t="shared" si="21"/>
        <v>204.4</v>
      </c>
      <c r="J102" s="7">
        <f t="shared" si="22"/>
        <v>0.77809030347890473</v>
      </c>
      <c r="K102" s="7">
        <f t="shared" si="23"/>
        <v>-0.25091269022985252</v>
      </c>
      <c r="L102" s="7">
        <f t="shared" si="24"/>
        <v>-0.19523273128765437</v>
      </c>
      <c r="M102" s="7">
        <f t="shared" si="25"/>
        <v>0.25091269022985252</v>
      </c>
      <c r="N102" s="7">
        <f t="shared" si="26"/>
        <v>3.3741687092742358</v>
      </c>
      <c r="O102" s="9">
        <f t="shared" si="31"/>
        <v>35.85769230769229</v>
      </c>
      <c r="P102" s="7">
        <f t="shared" si="27"/>
        <v>-0.1672547844278246</v>
      </c>
    </row>
    <row r="103" spans="1:16" x14ac:dyDescent="0.25">
      <c r="A103" t="s">
        <v>143</v>
      </c>
      <c r="B103">
        <v>2018</v>
      </c>
      <c r="C103" s="5" t="str">
        <f>'1_Du_lieu'!C120</f>
        <v>TDMNPB</v>
      </c>
      <c r="D103" s="8">
        <f>'1_Du_lieu'!E120</f>
        <v>27.4</v>
      </c>
      <c r="E103" s="5">
        <f t="shared" si="20"/>
        <v>0</v>
      </c>
      <c r="F103" s="9">
        <f t="shared" si="28"/>
        <v>37.527777777777764</v>
      </c>
      <c r="G103" s="5">
        <f t="shared" si="29"/>
        <v>54</v>
      </c>
      <c r="H103" s="8">
        <f t="shared" si="30"/>
        <v>3</v>
      </c>
      <c r="I103" s="8">
        <f t="shared" si="21"/>
        <v>82.199999999999989</v>
      </c>
      <c r="J103" s="7">
        <f t="shared" si="22"/>
        <v>0.73012583271650655</v>
      </c>
      <c r="K103" s="7">
        <f t="shared" si="23"/>
        <v>-0.31453838611006396</v>
      </c>
      <c r="L103" s="7">
        <f t="shared" si="24"/>
        <v>-0.2296526010799165</v>
      </c>
      <c r="M103" s="7">
        <f t="shared" si="25"/>
        <v>0.31453838611006396</v>
      </c>
      <c r="N103" s="7">
        <f t="shared" si="26"/>
        <v>3.3105430133940246</v>
      </c>
      <c r="O103" s="9">
        <f t="shared" si="31"/>
        <v>35.85769230769229</v>
      </c>
      <c r="P103" s="7">
        <f t="shared" si="27"/>
        <v>-0.20556297024519926</v>
      </c>
    </row>
    <row r="104" spans="1:16" x14ac:dyDescent="0.25">
      <c r="A104" t="s">
        <v>144</v>
      </c>
      <c r="B104">
        <v>2018</v>
      </c>
      <c r="C104" s="5" t="str">
        <f>'1_Du_lieu'!C121</f>
        <v>ĐNB</v>
      </c>
      <c r="D104" s="8">
        <f>'1_Du_lieu'!E121</f>
        <v>36.6</v>
      </c>
      <c r="E104" s="5">
        <f t="shared" si="20"/>
        <v>0</v>
      </c>
      <c r="F104" s="9">
        <f t="shared" si="28"/>
        <v>37.527777777777764</v>
      </c>
      <c r="G104" s="5">
        <f t="shared" si="29"/>
        <v>54</v>
      </c>
      <c r="H104" s="8">
        <f t="shared" si="30"/>
        <v>34</v>
      </c>
      <c r="I104" s="8">
        <f t="shared" si="21"/>
        <v>1244.4000000000001</v>
      </c>
      <c r="J104" s="7">
        <f t="shared" si="22"/>
        <v>0.97527757216876432</v>
      </c>
      <c r="K104" s="7">
        <f t="shared" si="23"/>
        <v>-2.503315909676784E-2</v>
      </c>
      <c r="L104" s="7">
        <f t="shared" si="24"/>
        <v>-2.4414278627610156E-2</v>
      </c>
      <c r="M104" s="7">
        <f t="shared" si="25"/>
        <v>2.5033159096767999E-2</v>
      </c>
      <c r="N104" s="7">
        <f t="shared" si="26"/>
        <v>3.6000482404073204</v>
      </c>
      <c r="O104" s="9">
        <f t="shared" si="31"/>
        <v>35.85769230769229</v>
      </c>
      <c r="P104" s="7">
        <f t="shared" si="27"/>
        <v>2.0914303307142959E-2</v>
      </c>
    </row>
    <row r="105" spans="1:16" x14ac:dyDescent="0.25">
      <c r="A105" t="s">
        <v>145</v>
      </c>
      <c r="B105">
        <v>2018</v>
      </c>
      <c r="C105" s="5" t="str">
        <f>'1_Du_lieu'!C122</f>
        <v>ĐBSCL</v>
      </c>
      <c r="D105" s="8">
        <f>'1_Du_lieu'!E122</f>
        <v>29.7</v>
      </c>
      <c r="E105" s="5">
        <f t="shared" si="20"/>
        <v>0</v>
      </c>
      <c r="F105" s="9">
        <f t="shared" si="28"/>
        <v>37.527777777777764</v>
      </c>
      <c r="G105" s="5">
        <f t="shared" si="29"/>
        <v>54</v>
      </c>
      <c r="H105" s="8">
        <f t="shared" si="30"/>
        <v>9</v>
      </c>
      <c r="I105" s="8">
        <f t="shared" si="21"/>
        <v>267.3</v>
      </c>
      <c r="J105" s="7">
        <f t="shared" si="22"/>
        <v>0.79141376757957094</v>
      </c>
      <c r="K105" s="7">
        <f t="shared" si="23"/>
        <v>-0.23393435369543461</v>
      </c>
      <c r="L105" s="7">
        <f t="shared" si="24"/>
        <v>-0.18513886822439582</v>
      </c>
      <c r="M105" s="7">
        <f t="shared" si="25"/>
        <v>0.23393435369543455</v>
      </c>
      <c r="N105" s="7">
        <f t="shared" si="26"/>
        <v>3.3911470458086539</v>
      </c>
      <c r="O105" s="9">
        <f t="shared" si="31"/>
        <v>35.85769230769229</v>
      </c>
      <c r="P105" s="7">
        <f t="shared" si="27"/>
        <v>-0.15605601877322042</v>
      </c>
    </row>
    <row r="106" spans="1:16" x14ac:dyDescent="0.25">
      <c r="A106" t="s">
        <v>146</v>
      </c>
      <c r="B106">
        <v>2018</v>
      </c>
      <c r="C106" s="5" t="str">
        <f>'1_Du_lieu'!C123</f>
        <v>ĐBSH</v>
      </c>
      <c r="D106" s="8">
        <f>'1_Du_lieu'!E123</f>
        <v>41.2</v>
      </c>
      <c r="E106" s="5">
        <f t="shared" si="20"/>
        <v>0</v>
      </c>
      <c r="F106" s="9">
        <f t="shared" si="28"/>
        <v>37.527777777777764</v>
      </c>
      <c r="G106" s="5">
        <f t="shared" si="29"/>
        <v>54</v>
      </c>
      <c r="H106" s="8">
        <f t="shared" si="30"/>
        <v>45</v>
      </c>
      <c r="I106" s="8">
        <f t="shared" si="21"/>
        <v>1854.0000000000002</v>
      </c>
      <c r="J106" s="7">
        <f t="shared" si="22"/>
        <v>1.0978534418948931</v>
      </c>
      <c r="K106" s="7">
        <f t="shared" si="23"/>
        <v>9.3356856851392236E-2</v>
      </c>
      <c r="L106" s="7">
        <f t="shared" si="24"/>
        <v>0.1024921466187898</v>
      </c>
      <c r="M106" s="7">
        <f t="shared" si="25"/>
        <v>-9.335685685139225E-2</v>
      </c>
      <c r="N106" s="7">
        <f t="shared" si="26"/>
        <v>3.7184382563554808</v>
      </c>
      <c r="O106" s="9">
        <f t="shared" si="31"/>
        <v>35.85769230769229</v>
      </c>
      <c r="P106" s="7">
        <f t="shared" si="27"/>
        <v>0.15957139253588618</v>
      </c>
    </row>
    <row r="107" spans="1:16" x14ac:dyDescent="0.25">
      <c r="A107" t="s">
        <v>147</v>
      </c>
      <c r="B107">
        <v>2018</v>
      </c>
      <c r="C107" s="5" t="str">
        <f>'1_Du_lieu'!C124</f>
        <v>TDMNPB</v>
      </c>
      <c r="D107" s="8">
        <f>'1_Du_lieu'!E124</f>
        <v>29.6</v>
      </c>
      <c r="E107" s="5">
        <f t="shared" si="20"/>
        <v>0</v>
      </c>
      <c r="F107" s="9">
        <f t="shared" si="28"/>
        <v>37.527777777777764</v>
      </c>
      <c r="G107" s="5">
        <f t="shared" si="29"/>
        <v>54</v>
      </c>
      <c r="H107" s="8">
        <f t="shared" si="30"/>
        <v>8</v>
      </c>
      <c r="I107" s="8">
        <f t="shared" si="21"/>
        <v>236.8</v>
      </c>
      <c r="J107" s="7">
        <f t="shared" si="22"/>
        <v>0.78874907475943778</v>
      </c>
      <c r="K107" s="7">
        <f t="shared" si="23"/>
        <v>-0.23730703817407375</v>
      </c>
      <c r="L107" s="7">
        <f t="shared" si="24"/>
        <v>-0.18717570679370327</v>
      </c>
      <c r="M107" s="7">
        <f t="shared" si="25"/>
        <v>0.23730703817407373</v>
      </c>
      <c r="N107" s="7">
        <f t="shared" si="26"/>
        <v>3.3877743613300146</v>
      </c>
      <c r="O107" s="9">
        <f t="shared" si="31"/>
        <v>35.85769230769229</v>
      </c>
      <c r="P107" s="7">
        <f t="shared" si="27"/>
        <v>-0.15831467928950516</v>
      </c>
    </row>
    <row r="108" spans="1:16" x14ac:dyDescent="0.25">
      <c r="A108" t="s">
        <v>149</v>
      </c>
      <c r="B108">
        <v>2018</v>
      </c>
      <c r="C108" s="5" t="str">
        <f>'1_Du_lieu'!C126</f>
        <v>BTB&amp;DHMT</v>
      </c>
      <c r="D108" s="8">
        <f>'1_Du_lieu'!E126</f>
        <v>54.1</v>
      </c>
      <c r="E108" s="5">
        <f t="shared" si="20"/>
        <v>0</v>
      </c>
      <c r="F108" s="9">
        <f t="shared" si="28"/>
        <v>37.527777777777764</v>
      </c>
      <c r="G108" s="5">
        <f t="shared" si="29"/>
        <v>54</v>
      </c>
      <c r="H108" s="8">
        <f t="shared" si="30"/>
        <v>51</v>
      </c>
      <c r="I108" s="8">
        <f t="shared" si="21"/>
        <v>2759.1</v>
      </c>
      <c r="J108" s="7">
        <f t="shared" si="22"/>
        <v>1.4415988156920805</v>
      </c>
      <c r="K108" s="7">
        <f t="shared" si="23"/>
        <v>0.36575278634834735</v>
      </c>
      <c r="L108" s="7">
        <f t="shared" si="24"/>
        <v>0.52726878363585605</v>
      </c>
      <c r="M108" s="7">
        <f t="shared" si="25"/>
        <v>-0.3657527863483474</v>
      </c>
      <c r="N108" s="7">
        <f t="shared" si="26"/>
        <v>3.9908341858524357</v>
      </c>
      <c r="O108" s="9">
        <f t="shared" si="31"/>
        <v>35.85769230769229</v>
      </c>
      <c r="P108" s="7">
        <f t="shared" si="27"/>
        <v>0.62050941078917676</v>
      </c>
    </row>
    <row r="109" spans="1:16" x14ac:dyDescent="0.25">
      <c r="A109" t="s">
        <v>150</v>
      </c>
      <c r="B109">
        <v>2018</v>
      </c>
      <c r="C109" s="5" t="str">
        <f>'1_Du_lieu'!C127</f>
        <v>TN</v>
      </c>
      <c r="D109" s="8">
        <f>'1_Du_lieu'!E127</f>
        <v>33.799999999999997</v>
      </c>
      <c r="E109" s="5">
        <f t="shared" si="20"/>
        <v>0</v>
      </c>
      <c r="F109" s="9">
        <f t="shared" si="28"/>
        <v>37.527777777777764</v>
      </c>
      <c r="G109" s="5">
        <f t="shared" si="29"/>
        <v>54</v>
      </c>
      <c r="H109" s="8">
        <f t="shared" si="30"/>
        <v>23</v>
      </c>
      <c r="I109" s="8">
        <f t="shared" si="21"/>
        <v>777.4</v>
      </c>
      <c r="J109" s="7">
        <f t="shared" si="22"/>
        <v>0.9006661732050335</v>
      </c>
      <c r="K109" s="7">
        <f t="shared" si="23"/>
        <v>-0.10462059701511554</v>
      </c>
      <c r="L109" s="7">
        <f t="shared" si="24"/>
        <v>-9.4228232752030072E-2</v>
      </c>
      <c r="M109" s="7">
        <f t="shared" si="25"/>
        <v>0.10462059701511549</v>
      </c>
      <c r="N109" s="7">
        <f t="shared" si="26"/>
        <v>3.520460802488973</v>
      </c>
      <c r="O109" s="9">
        <f t="shared" si="31"/>
        <v>35.85769230769229</v>
      </c>
      <c r="P109" s="7">
        <f t="shared" si="27"/>
        <v>-5.5706013862682334E-2</v>
      </c>
    </row>
    <row r="110" spans="1:16" x14ac:dyDescent="0.25">
      <c r="A110" t="s">
        <v>151</v>
      </c>
      <c r="B110">
        <v>2018</v>
      </c>
      <c r="C110" s="5" t="str">
        <f>'1_Du_lieu'!C128</f>
        <v>TN</v>
      </c>
      <c r="D110" s="8">
        <f>'1_Du_lieu'!E128</f>
        <v>30.1</v>
      </c>
      <c r="E110" s="5">
        <f t="shared" si="20"/>
        <v>0</v>
      </c>
      <c r="F110" s="9">
        <f t="shared" si="28"/>
        <v>37.527777777777764</v>
      </c>
      <c r="G110" s="5">
        <f t="shared" si="29"/>
        <v>54</v>
      </c>
      <c r="H110" s="8">
        <f t="shared" si="30"/>
        <v>11.5</v>
      </c>
      <c r="I110" s="8">
        <f t="shared" si="21"/>
        <v>346.15000000000003</v>
      </c>
      <c r="J110" s="7">
        <f t="shared" si="22"/>
        <v>0.80207253886010399</v>
      </c>
      <c r="K110" s="7">
        <f t="shared" si="23"/>
        <v>-0.22055622774925837</v>
      </c>
      <c r="L110" s="7">
        <f t="shared" si="24"/>
        <v>-0.17690209355225497</v>
      </c>
      <c r="M110" s="7">
        <f t="shared" si="25"/>
        <v>0.22055622774925834</v>
      </c>
      <c r="N110" s="7">
        <f t="shared" si="26"/>
        <v>3.4045251717548299</v>
      </c>
      <c r="O110" s="9">
        <f t="shared" si="31"/>
        <v>35.85769230769229</v>
      </c>
      <c r="P110" s="7">
        <f t="shared" si="27"/>
        <v>-0.14692779152473459</v>
      </c>
    </row>
    <row r="111" spans="1:16" x14ac:dyDescent="0.25">
      <c r="A111" t="s">
        <v>152</v>
      </c>
      <c r="B111">
        <v>2018</v>
      </c>
      <c r="C111" s="5" t="str">
        <f>'1_Du_lieu'!C129</f>
        <v>ĐNB</v>
      </c>
      <c r="D111" s="8">
        <f>'1_Du_lieu'!E129</f>
        <v>48.2</v>
      </c>
      <c r="E111" s="5">
        <f t="shared" si="20"/>
        <v>0</v>
      </c>
      <c r="F111" s="9">
        <f t="shared" si="28"/>
        <v>37.527777777777764</v>
      </c>
      <c r="G111" s="5">
        <f t="shared" si="29"/>
        <v>54</v>
      </c>
      <c r="H111" s="8">
        <f t="shared" si="30"/>
        <v>49</v>
      </c>
      <c r="I111" s="8">
        <f t="shared" si="21"/>
        <v>2361.8000000000002</v>
      </c>
      <c r="J111" s="7">
        <f t="shared" si="22"/>
        <v>1.2843819393042197</v>
      </c>
      <c r="K111" s="7">
        <f t="shared" si="23"/>
        <v>0.25027762155246625</v>
      </c>
      <c r="L111" s="7">
        <f t="shared" si="24"/>
        <v>0.32145205693400419</v>
      </c>
      <c r="M111" s="7">
        <f t="shared" si="25"/>
        <v>-0.25027762155246619</v>
      </c>
      <c r="N111" s="7">
        <f t="shared" si="26"/>
        <v>3.8753590210565547</v>
      </c>
      <c r="O111" s="9">
        <f t="shared" si="31"/>
        <v>35.85769230769229</v>
      </c>
      <c r="P111" s="7">
        <f t="shared" si="27"/>
        <v>0.39761632266879565</v>
      </c>
    </row>
    <row r="112" spans="1:16" x14ac:dyDescent="0.25">
      <c r="A112" t="s">
        <v>153</v>
      </c>
      <c r="B112">
        <v>2018</v>
      </c>
      <c r="C112" s="5" t="str">
        <f>'1_Du_lieu'!C130</f>
        <v>ĐBSCL</v>
      </c>
      <c r="D112" s="8">
        <f>'1_Du_lieu'!E130</f>
        <v>33.1</v>
      </c>
      <c r="E112" s="5">
        <f t="shared" si="20"/>
        <v>0</v>
      </c>
      <c r="F112" s="9">
        <f t="shared" si="28"/>
        <v>37.527777777777764</v>
      </c>
      <c r="G112" s="5">
        <f t="shared" si="29"/>
        <v>54</v>
      </c>
      <c r="H112" s="8">
        <f t="shared" si="30"/>
        <v>18</v>
      </c>
      <c r="I112" s="8">
        <f t="shared" si="21"/>
        <v>595.80000000000007</v>
      </c>
      <c r="J112" s="7">
        <f t="shared" si="22"/>
        <v>0.882013323464101</v>
      </c>
      <c r="K112" s="7">
        <f t="shared" si="23"/>
        <v>-0.12554811712107128</v>
      </c>
      <c r="L112" s="7">
        <f t="shared" si="24"/>
        <v>-0.11073511203661628</v>
      </c>
      <c r="M112" s="7">
        <f t="shared" si="25"/>
        <v>0.12554811712107128</v>
      </c>
      <c r="N112" s="7">
        <f t="shared" si="26"/>
        <v>3.4995332823830174</v>
      </c>
      <c r="O112" s="9">
        <f t="shared" si="31"/>
        <v>35.85769230769229</v>
      </c>
      <c r="P112" s="7">
        <f t="shared" si="27"/>
        <v>-7.3870395227873337E-2</v>
      </c>
    </row>
    <row r="113" spans="1:16" x14ac:dyDescent="0.25">
      <c r="A113" t="s">
        <v>85</v>
      </c>
      <c r="B113">
        <v>2019</v>
      </c>
      <c r="C113" s="5" t="str">
        <f>'1_Du_lieu'!C131</f>
        <v>ĐBSCL</v>
      </c>
      <c r="D113" s="8">
        <f>'1_Du_lieu'!E131</f>
        <v>35.799999999999997</v>
      </c>
      <c r="E113" s="5">
        <f t="shared" si="20"/>
        <v>0</v>
      </c>
      <c r="F113" s="9">
        <f t="shared" ref="F113:F144" si="32">AVERAGE($D$113:$D$166)</f>
        <v>40.329629629629643</v>
      </c>
      <c r="G113" s="5">
        <f t="shared" ref="G113:G144" si="33">COUNT($D$113:$D$166)</f>
        <v>54</v>
      </c>
      <c r="H113" s="8">
        <f t="shared" ref="H113:H144" si="34">_xlfn.RANK.AVG(D113,$D$113:$D$166,1)</f>
        <v>22</v>
      </c>
      <c r="I113" s="8">
        <f t="shared" si="21"/>
        <v>787.59999999999991</v>
      </c>
      <c r="J113" s="7">
        <f t="shared" si="22"/>
        <v>0.88768481954265732</v>
      </c>
      <c r="K113" s="7">
        <f t="shared" si="23"/>
        <v>-0.11913853194103204</v>
      </c>
      <c r="L113" s="7">
        <f t="shared" si="24"/>
        <v>-0.10575746622665214</v>
      </c>
      <c r="M113" s="7">
        <f t="shared" si="25"/>
        <v>0.11913853194103204</v>
      </c>
      <c r="N113" s="7">
        <f t="shared" si="26"/>
        <v>3.5779478934066544</v>
      </c>
      <c r="O113" s="9">
        <f t="shared" ref="O113:O144" si="35">SUMPRODUCT((1-$E$113:$E$166)*$D$113:$D$166)/(G113-SUM($E$113:$E$166))</f>
        <v>38.590384615384629</v>
      </c>
      <c r="P113" s="7">
        <f t="shared" si="27"/>
        <v>-6.9628171213561268E-2</v>
      </c>
    </row>
    <row r="114" spans="1:16" x14ac:dyDescent="0.25">
      <c r="A114" t="s">
        <v>87</v>
      </c>
      <c r="B114">
        <v>2019</v>
      </c>
      <c r="C114" s="5" t="str">
        <f>'1_Du_lieu'!C132</f>
        <v>ĐNB</v>
      </c>
      <c r="D114" s="8">
        <f>'1_Du_lieu'!E132</f>
        <v>47.8</v>
      </c>
      <c r="E114" s="5">
        <f t="shared" si="20"/>
        <v>0</v>
      </c>
      <c r="F114" s="9">
        <f t="shared" si="32"/>
        <v>40.329629629629643</v>
      </c>
      <c r="G114" s="5">
        <f t="shared" si="33"/>
        <v>54</v>
      </c>
      <c r="H114" s="8">
        <f t="shared" si="34"/>
        <v>46</v>
      </c>
      <c r="I114" s="8">
        <f t="shared" si="21"/>
        <v>2198.7999999999997</v>
      </c>
      <c r="J114" s="7">
        <f t="shared" si="22"/>
        <v>1.1852328037469</v>
      </c>
      <c r="K114" s="7">
        <f t="shared" si="23"/>
        <v>0.16993921414972363</v>
      </c>
      <c r="L114" s="7">
        <f t="shared" si="24"/>
        <v>0.20141753125322179</v>
      </c>
      <c r="M114" s="7">
        <f t="shared" si="25"/>
        <v>-0.16993921414972371</v>
      </c>
      <c r="N114" s="7">
        <f t="shared" si="26"/>
        <v>3.8670256394974101</v>
      </c>
      <c r="O114" s="9">
        <f t="shared" si="35"/>
        <v>38.590384615384629</v>
      </c>
      <c r="P114" s="7">
        <f t="shared" si="27"/>
        <v>0.26509907771714225</v>
      </c>
    </row>
    <row r="115" spans="1:16" x14ac:dyDescent="0.25">
      <c r="A115" t="s">
        <v>89</v>
      </c>
      <c r="B115">
        <v>2019</v>
      </c>
      <c r="C115" s="5" t="str">
        <f>'1_Du_lieu'!C133</f>
        <v>ĐNB</v>
      </c>
      <c r="D115" s="8">
        <f>'1_Du_lieu'!E133</f>
        <v>54</v>
      </c>
      <c r="E115" s="5">
        <f t="shared" si="20"/>
        <v>0</v>
      </c>
      <c r="F115" s="9">
        <f t="shared" si="32"/>
        <v>40.329629629629643</v>
      </c>
      <c r="G115" s="5">
        <f t="shared" si="33"/>
        <v>54</v>
      </c>
      <c r="H115" s="8">
        <f t="shared" si="34"/>
        <v>50</v>
      </c>
      <c r="I115" s="8">
        <f t="shared" si="21"/>
        <v>2700</v>
      </c>
      <c r="J115" s="7">
        <f t="shared" si="22"/>
        <v>1.3389659289190923</v>
      </c>
      <c r="K115" s="7">
        <f t="shared" si="23"/>
        <v>0.29189762121658791</v>
      </c>
      <c r="L115" s="7">
        <f t="shared" si="24"/>
        <v>0.39084096954154196</v>
      </c>
      <c r="M115" s="7">
        <f t="shared" si="25"/>
        <v>-0.2918976212165878</v>
      </c>
      <c r="N115" s="7">
        <f t="shared" si="26"/>
        <v>3.9889840465642745</v>
      </c>
      <c r="O115" s="9">
        <f t="shared" si="35"/>
        <v>38.590384615384629</v>
      </c>
      <c r="P115" s="7">
        <f t="shared" si="27"/>
        <v>0.47014221329738759</v>
      </c>
    </row>
    <row r="116" spans="1:16" x14ac:dyDescent="0.25">
      <c r="A116" t="s">
        <v>90</v>
      </c>
      <c r="B116">
        <v>2019</v>
      </c>
      <c r="C116" s="5" t="str">
        <f>'1_Du_lieu'!C134</f>
        <v>ĐNB</v>
      </c>
      <c r="D116" s="8">
        <f>'1_Du_lieu'!E134</f>
        <v>29.3</v>
      </c>
      <c r="E116" s="5">
        <f t="shared" si="20"/>
        <v>0</v>
      </c>
      <c r="F116" s="9">
        <f t="shared" si="32"/>
        <v>40.329629629629643</v>
      </c>
      <c r="G116" s="5">
        <f t="shared" si="33"/>
        <v>54</v>
      </c>
      <c r="H116" s="8">
        <f t="shared" si="34"/>
        <v>4</v>
      </c>
      <c r="I116" s="8">
        <f t="shared" si="21"/>
        <v>117.2</v>
      </c>
      <c r="J116" s="7">
        <f t="shared" si="22"/>
        <v>0.72651299476535935</v>
      </c>
      <c r="K116" s="7">
        <f t="shared" si="23"/>
        <v>-0.31949890932466485</v>
      </c>
      <c r="L116" s="7">
        <f t="shared" si="24"/>
        <v>-0.23212010943772826</v>
      </c>
      <c r="M116" s="7">
        <f t="shared" si="25"/>
        <v>0.31949890932466485</v>
      </c>
      <c r="N116" s="7">
        <f t="shared" si="26"/>
        <v>3.3775875160230218</v>
      </c>
      <c r="O116" s="9">
        <f t="shared" si="35"/>
        <v>38.590384615384629</v>
      </c>
      <c r="P116" s="7">
        <f t="shared" si="27"/>
        <v>-0.20911110183887596</v>
      </c>
    </row>
    <row r="117" spans="1:16" x14ac:dyDescent="0.25">
      <c r="A117" t="s">
        <v>91</v>
      </c>
      <c r="B117">
        <v>2019</v>
      </c>
      <c r="C117" s="5" t="str">
        <f>'1_Du_lieu'!C135</f>
        <v>BTB&amp;DHMT</v>
      </c>
      <c r="D117" s="8">
        <f>'1_Du_lieu'!E135</f>
        <v>36.4</v>
      </c>
      <c r="E117" s="5">
        <f t="shared" si="20"/>
        <v>0</v>
      </c>
      <c r="F117" s="9">
        <f t="shared" si="32"/>
        <v>40.329629629629643</v>
      </c>
      <c r="G117" s="5">
        <f t="shared" si="33"/>
        <v>54</v>
      </c>
      <c r="H117" s="8">
        <f t="shared" si="34"/>
        <v>23</v>
      </c>
      <c r="I117" s="8">
        <f t="shared" si="21"/>
        <v>837.19999999999993</v>
      </c>
      <c r="J117" s="7">
        <f t="shared" si="22"/>
        <v>0.90256221875286957</v>
      </c>
      <c r="K117" s="7">
        <f t="shared" si="23"/>
        <v>-0.10251765070499155</v>
      </c>
      <c r="L117" s="7">
        <f t="shared" si="24"/>
        <v>-9.2528558281628856E-2</v>
      </c>
      <c r="M117" s="7">
        <f t="shared" si="25"/>
        <v>0.10251765070499161</v>
      </c>
      <c r="N117" s="7">
        <f t="shared" si="26"/>
        <v>3.5945687746426951</v>
      </c>
      <c r="O117" s="9">
        <f t="shared" si="35"/>
        <v>38.590384615384629</v>
      </c>
      <c r="P117" s="7">
        <f t="shared" si="27"/>
        <v>-5.5117641368103362E-2</v>
      </c>
    </row>
    <row r="118" spans="1:16" x14ac:dyDescent="0.25">
      <c r="A118" t="s">
        <v>93</v>
      </c>
      <c r="B118">
        <v>2019</v>
      </c>
      <c r="C118" s="5" t="str">
        <f>'1_Du_lieu'!C136</f>
        <v>BTB&amp;DHMT</v>
      </c>
      <c r="D118" s="8">
        <f>'1_Du_lieu'!E136</f>
        <v>41.7</v>
      </c>
      <c r="E118" s="5">
        <f t="shared" si="20"/>
        <v>0</v>
      </c>
      <c r="F118" s="9">
        <f t="shared" si="32"/>
        <v>40.329629629629643</v>
      </c>
      <c r="G118" s="5">
        <f t="shared" si="33"/>
        <v>54</v>
      </c>
      <c r="H118" s="8">
        <f t="shared" si="34"/>
        <v>39</v>
      </c>
      <c r="I118" s="8">
        <f t="shared" si="21"/>
        <v>1626.3000000000002</v>
      </c>
      <c r="J118" s="7">
        <f t="shared" si="22"/>
        <v>1.0339792451097436</v>
      </c>
      <c r="K118" s="7">
        <f t="shared" si="23"/>
        <v>3.3414703457069393E-2</v>
      </c>
      <c r="L118" s="7">
        <f t="shared" si="24"/>
        <v>3.4550109856106549E-2</v>
      </c>
      <c r="M118" s="7">
        <f t="shared" si="25"/>
        <v>-3.3414703457069317E-2</v>
      </c>
      <c r="N118" s="7">
        <f t="shared" si="26"/>
        <v>3.730501128804756</v>
      </c>
      <c r="O118" s="9">
        <f t="shared" si="35"/>
        <v>38.590384615384629</v>
      </c>
      <c r="P118" s="7">
        <f t="shared" si="27"/>
        <v>8.374277875606842E-2</v>
      </c>
    </row>
    <row r="119" spans="1:16" x14ac:dyDescent="0.25">
      <c r="A119" t="s">
        <v>95</v>
      </c>
      <c r="B119">
        <v>2019</v>
      </c>
      <c r="C119" s="5" t="str">
        <f>'1_Du_lieu'!C138</f>
        <v>TDMNPB</v>
      </c>
      <c r="D119" s="8">
        <f>'1_Du_lieu'!E138</f>
        <v>43.1</v>
      </c>
      <c r="E119" s="5">
        <f t="shared" si="20"/>
        <v>0</v>
      </c>
      <c r="F119" s="9">
        <f t="shared" si="32"/>
        <v>40.329629629629643</v>
      </c>
      <c r="G119" s="5">
        <f t="shared" si="33"/>
        <v>54</v>
      </c>
      <c r="H119" s="8">
        <f t="shared" si="34"/>
        <v>42</v>
      </c>
      <c r="I119" s="8">
        <f t="shared" si="21"/>
        <v>1810.2</v>
      </c>
      <c r="J119" s="7">
        <f t="shared" si="22"/>
        <v>1.0686931766002385</v>
      </c>
      <c r="K119" s="7">
        <f t="shared" si="23"/>
        <v>6.64365717620157E-2</v>
      </c>
      <c r="L119" s="7">
        <f t="shared" si="24"/>
        <v>7.1000310918778273E-2</v>
      </c>
      <c r="M119" s="7">
        <f t="shared" si="25"/>
        <v>-6.6436571762015603E-2</v>
      </c>
      <c r="N119" s="7">
        <f t="shared" si="26"/>
        <v>3.763522997109702</v>
      </c>
      <c r="O119" s="9">
        <f t="shared" si="35"/>
        <v>38.590384615384629</v>
      </c>
      <c r="P119" s="7">
        <f t="shared" si="27"/>
        <v>0.12343504200870588</v>
      </c>
    </row>
    <row r="120" spans="1:16" x14ac:dyDescent="0.25">
      <c r="A120" t="s">
        <v>97</v>
      </c>
      <c r="B120">
        <v>2019</v>
      </c>
      <c r="C120" s="5" t="str">
        <f>'1_Du_lieu'!C139</f>
        <v>TDMNPB</v>
      </c>
      <c r="D120" s="8">
        <f>'1_Du_lieu'!E139</f>
        <v>27.4</v>
      </c>
      <c r="E120" s="5">
        <f t="shared" si="20"/>
        <v>0</v>
      </c>
      <c r="F120" s="9">
        <f t="shared" si="32"/>
        <v>40.329629629629643</v>
      </c>
      <c r="G120" s="5">
        <f t="shared" si="33"/>
        <v>54</v>
      </c>
      <c r="H120" s="8">
        <f t="shared" si="34"/>
        <v>1</v>
      </c>
      <c r="I120" s="8">
        <f t="shared" si="21"/>
        <v>27.4</v>
      </c>
      <c r="J120" s="7">
        <f t="shared" si="22"/>
        <v>0.67940123059968749</v>
      </c>
      <c r="K120" s="7">
        <f t="shared" si="23"/>
        <v>-0.38654341195366204</v>
      </c>
      <c r="L120" s="7">
        <f t="shared" si="24"/>
        <v>-0.26261806976151997</v>
      </c>
      <c r="M120" s="7">
        <f t="shared" si="25"/>
        <v>0.3865434119536621</v>
      </c>
      <c r="N120" s="7">
        <f t="shared" si="26"/>
        <v>3.3105430133940246</v>
      </c>
      <c r="O120" s="9">
        <f t="shared" si="35"/>
        <v>38.590384615384629</v>
      </c>
      <c r="P120" s="7">
        <f t="shared" si="27"/>
        <v>-0.24315402976951744</v>
      </c>
    </row>
    <row r="121" spans="1:16" x14ac:dyDescent="0.25">
      <c r="A121" t="s">
        <v>98</v>
      </c>
      <c r="B121">
        <v>2019</v>
      </c>
      <c r="C121" s="5" t="str">
        <f>'1_Du_lieu'!C140</f>
        <v>ĐBSH</v>
      </c>
      <c r="D121" s="8">
        <f>'1_Du_lieu'!E140</f>
        <v>52.2</v>
      </c>
      <c r="E121" s="5">
        <f t="shared" si="20"/>
        <v>0</v>
      </c>
      <c r="F121" s="9">
        <f t="shared" si="32"/>
        <v>40.329629629629643</v>
      </c>
      <c r="G121" s="5">
        <f t="shared" si="33"/>
        <v>54</v>
      </c>
      <c r="H121" s="8">
        <f t="shared" si="34"/>
        <v>49</v>
      </c>
      <c r="I121" s="8">
        <f t="shared" si="21"/>
        <v>2557.8000000000002</v>
      </c>
      <c r="J121" s="7">
        <f t="shared" si="22"/>
        <v>1.294333731288456</v>
      </c>
      <c r="K121" s="7">
        <f t="shared" si="23"/>
        <v>0.25799606954090665</v>
      </c>
      <c r="L121" s="7">
        <f t="shared" si="24"/>
        <v>0.33393301534663766</v>
      </c>
      <c r="M121" s="7">
        <f t="shared" si="25"/>
        <v>-0.25799606954090659</v>
      </c>
      <c r="N121" s="7">
        <f t="shared" si="26"/>
        <v>3.9550824948885932</v>
      </c>
      <c r="O121" s="9">
        <f t="shared" si="35"/>
        <v>38.590384615384629</v>
      </c>
      <c r="P121" s="7">
        <f t="shared" si="27"/>
        <v>0.40861324308961788</v>
      </c>
    </row>
    <row r="122" spans="1:16" x14ac:dyDescent="0.25">
      <c r="A122" t="s">
        <v>100</v>
      </c>
      <c r="B122">
        <v>2019</v>
      </c>
      <c r="C122" s="5" t="str">
        <f>'1_Du_lieu'!C141</f>
        <v>ĐBSCL</v>
      </c>
      <c r="D122" s="8">
        <f>'1_Du_lieu'!E141</f>
        <v>37.6</v>
      </c>
      <c r="E122" s="5">
        <f t="shared" si="20"/>
        <v>0</v>
      </c>
      <c r="F122" s="9">
        <f t="shared" si="32"/>
        <v>40.329629629629643</v>
      </c>
      <c r="G122" s="5">
        <f t="shared" si="33"/>
        <v>54</v>
      </c>
      <c r="H122" s="8">
        <f t="shared" si="34"/>
        <v>27</v>
      </c>
      <c r="I122" s="8">
        <f t="shared" si="21"/>
        <v>1015.2</v>
      </c>
      <c r="J122" s="7">
        <f t="shared" si="22"/>
        <v>0.93231701717329385</v>
      </c>
      <c r="K122" s="7">
        <f t="shared" si="23"/>
        <v>-7.0082374951837695E-2</v>
      </c>
      <c r="L122" s="7">
        <f t="shared" si="24"/>
        <v>-6.5338990771517683E-2</v>
      </c>
      <c r="M122" s="7">
        <f t="shared" si="25"/>
        <v>7.0082374951837764E-2</v>
      </c>
      <c r="N122" s="7">
        <f t="shared" si="26"/>
        <v>3.6270040503958487</v>
      </c>
      <c r="O122" s="9">
        <f t="shared" si="35"/>
        <v>38.590384615384629</v>
      </c>
      <c r="P122" s="7">
        <f t="shared" si="27"/>
        <v>-2.533185045949644E-2</v>
      </c>
    </row>
    <row r="123" spans="1:16" x14ac:dyDescent="0.25">
      <c r="A123" t="s">
        <v>103</v>
      </c>
      <c r="B123">
        <v>2019</v>
      </c>
      <c r="C123" s="5" t="str">
        <f>'1_Du_lieu'!C144</f>
        <v>ĐBSCL</v>
      </c>
      <c r="D123" s="8">
        <f>'1_Du_lieu'!E144</f>
        <v>47.3</v>
      </c>
      <c r="E123" s="5">
        <f t="shared" si="20"/>
        <v>0</v>
      </c>
      <c r="F123" s="9">
        <f t="shared" si="32"/>
        <v>40.329629629629643</v>
      </c>
      <c r="G123" s="5">
        <f t="shared" si="33"/>
        <v>54</v>
      </c>
      <c r="H123" s="8">
        <f t="shared" si="34"/>
        <v>45</v>
      </c>
      <c r="I123" s="8">
        <f t="shared" si="21"/>
        <v>2128.5</v>
      </c>
      <c r="J123" s="7">
        <f t="shared" si="22"/>
        <v>1.1728349710717232</v>
      </c>
      <c r="K123" s="7">
        <f t="shared" si="23"/>
        <v>0.1594238701502006</v>
      </c>
      <c r="L123" s="7">
        <f t="shared" si="24"/>
        <v>0.18697789013575267</v>
      </c>
      <c r="M123" s="7">
        <f t="shared" si="25"/>
        <v>-0.15942387015020065</v>
      </c>
      <c r="N123" s="7">
        <f t="shared" si="26"/>
        <v>3.8565102954978872</v>
      </c>
      <c r="O123" s="9">
        <f t="shared" si="35"/>
        <v>38.590384615384629</v>
      </c>
      <c r="P123" s="7">
        <f t="shared" si="27"/>
        <v>0.24943748154896933</v>
      </c>
    </row>
    <row r="124" spans="1:16" x14ac:dyDescent="0.25">
      <c r="A124" t="s">
        <v>104</v>
      </c>
      <c r="B124">
        <v>2019</v>
      </c>
      <c r="C124" s="5" t="str">
        <f>'1_Du_lieu'!C145</f>
        <v>TN</v>
      </c>
      <c r="D124" s="8">
        <f>'1_Du_lieu'!E145</f>
        <v>31.8</v>
      </c>
      <c r="E124" s="5">
        <f t="shared" si="20"/>
        <v>0</v>
      </c>
      <c r="F124" s="9">
        <f t="shared" si="32"/>
        <v>40.329629629629643</v>
      </c>
      <c r="G124" s="5">
        <f t="shared" si="33"/>
        <v>54</v>
      </c>
      <c r="H124" s="8">
        <f t="shared" si="34"/>
        <v>10.5</v>
      </c>
      <c r="I124" s="8">
        <f t="shared" si="21"/>
        <v>333.90000000000003</v>
      </c>
      <c r="J124" s="7">
        <f t="shared" si="22"/>
        <v>0.78850215814124325</v>
      </c>
      <c r="K124" s="7">
        <f t="shared" si="23"/>
        <v>-0.23762013556155531</v>
      </c>
      <c r="L124" s="7">
        <f t="shared" si="24"/>
        <v>-0.18736398970810114</v>
      </c>
      <c r="M124" s="7">
        <f t="shared" si="25"/>
        <v>0.23762013556155542</v>
      </c>
      <c r="N124" s="7">
        <f t="shared" si="26"/>
        <v>3.459466289786131</v>
      </c>
      <c r="O124" s="9">
        <f t="shared" si="35"/>
        <v>38.590384615384629</v>
      </c>
      <c r="P124" s="7">
        <f t="shared" si="27"/>
        <v>-0.15948200486860892</v>
      </c>
    </row>
    <row r="125" spans="1:16" x14ac:dyDescent="0.25">
      <c r="A125" t="s">
        <v>107</v>
      </c>
      <c r="B125">
        <v>2019</v>
      </c>
      <c r="C125" s="5" t="str">
        <f>'1_Du_lieu'!C147</f>
        <v>ĐBSH</v>
      </c>
      <c r="D125" s="8">
        <f>'1_Du_lieu'!E147</f>
        <v>38.299999999999997</v>
      </c>
      <c r="E125" s="5">
        <f t="shared" si="20"/>
        <v>0</v>
      </c>
      <c r="F125" s="9">
        <f t="shared" si="32"/>
        <v>40.329629629629643</v>
      </c>
      <c r="G125" s="5">
        <f t="shared" si="33"/>
        <v>54</v>
      </c>
      <c r="H125" s="8">
        <f t="shared" si="34"/>
        <v>29</v>
      </c>
      <c r="I125" s="8">
        <f t="shared" si="21"/>
        <v>1110.6999999999998</v>
      </c>
      <c r="J125" s="7">
        <f t="shared" si="22"/>
        <v>0.94967398291854122</v>
      </c>
      <c r="K125" s="7">
        <f t="shared" si="23"/>
        <v>-5.1636529161086346E-2</v>
      </c>
      <c r="L125" s="7">
        <f t="shared" si="24"/>
        <v>-4.9037868312498269E-2</v>
      </c>
      <c r="M125" s="7">
        <f t="shared" si="25"/>
        <v>5.1636529161086325E-2</v>
      </c>
      <c r="N125" s="7">
        <f t="shared" si="26"/>
        <v>3.6454498961866002</v>
      </c>
      <c r="O125" s="9">
        <f t="shared" si="35"/>
        <v>38.590384615384629</v>
      </c>
      <c r="P125" s="7">
        <f t="shared" si="27"/>
        <v>-7.4964094195865624E-3</v>
      </c>
    </row>
    <row r="126" spans="1:16" x14ac:dyDescent="0.25">
      <c r="A126" t="s">
        <v>108</v>
      </c>
      <c r="B126">
        <v>2019</v>
      </c>
      <c r="C126" s="5" t="str">
        <f>'1_Du_lieu'!C148</f>
        <v>ĐBSH</v>
      </c>
      <c r="D126" s="8">
        <f>'1_Du_lieu'!E148</f>
        <v>84.3</v>
      </c>
      <c r="E126" s="5">
        <f t="shared" si="20"/>
        <v>1</v>
      </c>
      <c r="F126" s="9">
        <f t="shared" si="32"/>
        <v>40.329629629629643</v>
      </c>
      <c r="G126" s="5">
        <f t="shared" si="33"/>
        <v>54</v>
      </c>
      <c r="H126" s="8">
        <f t="shared" si="34"/>
        <v>53</v>
      </c>
      <c r="I126" s="8">
        <f t="shared" si="21"/>
        <v>4467.8999999999996</v>
      </c>
      <c r="J126" s="7">
        <f t="shared" si="22"/>
        <v>2.0902745890348049</v>
      </c>
      <c r="K126" s="7">
        <f t="shared" si="23"/>
        <v>0.73729543966012312</v>
      </c>
      <c r="L126" s="7">
        <f t="shared" si="24"/>
        <v>1.5411499221327996</v>
      </c>
      <c r="M126" s="7">
        <f t="shared" si="25"/>
        <v>-0.73729543966012323</v>
      </c>
      <c r="N126" s="7">
        <f t="shared" si="26"/>
        <v>4.4343818650078095</v>
      </c>
      <c r="O126" s="9">
        <f t="shared" si="35"/>
        <v>38.590384615384629</v>
      </c>
      <c r="P126" s="7">
        <f t="shared" si="27"/>
        <v>0</v>
      </c>
    </row>
    <row r="127" spans="1:16" x14ac:dyDescent="0.25">
      <c r="A127" t="s">
        <v>109</v>
      </c>
      <c r="B127">
        <v>2019</v>
      </c>
      <c r="C127" s="5" t="str">
        <f>'1_Du_lieu'!C149</f>
        <v>BTB&amp;DHMT</v>
      </c>
      <c r="D127" s="8">
        <f>'1_Du_lieu'!E149</f>
        <v>35.6</v>
      </c>
      <c r="E127" s="5">
        <f t="shared" si="20"/>
        <v>0</v>
      </c>
      <c r="F127" s="9">
        <f t="shared" si="32"/>
        <v>40.329629629629643</v>
      </c>
      <c r="G127" s="5">
        <f t="shared" si="33"/>
        <v>54</v>
      </c>
      <c r="H127" s="8">
        <f t="shared" si="34"/>
        <v>20</v>
      </c>
      <c r="I127" s="8">
        <f t="shared" si="21"/>
        <v>712</v>
      </c>
      <c r="J127" s="7">
        <f t="shared" si="22"/>
        <v>0.88272568647258676</v>
      </c>
      <c r="K127" s="7">
        <f t="shared" si="23"/>
        <v>-0.12474078748970172</v>
      </c>
      <c r="L127" s="7">
        <f t="shared" si="24"/>
        <v>-0.11011189726797802</v>
      </c>
      <c r="M127" s="7">
        <f t="shared" si="25"/>
        <v>0.12474078748970173</v>
      </c>
      <c r="N127" s="7">
        <f t="shared" si="26"/>
        <v>3.572345637857985</v>
      </c>
      <c r="O127" s="9">
        <f t="shared" si="35"/>
        <v>38.590384615384629</v>
      </c>
      <c r="P127" s="7">
        <f t="shared" si="27"/>
        <v>-7.4407321502160256E-2</v>
      </c>
    </row>
    <row r="128" spans="1:16" x14ac:dyDescent="0.25">
      <c r="A128" t="s">
        <v>110</v>
      </c>
      <c r="B128">
        <v>2019</v>
      </c>
      <c r="C128" s="5" t="str">
        <f>'1_Du_lieu'!C150</f>
        <v>TDMNPB</v>
      </c>
      <c r="D128" s="8">
        <f>'1_Du_lieu'!E150</f>
        <v>32.799999999999997</v>
      </c>
      <c r="E128" s="5">
        <f t="shared" si="20"/>
        <v>0</v>
      </c>
      <c r="F128" s="9">
        <f t="shared" si="32"/>
        <v>40.329629629629643</v>
      </c>
      <c r="G128" s="5">
        <f t="shared" si="33"/>
        <v>54</v>
      </c>
      <c r="H128" s="8">
        <f t="shared" si="34"/>
        <v>14</v>
      </c>
      <c r="I128" s="8">
        <f t="shared" si="21"/>
        <v>459.19999999999993</v>
      </c>
      <c r="J128" s="7">
        <f t="shared" si="22"/>
        <v>0.81329782349159663</v>
      </c>
      <c r="K128" s="7">
        <f t="shared" si="23"/>
        <v>-0.20665790995758865</v>
      </c>
      <c r="L128" s="7">
        <f t="shared" si="24"/>
        <v>-0.1680744283758292</v>
      </c>
      <c r="M128" s="7">
        <f t="shared" si="25"/>
        <v>0.20665790995758862</v>
      </c>
      <c r="N128" s="7">
        <f t="shared" si="26"/>
        <v>3.4904285153900978</v>
      </c>
      <c r="O128" s="9">
        <f t="shared" si="35"/>
        <v>38.590384615384629</v>
      </c>
      <c r="P128" s="7">
        <f t="shared" si="27"/>
        <v>-0.13818073628634434</v>
      </c>
    </row>
    <row r="129" spans="1:16" x14ac:dyDescent="0.25">
      <c r="A129" t="s">
        <v>111</v>
      </c>
      <c r="B129">
        <v>2019</v>
      </c>
      <c r="C129" s="5" t="str">
        <f>'1_Du_lieu'!C151</f>
        <v>ĐBSH</v>
      </c>
      <c r="D129" s="8">
        <f>'1_Du_lieu'!E151</f>
        <v>38.4</v>
      </c>
      <c r="E129" s="5">
        <f t="shared" si="20"/>
        <v>0</v>
      </c>
      <c r="F129" s="9">
        <f t="shared" si="32"/>
        <v>40.329629629629643</v>
      </c>
      <c r="G129" s="5">
        <f t="shared" si="33"/>
        <v>54</v>
      </c>
      <c r="H129" s="8">
        <f t="shared" si="34"/>
        <v>30.5</v>
      </c>
      <c r="I129" s="8">
        <f t="shared" si="21"/>
        <v>1171.2</v>
      </c>
      <c r="J129" s="7">
        <f t="shared" si="22"/>
        <v>0.95215354945357666</v>
      </c>
      <c r="K129" s="7">
        <f t="shared" si="23"/>
        <v>-4.902896575400538E-2</v>
      </c>
      <c r="L129" s="7">
        <f t="shared" si="24"/>
        <v>-4.6683103768714075E-2</v>
      </c>
      <c r="M129" s="7">
        <f t="shared" si="25"/>
        <v>4.902896575400547E-2</v>
      </c>
      <c r="N129" s="7">
        <f t="shared" si="26"/>
        <v>3.648057459593681</v>
      </c>
      <c r="O129" s="9">
        <f t="shared" si="35"/>
        <v>38.590384615384629</v>
      </c>
      <c r="P129" s="7">
        <f t="shared" si="27"/>
        <v>-4.9212832263677937E-3</v>
      </c>
    </row>
    <row r="130" spans="1:16" x14ac:dyDescent="0.25">
      <c r="A130" t="s">
        <v>112</v>
      </c>
      <c r="B130">
        <v>2019</v>
      </c>
      <c r="C130" s="5" t="str">
        <f>'1_Du_lieu'!C152</f>
        <v>ĐBSH</v>
      </c>
      <c r="D130" s="8">
        <f>'1_Du_lieu'!E152</f>
        <v>46.6</v>
      </c>
      <c r="E130" s="5">
        <f t="shared" si="20"/>
        <v>0</v>
      </c>
      <c r="F130" s="9">
        <f t="shared" si="32"/>
        <v>40.329629629629643</v>
      </c>
      <c r="G130" s="5">
        <f t="shared" si="33"/>
        <v>54</v>
      </c>
      <c r="H130" s="8">
        <f t="shared" si="34"/>
        <v>44</v>
      </c>
      <c r="I130" s="8">
        <f t="shared" si="21"/>
        <v>2050.4</v>
      </c>
      <c r="J130" s="7">
        <f t="shared" si="22"/>
        <v>1.1554780053264759</v>
      </c>
      <c r="K130" s="7">
        <f t="shared" si="23"/>
        <v>0.14451411578391371</v>
      </c>
      <c r="L130" s="7">
        <f t="shared" si="24"/>
        <v>0.16698288224751601</v>
      </c>
      <c r="M130" s="7">
        <f t="shared" si="25"/>
        <v>-0.14451411578391371</v>
      </c>
      <c r="N130" s="7">
        <f t="shared" si="26"/>
        <v>3.8416005411316001</v>
      </c>
      <c r="O130" s="9">
        <f t="shared" si="35"/>
        <v>38.590384615384629</v>
      </c>
      <c r="P130" s="7">
        <f t="shared" si="27"/>
        <v>0.22774167392449754</v>
      </c>
    </row>
    <row r="131" spans="1:16" x14ac:dyDescent="0.25">
      <c r="A131" t="s">
        <v>113</v>
      </c>
      <c r="B131">
        <v>2019</v>
      </c>
      <c r="C131" s="5" t="str">
        <f>'1_Du_lieu'!C153</f>
        <v>ĐBSH</v>
      </c>
      <c r="D131" s="8">
        <f>'1_Du_lieu'!E153</f>
        <v>59.6</v>
      </c>
      <c r="E131" s="5">
        <f t="shared" si="20"/>
        <v>0</v>
      </c>
      <c r="F131" s="9">
        <f t="shared" si="32"/>
        <v>40.329629629629643</v>
      </c>
      <c r="G131" s="5">
        <f t="shared" si="33"/>
        <v>54</v>
      </c>
      <c r="H131" s="8">
        <f t="shared" si="34"/>
        <v>52</v>
      </c>
      <c r="I131" s="8">
        <f t="shared" si="21"/>
        <v>3099.2000000000003</v>
      </c>
      <c r="J131" s="7">
        <f t="shared" si="22"/>
        <v>1.4778216548810721</v>
      </c>
      <c r="K131" s="7">
        <f t="shared" si="23"/>
        <v>0.39056914872361753</v>
      </c>
      <c r="L131" s="7">
        <f t="shared" si="24"/>
        <v>0.57719154571222797</v>
      </c>
      <c r="M131" s="7">
        <f t="shared" si="25"/>
        <v>-0.39056914872361759</v>
      </c>
      <c r="N131" s="7">
        <f t="shared" si="26"/>
        <v>4.0876555740713041</v>
      </c>
      <c r="O131" s="9">
        <f t="shared" si="35"/>
        <v>38.590384615384629</v>
      </c>
      <c r="P131" s="7">
        <f t="shared" si="27"/>
        <v>0.67128859162870103</v>
      </c>
    </row>
    <row r="132" spans="1:16" x14ac:dyDescent="0.25">
      <c r="A132" t="s">
        <v>115</v>
      </c>
      <c r="B132">
        <v>2019</v>
      </c>
      <c r="C132" s="5" t="str">
        <f>'1_Du_lieu'!C155</f>
        <v>BTB&amp;DHMT</v>
      </c>
      <c r="D132" s="8">
        <f>'1_Du_lieu'!E155</f>
        <v>42.7</v>
      </c>
      <c r="E132" s="5">
        <f t="shared" si="20"/>
        <v>0</v>
      </c>
      <c r="F132" s="9">
        <f t="shared" si="32"/>
        <v>40.329629629629643</v>
      </c>
      <c r="G132" s="5">
        <f t="shared" si="33"/>
        <v>54</v>
      </c>
      <c r="H132" s="8">
        <f t="shared" si="34"/>
        <v>41</v>
      </c>
      <c r="I132" s="8">
        <f t="shared" si="21"/>
        <v>1750.7</v>
      </c>
      <c r="J132" s="7">
        <f t="shared" si="22"/>
        <v>1.058774910460097</v>
      </c>
      <c r="K132" s="7">
        <f t="shared" si="23"/>
        <v>5.7112494886892323E-2</v>
      </c>
      <c r="L132" s="7">
        <f t="shared" si="24"/>
        <v>6.0469276660022164E-2</v>
      </c>
      <c r="M132" s="7">
        <f t="shared" si="25"/>
        <v>-5.7112494886892358E-2</v>
      </c>
      <c r="N132" s="7">
        <f t="shared" si="26"/>
        <v>3.7541989202345789</v>
      </c>
      <c r="O132" s="9">
        <f t="shared" si="35"/>
        <v>38.590384615384629</v>
      </c>
      <c r="P132" s="7">
        <f t="shared" si="27"/>
        <v>0.1119724450707404</v>
      </c>
    </row>
    <row r="133" spans="1:16" x14ac:dyDescent="0.25">
      <c r="A133" t="s">
        <v>116</v>
      </c>
      <c r="B133">
        <v>2019</v>
      </c>
      <c r="C133" s="5" t="str">
        <f>'1_Du_lieu'!C156</f>
        <v>ĐBSCL</v>
      </c>
      <c r="D133" s="8">
        <f>'1_Du_lieu'!E156</f>
        <v>37.4</v>
      </c>
      <c r="E133" s="5">
        <f t="shared" ref="E133:E196" si="36">IF(OR(A133="Hà Nội",A133="TP. Hồ Chí Minh"),1,0)</f>
        <v>0</v>
      </c>
      <c r="F133" s="9">
        <f t="shared" si="32"/>
        <v>40.329629629629643</v>
      </c>
      <c r="G133" s="5">
        <f t="shared" si="33"/>
        <v>54</v>
      </c>
      <c r="H133" s="8">
        <f t="shared" si="34"/>
        <v>26</v>
      </c>
      <c r="I133" s="8">
        <f t="shared" ref="I133:I196" si="37">H133*D133</f>
        <v>972.4</v>
      </c>
      <c r="J133" s="7">
        <f t="shared" ref="J133:J196" si="38">D133/F133</f>
        <v>0.92735788410322306</v>
      </c>
      <c r="K133" s="7">
        <f t="shared" ref="K133:K196" si="39">LN(J133)</f>
        <v>-7.541572092720035E-2</v>
      </c>
      <c r="L133" s="7">
        <f t="shared" ref="L133:L196" si="40">J133*K133</f>
        <v>-6.9937363387167675E-2</v>
      </c>
      <c r="M133" s="7">
        <f t="shared" ref="M133:M196" si="41">LN(F133/D133)</f>
        <v>7.5415720927200419E-2</v>
      </c>
      <c r="N133" s="7">
        <f t="shared" ref="N133:N196" si="42">LN(D133)</f>
        <v>3.6216707044204863</v>
      </c>
      <c r="O133" s="9">
        <f t="shared" si="35"/>
        <v>38.590384615384629</v>
      </c>
      <c r="P133" s="7">
        <f t="shared" ref="P133:P196" si="43">(1-E133)*(D133/O133)*LN(D133/O133)</f>
        <v>-3.0365936619862907E-2</v>
      </c>
    </row>
    <row r="134" spans="1:16" x14ac:dyDescent="0.25">
      <c r="A134" t="s">
        <v>117</v>
      </c>
      <c r="B134">
        <v>2019</v>
      </c>
      <c r="C134" s="5" t="str">
        <f>'1_Du_lieu'!C157</f>
        <v>TN</v>
      </c>
      <c r="D134" s="8">
        <f>'1_Du_lieu'!E157</f>
        <v>30.6</v>
      </c>
      <c r="E134" s="5">
        <f t="shared" si="36"/>
        <v>0</v>
      </c>
      <c r="F134" s="9">
        <f t="shared" si="32"/>
        <v>40.329629629629643</v>
      </c>
      <c r="G134" s="5">
        <f t="shared" si="33"/>
        <v>54</v>
      </c>
      <c r="H134" s="8">
        <f t="shared" si="34"/>
        <v>5</v>
      </c>
      <c r="I134" s="8">
        <f t="shared" si="37"/>
        <v>153</v>
      </c>
      <c r="J134" s="7">
        <f t="shared" si="38"/>
        <v>0.75874735972081897</v>
      </c>
      <c r="K134" s="7">
        <f t="shared" si="39"/>
        <v>-0.27608641638935139</v>
      </c>
      <c r="L134" s="7">
        <f t="shared" si="40"/>
        <v>-0.20947983949020302</v>
      </c>
      <c r="M134" s="7">
        <f t="shared" si="41"/>
        <v>0.27608641638935133</v>
      </c>
      <c r="N134" s="7">
        <f t="shared" si="42"/>
        <v>3.4210000089583352</v>
      </c>
      <c r="O134" s="9">
        <f t="shared" si="35"/>
        <v>38.590384615384629</v>
      </c>
      <c r="P134" s="7">
        <f t="shared" si="43"/>
        <v>-0.18396540869672193</v>
      </c>
    </row>
    <row r="135" spans="1:16" x14ac:dyDescent="0.25">
      <c r="A135" t="s">
        <v>119</v>
      </c>
      <c r="B135">
        <v>2019</v>
      </c>
      <c r="C135" s="5" t="str">
        <f>'1_Du_lieu'!C159</f>
        <v>ĐBSCL</v>
      </c>
      <c r="D135" s="8">
        <f>'1_Du_lieu'!E159</f>
        <v>36.9</v>
      </c>
      <c r="E135" s="5">
        <f t="shared" si="36"/>
        <v>0</v>
      </c>
      <c r="F135" s="9">
        <f t="shared" si="32"/>
        <v>40.329629629629643</v>
      </c>
      <c r="G135" s="5">
        <f t="shared" si="33"/>
        <v>54</v>
      </c>
      <c r="H135" s="8">
        <f t="shared" si="34"/>
        <v>25</v>
      </c>
      <c r="I135" s="8">
        <f t="shared" si="37"/>
        <v>922.5</v>
      </c>
      <c r="J135" s="7">
        <f t="shared" si="38"/>
        <v>0.91496005142804626</v>
      </c>
      <c r="K135" s="7">
        <f t="shared" si="39"/>
        <v>-8.8874874301205123E-2</v>
      </c>
      <c r="L135" s="7">
        <f t="shared" si="40"/>
        <v>-8.1316959561291785E-2</v>
      </c>
      <c r="M135" s="7">
        <f t="shared" si="41"/>
        <v>8.8874874301205165E-2</v>
      </c>
      <c r="N135" s="7">
        <f t="shared" si="42"/>
        <v>3.6082115510464816</v>
      </c>
      <c r="O135" s="9">
        <f t="shared" si="35"/>
        <v>38.590384615384629</v>
      </c>
      <c r="P135" s="7">
        <f t="shared" si="43"/>
        <v>-4.2829573492083765E-2</v>
      </c>
    </row>
    <row r="136" spans="1:16" x14ac:dyDescent="0.25">
      <c r="A136" t="s">
        <v>120</v>
      </c>
      <c r="B136">
        <v>2019</v>
      </c>
      <c r="C136" s="5" t="str">
        <f>'1_Du_lieu'!C160</f>
        <v>TDMNPB</v>
      </c>
      <c r="D136" s="8">
        <f>'1_Du_lieu'!E160</f>
        <v>35.5</v>
      </c>
      <c r="E136" s="5">
        <f t="shared" si="36"/>
        <v>0</v>
      </c>
      <c r="F136" s="9">
        <f t="shared" si="32"/>
        <v>40.329629629629643</v>
      </c>
      <c r="G136" s="5">
        <f t="shared" si="33"/>
        <v>54</v>
      </c>
      <c r="H136" s="8">
        <f t="shared" si="34"/>
        <v>18</v>
      </c>
      <c r="I136" s="8">
        <f t="shared" si="37"/>
        <v>639</v>
      </c>
      <c r="J136" s="7">
        <f t="shared" si="38"/>
        <v>0.88024611993755131</v>
      </c>
      <c r="K136" s="7">
        <f t="shared" si="39"/>
        <v>-0.1275537288663165</v>
      </c>
      <c r="L136" s="7">
        <f t="shared" si="40"/>
        <v>-0.11227867491814153</v>
      </c>
      <c r="M136" s="7">
        <f t="shared" si="41"/>
        <v>0.1275537288663165</v>
      </c>
      <c r="N136" s="7">
        <f t="shared" si="42"/>
        <v>3.5695326964813701</v>
      </c>
      <c r="O136" s="9">
        <f t="shared" si="35"/>
        <v>38.590384615384629</v>
      </c>
      <c r="P136" s="7">
        <f t="shared" si="43"/>
        <v>-7.678598834752573E-2</v>
      </c>
    </row>
    <row r="137" spans="1:16" x14ac:dyDescent="0.25">
      <c r="A137" t="s">
        <v>121</v>
      </c>
      <c r="B137">
        <v>2019</v>
      </c>
      <c r="C137" s="5" t="str">
        <f>'1_Du_lieu'!C161</f>
        <v>TN</v>
      </c>
      <c r="D137" s="8">
        <f>'1_Du_lieu'!E161</f>
        <v>40.4</v>
      </c>
      <c r="E137" s="5">
        <f t="shared" si="36"/>
        <v>0</v>
      </c>
      <c r="F137" s="9">
        <f t="shared" si="32"/>
        <v>40.329629629629643</v>
      </c>
      <c r="G137" s="5">
        <f t="shared" si="33"/>
        <v>54</v>
      </c>
      <c r="H137" s="8">
        <f t="shared" si="34"/>
        <v>36</v>
      </c>
      <c r="I137" s="8">
        <f t="shared" si="37"/>
        <v>1454.3999999999999</v>
      </c>
      <c r="J137" s="7">
        <f t="shared" si="38"/>
        <v>1.0017448801542839</v>
      </c>
      <c r="K137" s="7">
        <f t="shared" si="39"/>
        <v>1.743359619417917E-3</v>
      </c>
      <c r="L137" s="7">
        <f t="shared" si="40"/>
        <v>1.7464015730196192E-3</v>
      </c>
      <c r="M137" s="7">
        <f t="shared" si="41"/>
        <v>-1.7433596194177991E-3</v>
      </c>
      <c r="N137" s="7">
        <f t="shared" si="42"/>
        <v>3.6988297849671046</v>
      </c>
      <c r="O137" s="9">
        <f t="shared" si="35"/>
        <v>38.590384615384629</v>
      </c>
      <c r="P137" s="7">
        <f t="shared" si="43"/>
        <v>4.7975587333397893E-2</v>
      </c>
    </row>
    <row r="138" spans="1:16" x14ac:dyDescent="0.25">
      <c r="A138" t="s">
        <v>122</v>
      </c>
      <c r="B138">
        <v>2019</v>
      </c>
      <c r="C138" s="5" t="str">
        <f>'1_Du_lieu'!C162</f>
        <v>TDMNPB</v>
      </c>
      <c r="D138" s="8">
        <f>'1_Du_lieu'!E162</f>
        <v>28.8</v>
      </c>
      <c r="E138" s="5">
        <f t="shared" si="36"/>
        <v>0</v>
      </c>
      <c r="F138" s="9">
        <f t="shared" si="32"/>
        <v>40.329629629629643</v>
      </c>
      <c r="G138" s="5">
        <f t="shared" si="33"/>
        <v>54</v>
      </c>
      <c r="H138" s="8">
        <f t="shared" si="34"/>
        <v>2</v>
      </c>
      <c r="I138" s="8">
        <f t="shared" si="37"/>
        <v>57.6</v>
      </c>
      <c r="J138" s="7">
        <f t="shared" si="38"/>
        <v>0.71411516209018255</v>
      </c>
      <c r="K138" s="7">
        <f t="shared" si="39"/>
        <v>-0.33671103820578624</v>
      </c>
      <c r="L138" s="7">
        <f t="shared" si="40"/>
        <v>-0.24045045762587869</v>
      </c>
      <c r="M138" s="7">
        <f t="shared" si="41"/>
        <v>0.33671103820578635</v>
      </c>
      <c r="N138" s="7">
        <f t="shared" si="42"/>
        <v>3.3603753871419002</v>
      </c>
      <c r="O138" s="9">
        <f t="shared" si="35"/>
        <v>38.590384615384629</v>
      </c>
      <c r="P138" s="7">
        <f t="shared" si="43"/>
        <v>-0.21838806298477659</v>
      </c>
    </row>
    <row r="139" spans="1:16" x14ac:dyDescent="0.25">
      <c r="A139" t="s">
        <v>123</v>
      </c>
      <c r="B139">
        <v>2019</v>
      </c>
      <c r="C139" s="5" t="str">
        <f>'1_Du_lieu'!C163</f>
        <v>ĐBSH</v>
      </c>
      <c r="D139" s="8">
        <f>'1_Du_lieu'!E163</f>
        <v>40</v>
      </c>
      <c r="E139" s="5">
        <f t="shared" si="36"/>
        <v>0</v>
      </c>
      <c r="F139" s="9">
        <f t="shared" si="32"/>
        <v>40.329629629629643</v>
      </c>
      <c r="G139" s="5">
        <f t="shared" si="33"/>
        <v>54</v>
      </c>
      <c r="H139" s="8">
        <f t="shared" si="34"/>
        <v>35</v>
      </c>
      <c r="I139" s="8">
        <f t="shared" si="37"/>
        <v>1400</v>
      </c>
      <c r="J139" s="7">
        <f t="shared" si="38"/>
        <v>0.9918266140141424</v>
      </c>
      <c r="K139" s="7">
        <f t="shared" si="39"/>
        <v>-8.2069712337502054E-3</v>
      </c>
      <c r="L139" s="7">
        <f t="shared" si="40"/>
        <v>-8.1398924900819344E-3</v>
      </c>
      <c r="M139" s="7">
        <f t="shared" si="41"/>
        <v>8.2069712337501446E-3</v>
      </c>
      <c r="N139" s="7">
        <f t="shared" si="42"/>
        <v>3.6888794541139363</v>
      </c>
      <c r="O139" s="9">
        <f t="shared" si="35"/>
        <v>38.590384615384629</v>
      </c>
      <c r="P139" s="7">
        <f t="shared" si="43"/>
        <v>3.7186788637072699E-2</v>
      </c>
    </row>
    <row r="140" spans="1:16" x14ac:dyDescent="0.25">
      <c r="A140" t="s">
        <v>124</v>
      </c>
      <c r="B140">
        <v>2019</v>
      </c>
      <c r="C140" s="5" t="str">
        <f>'1_Du_lieu'!C164</f>
        <v>BTB&amp;DHMT</v>
      </c>
      <c r="D140" s="8">
        <f>'1_Du_lieu'!E164</f>
        <v>42.4</v>
      </c>
      <c r="E140" s="5">
        <f t="shared" si="36"/>
        <v>0</v>
      </c>
      <c r="F140" s="9">
        <f t="shared" si="32"/>
        <v>40.329629629629643</v>
      </c>
      <c r="G140" s="5">
        <f t="shared" si="33"/>
        <v>54</v>
      </c>
      <c r="H140" s="8">
        <f t="shared" si="34"/>
        <v>40</v>
      </c>
      <c r="I140" s="8">
        <f t="shared" si="37"/>
        <v>1696</v>
      </c>
      <c r="J140" s="7">
        <f t="shared" si="38"/>
        <v>1.0513362108549908</v>
      </c>
      <c r="K140" s="7">
        <f t="shared" si="39"/>
        <v>5.0061936890225478E-2</v>
      </c>
      <c r="L140" s="7">
        <f t="shared" si="40"/>
        <v>5.2631927038231337E-2</v>
      </c>
      <c r="M140" s="7">
        <f t="shared" si="41"/>
        <v>-5.0061936890225499E-2</v>
      </c>
      <c r="N140" s="7">
        <f t="shared" si="42"/>
        <v>3.7471483622379123</v>
      </c>
      <c r="O140" s="9">
        <f t="shared" si="35"/>
        <v>38.590384615384629</v>
      </c>
      <c r="P140" s="7">
        <f t="shared" si="43"/>
        <v>0.10343916934032803</v>
      </c>
    </row>
    <row r="141" spans="1:16" x14ac:dyDescent="0.25">
      <c r="A141" t="s">
        <v>125</v>
      </c>
      <c r="B141">
        <v>2019</v>
      </c>
      <c r="C141" s="5" t="str">
        <f>'1_Du_lieu'!C165</f>
        <v>ĐBSH</v>
      </c>
      <c r="D141" s="8">
        <f>'1_Du_lieu'!E165</f>
        <v>41.2</v>
      </c>
      <c r="E141" s="5">
        <f t="shared" si="36"/>
        <v>0</v>
      </c>
      <c r="F141" s="9">
        <f t="shared" si="32"/>
        <v>40.329629629629643</v>
      </c>
      <c r="G141" s="5">
        <f t="shared" si="33"/>
        <v>54</v>
      </c>
      <c r="H141" s="8">
        <f t="shared" si="34"/>
        <v>38</v>
      </c>
      <c r="I141" s="8">
        <f t="shared" si="37"/>
        <v>1565.6000000000001</v>
      </c>
      <c r="J141" s="7">
        <f t="shared" si="38"/>
        <v>1.0215814124345668</v>
      </c>
      <c r="K141" s="7">
        <f t="shared" si="39"/>
        <v>2.1351831007794312E-2</v>
      </c>
      <c r="L141" s="7">
        <f t="shared" si="40"/>
        <v>2.1812633679006693E-2</v>
      </c>
      <c r="M141" s="7">
        <f t="shared" si="41"/>
        <v>-2.1351831007794256E-2</v>
      </c>
      <c r="N141" s="7">
        <f t="shared" si="42"/>
        <v>3.7184382563554808</v>
      </c>
      <c r="O141" s="9">
        <f t="shared" si="35"/>
        <v>38.590384615384629</v>
      </c>
      <c r="P141" s="7">
        <f t="shared" si="43"/>
        <v>6.9860063060267527E-2</v>
      </c>
    </row>
    <row r="142" spans="1:16" x14ac:dyDescent="0.25">
      <c r="A142" t="s">
        <v>126</v>
      </c>
      <c r="B142">
        <v>2019</v>
      </c>
      <c r="C142" s="5" t="str">
        <f>'1_Du_lieu'!C166</f>
        <v>BTB&amp;DHMT</v>
      </c>
      <c r="D142" s="8">
        <f>'1_Du_lieu'!E166</f>
        <v>33.4</v>
      </c>
      <c r="E142" s="5">
        <f t="shared" si="36"/>
        <v>0</v>
      </c>
      <c r="F142" s="9">
        <f t="shared" si="32"/>
        <v>40.329629629629643</v>
      </c>
      <c r="G142" s="5">
        <f t="shared" si="33"/>
        <v>54</v>
      </c>
      <c r="H142" s="8">
        <f t="shared" si="34"/>
        <v>15</v>
      </c>
      <c r="I142" s="8">
        <f t="shared" si="37"/>
        <v>501</v>
      </c>
      <c r="J142" s="7">
        <f t="shared" si="38"/>
        <v>0.82817522270180888</v>
      </c>
      <c r="K142" s="7">
        <f t="shared" si="39"/>
        <v>-0.18853052536503181</v>
      </c>
      <c r="L142" s="7">
        <f t="shared" si="40"/>
        <v>-0.15613630983027424</v>
      </c>
      <c r="M142" s="7">
        <f t="shared" si="41"/>
        <v>0.18853052536503181</v>
      </c>
      <c r="N142" s="7">
        <f t="shared" si="42"/>
        <v>3.5085558999826545</v>
      </c>
      <c r="O142" s="9">
        <f t="shared" si="35"/>
        <v>38.590384615384629</v>
      </c>
      <c r="P142" s="7">
        <f t="shared" si="43"/>
        <v>-0.1250191709285236</v>
      </c>
    </row>
    <row r="143" spans="1:16" x14ac:dyDescent="0.25">
      <c r="A143" t="s">
        <v>127</v>
      </c>
      <c r="B143">
        <v>2019</v>
      </c>
      <c r="C143" s="5" t="str">
        <f>'1_Du_lieu'!C167</f>
        <v>TDMNPB</v>
      </c>
      <c r="D143" s="8">
        <f>'1_Du_lieu'!E167</f>
        <v>38.799999999999997</v>
      </c>
      <c r="E143" s="5">
        <f t="shared" si="36"/>
        <v>0</v>
      </c>
      <c r="F143" s="9">
        <f t="shared" si="32"/>
        <v>40.329629629629643</v>
      </c>
      <c r="G143" s="5">
        <f t="shared" si="33"/>
        <v>54</v>
      </c>
      <c r="H143" s="8">
        <f t="shared" si="34"/>
        <v>33</v>
      </c>
      <c r="I143" s="8">
        <f t="shared" si="37"/>
        <v>1280.3999999999999</v>
      </c>
      <c r="J143" s="7">
        <f t="shared" si="38"/>
        <v>0.96207181559371802</v>
      </c>
      <c r="K143" s="7">
        <f t="shared" si="39"/>
        <v>-3.8666178718458871E-2</v>
      </c>
      <c r="L143" s="7">
        <f t="shared" si="40"/>
        <v>-3.7199640761738907E-2</v>
      </c>
      <c r="M143" s="7">
        <f t="shared" si="41"/>
        <v>3.8666178718458878E-2</v>
      </c>
      <c r="N143" s="7">
        <f t="shared" si="42"/>
        <v>3.6584202466292277</v>
      </c>
      <c r="O143" s="9">
        <f t="shared" si="35"/>
        <v>38.590384615384629</v>
      </c>
      <c r="P143" s="7">
        <f t="shared" si="43"/>
        <v>5.4465290646960127E-3</v>
      </c>
    </row>
    <row r="144" spans="1:16" x14ac:dyDescent="0.25">
      <c r="A144" t="s">
        <v>128</v>
      </c>
      <c r="B144">
        <v>2019</v>
      </c>
      <c r="C144" s="5" t="str">
        <f>'1_Du_lieu'!C168</f>
        <v>BTB&amp;DHMT</v>
      </c>
      <c r="D144" s="8">
        <f>'1_Du_lieu'!E168</f>
        <v>34.9</v>
      </c>
      <c r="E144" s="5">
        <f t="shared" si="36"/>
        <v>0</v>
      </c>
      <c r="F144" s="9">
        <f t="shared" si="32"/>
        <v>40.329629629629643</v>
      </c>
      <c r="G144" s="5">
        <f t="shared" si="33"/>
        <v>54</v>
      </c>
      <c r="H144" s="8">
        <f t="shared" si="34"/>
        <v>16.5</v>
      </c>
      <c r="I144" s="8">
        <f t="shared" si="37"/>
        <v>575.85</v>
      </c>
      <c r="J144" s="7">
        <f t="shared" si="38"/>
        <v>0.86536872072733917</v>
      </c>
      <c r="K144" s="7">
        <f t="shared" si="39"/>
        <v>-0.14459959613930512</v>
      </c>
      <c r="L144" s="7">
        <f t="shared" si="40"/>
        <v>-0.12513196752876035</v>
      </c>
      <c r="M144" s="7">
        <f t="shared" si="41"/>
        <v>0.14459959613930515</v>
      </c>
      <c r="N144" s="7">
        <f t="shared" si="42"/>
        <v>3.5524868292083815</v>
      </c>
      <c r="O144" s="9">
        <f t="shared" si="35"/>
        <v>38.590384615384629</v>
      </c>
      <c r="P144" s="7">
        <f t="shared" si="43"/>
        <v>-9.0903974105363911E-2</v>
      </c>
    </row>
    <row r="145" spans="1:16" x14ac:dyDescent="0.25">
      <c r="A145" t="s">
        <v>129</v>
      </c>
      <c r="B145">
        <v>2019</v>
      </c>
      <c r="C145" s="5" t="str">
        <f>'1_Du_lieu'!C169</f>
        <v>BTB&amp;DHMT</v>
      </c>
      <c r="D145" s="8">
        <f>'1_Du_lieu'!E169</f>
        <v>31.8</v>
      </c>
      <c r="E145" s="5">
        <f t="shared" si="36"/>
        <v>0</v>
      </c>
      <c r="F145" s="9">
        <f t="shared" ref="F145:F166" si="44">AVERAGE($D$113:$D$166)</f>
        <v>40.329629629629643</v>
      </c>
      <c r="G145" s="5">
        <f t="shared" ref="G145:G166" si="45">COUNT($D$113:$D$166)</f>
        <v>54</v>
      </c>
      <c r="H145" s="8">
        <f t="shared" ref="H145:H166" si="46">_xlfn.RANK.AVG(D145,$D$113:$D$166,1)</f>
        <v>10.5</v>
      </c>
      <c r="I145" s="8">
        <f t="shared" si="37"/>
        <v>333.90000000000003</v>
      </c>
      <c r="J145" s="7">
        <f t="shared" si="38"/>
        <v>0.78850215814124325</v>
      </c>
      <c r="K145" s="7">
        <f t="shared" si="39"/>
        <v>-0.23762013556155531</v>
      </c>
      <c r="L145" s="7">
        <f t="shared" si="40"/>
        <v>-0.18736398970810114</v>
      </c>
      <c r="M145" s="7">
        <f t="shared" si="41"/>
        <v>0.23762013556155542</v>
      </c>
      <c r="N145" s="7">
        <f t="shared" si="42"/>
        <v>3.459466289786131</v>
      </c>
      <c r="O145" s="9">
        <f t="shared" ref="O145:O166" si="47">SUMPRODUCT((1-$E$113:$E$166)*$D$113:$D$166)/(G145-SUM($E$113:$E$166))</f>
        <v>38.590384615384629</v>
      </c>
      <c r="P145" s="7">
        <f t="shared" si="43"/>
        <v>-0.15948200486860892</v>
      </c>
    </row>
    <row r="146" spans="1:16" x14ac:dyDescent="0.25">
      <c r="A146" t="s">
        <v>130</v>
      </c>
      <c r="B146">
        <v>2019</v>
      </c>
      <c r="C146" s="5" t="str">
        <f>'1_Du_lieu'!C170</f>
        <v>BTB&amp;DHMT</v>
      </c>
      <c r="D146" s="8">
        <f>'1_Du_lieu'!E170</f>
        <v>39.1</v>
      </c>
      <c r="E146" s="5">
        <f t="shared" si="36"/>
        <v>0</v>
      </c>
      <c r="F146" s="9">
        <f t="shared" si="44"/>
        <v>40.329629629629643</v>
      </c>
      <c r="G146" s="5">
        <f t="shared" si="45"/>
        <v>54</v>
      </c>
      <c r="H146" s="8">
        <f t="shared" si="46"/>
        <v>34</v>
      </c>
      <c r="I146" s="8">
        <f t="shared" si="37"/>
        <v>1329.4</v>
      </c>
      <c r="J146" s="7">
        <f t="shared" si="38"/>
        <v>0.96951051519882425</v>
      </c>
      <c r="K146" s="7">
        <f t="shared" si="39"/>
        <v>-3.0963958356366367E-2</v>
      </c>
      <c r="L146" s="7">
        <f t="shared" si="40"/>
        <v>-3.0019883218675696E-2</v>
      </c>
      <c r="M146" s="7">
        <f t="shared" si="41"/>
        <v>3.0963958356366436E-2</v>
      </c>
      <c r="N146" s="7">
        <f t="shared" si="42"/>
        <v>3.6661224669913199</v>
      </c>
      <c r="O146" s="9">
        <f t="shared" si="47"/>
        <v>38.590384615384629</v>
      </c>
      <c r="P146" s="7">
        <f t="shared" si="43"/>
        <v>1.329257544389059E-2</v>
      </c>
    </row>
    <row r="147" spans="1:16" x14ac:dyDescent="0.25">
      <c r="A147" t="s">
        <v>131</v>
      </c>
      <c r="B147">
        <v>2019</v>
      </c>
      <c r="C147" s="5" t="str">
        <f>'1_Du_lieu'!C171</f>
        <v>BTB&amp;DHMT</v>
      </c>
      <c r="D147" s="8">
        <f>'1_Du_lieu'!E171</f>
        <v>31.7</v>
      </c>
      <c r="E147" s="5">
        <f t="shared" si="36"/>
        <v>0</v>
      </c>
      <c r="F147" s="9">
        <f t="shared" si="44"/>
        <v>40.329629629629643</v>
      </c>
      <c r="G147" s="5">
        <f t="shared" si="45"/>
        <v>54</v>
      </c>
      <c r="H147" s="8">
        <f t="shared" si="46"/>
        <v>9</v>
      </c>
      <c r="I147" s="8">
        <f t="shared" si="37"/>
        <v>285.3</v>
      </c>
      <c r="J147" s="7">
        <f t="shared" si="38"/>
        <v>0.7860225916062078</v>
      </c>
      <c r="K147" s="7">
        <f t="shared" si="39"/>
        <v>-0.24076974446445165</v>
      </c>
      <c r="L147" s="7">
        <f t="shared" si="40"/>
        <v>-0.18925045852431269</v>
      </c>
      <c r="M147" s="7">
        <f t="shared" si="41"/>
        <v>0.24076974446445171</v>
      </c>
      <c r="N147" s="7">
        <f t="shared" si="42"/>
        <v>3.4563166808832348</v>
      </c>
      <c r="O147" s="9">
        <f t="shared" si="47"/>
        <v>38.590384615384629</v>
      </c>
      <c r="P147" s="7">
        <f t="shared" si="43"/>
        <v>-0.16156772953244741</v>
      </c>
    </row>
    <row r="148" spans="1:16" x14ac:dyDescent="0.25">
      <c r="A148" t="s">
        <v>132</v>
      </c>
      <c r="B148">
        <v>2019</v>
      </c>
      <c r="C148" s="5" t="str">
        <f>'1_Du_lieu'!C172</f>
        <v>ĐBSH</v>
      </c>
      <c r="D148" s="8">
        <f>'1_Du_lieu'!E172</f>
        <v>48.2</v>
      </c>
      <c r="E148" s="5">
        <f t="shared" si="36"/>
        <v>0</v>
      </c>
      <c r="F148" s="9">
        <f t="shared" si="44"/>
        <v>40.329629629629643</v>
      </c>
      <c r="G148" s="5">
        <f t="shared" si="45"/>
        <v>54</v>
      </c>
      <c r="H148" s="8">
        <f t="shared" si="46"/>
        <v>47</v>
      </c>
      <c r="I148" s="8">
        <f t="shared" si="37"/>
        <v>2265.4</v>
      </c>
      <c r="J148" s="7">
        <f t="shared" si="38"/>
        <v>1.1951510698870416</v>
      </c>
      <c r="K148" s="7">
        <f t="shared" si="39"/>
        <v>0.17827259570886808</v>
      </c>
      <c r="L148" s="7">
        <f t="shared" si="40"/>
        <v>0.2130626834929937</v>
      </c>
      <c r="M148" s="7">
        <f t="shared" si="41"/>
        <v>-0.17827259570886816</v>
      </c>
      <c r="N148" s="7">
        <f t="shared" si="42"/>
        <v>3.8753590210565547</v>
      </c>
      <c r="O148" s="9">
        <f t="shared" si="47"/>
        <v>38.590384615384629</v>
      </c>
      <c r="P148" s="7">
        <f t="shared" si="43"/>
        <v>0.27772600525159974</v>
      </c>
    </row>
    <row r="149" spans="1:16" x14ac:dyDescent="0.25">
      <c r="A149" t="s">
        <v>133</v>
      </c>
      <c r="B149">
        <v>2019</v>
      </c>
      <c r="C149" s="5" t="str">
        <f>'1_Du_lieu'!C173</f>
        <v>BTB&amp;DHMT</v>
      </c>
      <c r="D149" s="8">
        <f>'1_Du_lieu'!E173</f>
        <v>30.7</v>
      </c>
      <c r="E149" s="5">
        <f t="shared" si="36"/>
        <v>0</v>
      </c>
      <c r="F149" s="9">
        <f t="shared" si="44"/>
        <v>40.329629629629643</v>
      </c>
      <c r="G149" s="5">
        <f t="shared" si="45"/>
        <v>54</v>
      </c>
      <c r="H149" s="8">
        <f t="shared" si="46"/>
        <v>6</v>
      </c>
      <c r="I149" s="8">
        <f t="shared" si="37"/>
        <v>184.2</v>
      </c>
      <c r="J149" s="7">
        <f t="shared" si="38"/>
        <v>0.76122692625585431</v>
      </c>
      <c r="K149" s="7">
        <f t="shared" si="39"/>
        <v>-0.27282377075453501</v>
      </c>
      <c r="L149" s="7">
        <f t="shared" si="40"/>
        <v>-0.20768080042100653</v>
      </c>
      <c r="M149" s="7">
        <f t="shared" si="41"/>
        <v>0.27282377075453507</v>
      </c>
      <c r="N149" s="7">
        <f t="shared" si="42"/>
        <v>3.4242626545931514</v>
      </c>
      <c r="O149" s="9">
        <f t="shared" si="47"/>
        <v>38.590384615384629</v>
      </c>
      <c r="P149" s="7">
        <f t="shared" si="43"/>
        <v>-0.18197105418508255</v>
      </c>
    </row>
    <row r="150" spans="1:16" x14ac:dyDescent="0.25">
      <c r="A150" t="s">
        <v>136</v>
      </c>
      <c r="B150">
        <v>2019</v>
      </c>
      <c r="C150" s="5" t="str">
        <f>'1_Du_lieu'!C176</f>
        <v>ĐNB</v>
      </c>
      <c r="D150" s="8">
        <f>'1_Du_lieu'!E176</f>
        <v>86.8</v>
      </c>
      <c r="E150" s="5">
        <f t="shared" si="36"/>
        <v>1</v>
      </c>
      <c r="F150" s="9">
        <f t="shared" si="44"/>
        <v>40.329629629629643</v>
      </c>
      <c r="G150" s="5">
        <f t="shared" si="45"/>
        <v>54</v>
      </c>
      <c r="H150" s="8">
        <f t="shared" si="46"/>
        <v>54</v>
      </c>
      <c r="I150" s="8">
        <f t="shared" si="37"/>
        <v>4687.2</v>
      </c>
      <c r="J150" s="7">
        <f t="shared" si="38"/>
        <v>2.1522637524106889</v>
      </c>
      <c r="K150" s="7">
        <f t="shared" si="39"/>
        <v>0.7665201963186179</v>
      </c>
      <c r="L150" s="7">
        <f t="shared" si="40"/>
        <v>1.6497536340272865</v>
      </c>
      <c r="M150" s="7">
        <f t="shared" si="41"/>
        <v>-0.7665201963186179</v>
      </c>
      <c r="N150" s="7">
        <f t="shared" si="42"/>
        <v>4.4636066216663046</v>
      </c>
      <c r="O150" s="9">
        <f t="shared" si="47"/>
        <v>38.590384615384629</v>
      </c>
      <c r="P150" s="7">
        <f t="shared" si="43"/>
        <v>0</v>
      </c>
    </row>
    <row r="151" spans="1:16" x14ac:dyDescent="0.25">
      <c r="A151" t="s">
        <v>137</v>
      </c>
      <c r="B151">
        <v>2019</v>
      </c>
      <c r="C151" s="5" t="str">
        <f>'1_Du_lieu'!C177</f>
        <v>BTB&amp;DHMT</v>
      </c>
      <c r="D151" s="8">
        <f>'1_Du_lieu'!E177</f>
        <v>38.4</v>
      </c>
      <c r="E151" s="5">
        <f t="shared" si="36"/>
        <v>0</v>
      </c>
      <c r="F151" s="9">
        <f t="shared" si="44"/>
        <v>40.329629629629643</v>
      </c>
      <c r="G151" s="5">
        <f t="shared" si="45"/>
        <v>54</v>
      </c>
      <c r="H151" s="8">
        <f t="shared" si="46"/>
        <v>30.5</v>
      </c>
      <c r="I151" s="8">
        <f t="shared" si="37"/>
        <v>1171.2</v>
      </c>
      <c r="J151" s="7">
        <f t="shared" si="38"/>
        <v>0.95215354945357666</v>
      </c>
      <c r="K151" s="7">
        <f t="shared" si="39"/>
        <v>-4.902896575400538E-2</v>
      </c>
      <c r="L151" s="7">
        <f t="shared" si="40"/>
        <v>-4.6683103768714075E-2</v>
      </c>
      <c r="M151" s="7">
        <f t="shared" si="41"/>
        <v>4.902896575400547E-2</v>
      </c>
      <c r="N151" s="7">
        <f t="shared" si="42"/>
        <v>3.648057459593681</v>
      </c>
      <c r="O151" s="9">
        <f t="shared" si="47"/>
        <v>38.590384615384629</v>
      </c>
      <c r="P151" s="7">
        <f t="shared" si="43"/>
        <v>-4.9212832263677937E-3</v>
      </c>
    </row>
    <row r="152" spans="1:16" x14ac:dyDescent="0.25">
      <c r="A152" t="s">
        <v>138</v>
      </c>
      <c r="B152">
        <v>2019</v>
      </c>
      <c r="C152" s="5" t="str">
        <f>'1_Du_lieu'!C178</f>
        <v>ĐBSH</v>
      </c>
      <c r="D152" s="8">
        <f>'1_Du_lieu'!E178</f>
        <v>37.799999999999997</v>
      </c>
      <c r="E152" s="5">
        <f t="shared" si="36"/>
        <v>0</v>
      </c>
      <c r="F152" s="9">
        <f t="shared" si="44"/>
        <v>40.329629629629643</v>
      </c>
      <c r="G152" s="5">
        <f t="shared" si="45"/>
        <v>54</v>
      </c>
      <c r="H152" s="8">
        <f t="shared" si="46"/>
        <v>28</v>
      </c>
      <c r="I152" s="8">
        <f t="shared" si="37"/>
        <v>1058.3999999999999</v>
      </c>
      <c r="J152" s="7">
        <f t="shared" si="38"/>
        <v>0.93727615024336453</v>
      </c>
      <c r="K152" s="7">
        <f t="shared" si="39"/>
        <v>-6.4777322722144551E-2</v>
      </c>
      <c r="L152" s="7">
        <f t="shared" si="40"/>
        <v>-6.0714239664083666E-2</v>
      </c>
      <c r="M152" s="7">
        <f t="shared" si="41"/>
        <v>6.4777322722144509E-2</v>
      </c>
      <c r="N152" s="7">
        <f t="shared" si="42"/>
        <v>3.6323091026255421</v>
      </c>
      <c r="O152" s="9">
        <f t="shared" si="47"/>
        <v>38.590384615384629</v>
      </c>
      <c r="P152" s="7">
        <f t="shared" si="43"/>
        <v>-2.0270196944867098E-2</v>
      </c>
    </row>
    <row r="153" spans="1:16" x14ac:dyDescent="0.25">
      <c r="A153" t="s">
        <v>139</v>
      </c>
      <c r="B153">
        <v>2019</v>
      </c>
      <c r="C153" s="5" t="str">
        <f>'1_Du_lieu'!C179</f>
        <v>TDMNPB</v>
      </c>
      <c r="D153" s="8">
        <f>'1_Du_lieu'!E179</f>
        <v>36.5</v>
      </c>
      <c r="E153" s="5">
        <f t="shared" si="36"/>
        <v>0</v>
      </c>
      <c r="F153" s="9">
        <f t="shared" si="44"/>
        <v>40.329629629629643</v>
      </c>
      <c r="G153" s="5">
        <f t="shared" si="45"/>
        <v>54</v>
      </c>
      <c r="H153" s="8">
        <f t="shared" si="46"/>
        <v>24</v>
      </c>
      <c r="I153" s="8">
        <f t="shared" si="37"/>
        <v>876</v>
      </c>
      <c r="J153" s="7">
        <f t="shared" si="38"/>
        <v>0.90504178528790491</v>
      </c>
      <c r="K153" s="7">
        <f t="shared" si="39"/>
        <v>-9.9774164759240724E-2</v>
      </c>
      <c r="L153" s="7">
        <f t="shared" si="40"/>
        <v>-9.0299788199312794E-2</v>
      </c>
      <c r="M153" s="7">
        <f t="shared" si="41"/>
        <v>9.9774164759240752E-2</v>
      </c>
      <c r="N153" s="7">
        <f t="shared" si="42"/>
        <v>3.597312260588446</v>
      </c>
      <c r="O153" s="9">
        <f t="shared" si="47"/>
        <v>38.590384615384629</v>
      </c>
      <c r="P153" s="7">
        <f t="shared" si="43"/>
        <v>-5.2674188129612401E-2</v>
      </c>
    </row>
    <row r="154" spans="1:16" x14ac:dyDescent="0.25">
      <c r="A154" t="s">
        <v>140</v>
      </c>
      <c r="B154">
        <v>2019</v>
      </c>
      <c r="C154" s="5" t="str">
        <f>'1_Du_lieu'!C180</f>
        <v>BTB&amp;DHMT</v>
      </c>
      <c r="D154" s="8">
        <f>'1_Du_lieu'!E180</f>
        <v>40.5</v>
      </c>
      <c r="E154" s="5">
        <f t="shared" si="36"/>
        <v>0</v>
      </c>
      <c r="F154" s="9">
        <f t="shared" si="44"/>
        <v>40.329629629629643</v>
      </c>
      <c r="G154" s="5">
        <f t="shared" si="45"/>
        <v>54</v>
      </c>
      <c r="H154" s="8">
        <f t="shared" si="46"/>
        <v>37</v>
      </c>
      <c r="I154" s="8">
        <f t="shared" si="37"/>
        <v>1498.5</v>
      </c>
      <c r="J154" s="7">
        <f t="shared" si="38"/>
        <v>1.0042244466893191</v>
      </c>
      <c r="K154" s="7">
        <f t="shared" si="39"/>
        <v>4.2155487648068589E-3</v>
      </c>
      <c r="L154" s="7">
        <f t="shared" si="40"/>
        <v>4.2333571258300106E-3</v>
      </c>
      <c r="M154" s="7">
        <f t="shared" si="41"/>
        <v>-4.2155487648068883E-3</v>
      </c>
      <c r="N154" s="7">
        <f t="shared" si="42"/>
        <v>3.7013019741124933</v>
      </c>
      <c r="O154" s="9">
        <f t="shared" si="47"/>
        <v>38.590384615384629</v>
      </c>
      <c r="P154" s="7">
        <f t="shared" si="43"/>
        <v>5.068886230350831E-2</v>
      </c>
    </row>
    <row r="155" spans="1:16" x14ac:dyDescent="0.25">
      <c r="A155" t="s">
        <v>141</v>
      </c>
      <c r="B155">
        <v>2019</v>
      </c>
      <c r="C155" s="5" t="str">
        <f>'1_Du_lieu'!C181</f>
        <v>ĐBSCL</v>
      </c>
      <c r="D155" s="8">
        <f>'1_Du_lieu'!E181</f>
        <v>35.6</v>
      </c>
      <c r="E155" s="5">
        <f t="shared" si="36"/>
        <v>0</v>
      </c>
      <c r="F155" s="9">
        <f t="shared" si="44"/>
        <v>40.329629629629643</v>
      </c>
      <c r="G155" s="5">
        <f t="shared" si="45"/>
        <v>54</v>
      </c>
      <c r="H155" s="8">
        <f t="shared" si="46"/>
        <v>20</v>
      </c>
      <c r="I155" s="8">
        <f t="shared" si="37"/>
        <v>712</v>
      </c>
      <c r="J155" s="7">
        <f t="shared" si="38"/>
        <v>0.88272568647258676</v>
      </c>
      <c r="K155" s="7">
        <f t="shared" si="39"/>
        <v>-0.12474078748970172</v>
      </c>
      <c r="L155" s="7">
        <f t="shared" si="40"/>
        <v>-0.11011189726797802</v>
      </c>
      <c r="M155" s="7">
        <f t="shared" si="41"/>
        <v>0.12474078748970173</v>
      </c>
      <c r="N155" s="7">
        <f t="shared" si="42"/>
        <v>3.572345637857985</v>
      </c>
      <c r="O155" s="9">
        <f t="shared" si="47"/>
        <v>38.590384615384629</v>
      </c>
      <c r="P155" s="7">
        <f t="shared" si="43"/>
        <v>-7.4407321502160256E-2</v>
      </c>
    </row>
    <row r="156" spans="1:16" x14ac:dyDescent="0.25">
      <c r="A156" t="s">
        <v>142</v>
      </c>
      <c r="B156">
        <v>2019</v>
      </c>
      <c r="C156" s="5" t="str">
        <f>'1_Du_lieu'!C182</f>
        <v>ĐBSCL</v>
      </c>
      <c r="D156" s="8">
        <f>'1_Du_lieu'!E182</f>
        <v>30.9</v>
      </c>
      <c r="E156" s="5">
        <f t="shared" si="36"/>
        <v>0</v>
      </c>
      <c r="F156" s="9">
        <f t="shared" si="44"/>
        <v>40.329629629629643</v>
      </c>
      <c r="G156" s="5">
        <f t="shared" si="45"/>
        <v>54</v>
      </c>
      <c r="H156" s="8">
        <f t="shared" si="46"/>
        <v>7</v>
      </c>
      <c r="I156" s="8">
        <f t="shared" si="37"/>
        <v>216.29999999999998</v>
      </c>
      <c r="J156" s="7">
        <f t="shared" si="38"/>
        <v>0.76618605932592498</v>
      </c>
      <c r="K156" s="7">
        <f t="shared" si="39"/>
        <v>-0.26633024144398676</v>
      </c>
      <c r="L156" s="7">
        <f t="shared" si="40"/>
        <v>-0.20405851817129037</v>
      </c>
      <c r="M156" s="7">
        <f t="shared" si="41"/>
        <v>0.2663302414439867</v>
      </c>
      <c r="N156" s="7">
        <f t="shared" si="42"/>
        <v>3.4307561839036995</v>
      </c>
      <c r="O156" s="9">
        <f t="shared" si="47"/>
        <v>38.590384615384629</v>
      </c>
      <c r="P156" s="7">
        <f t="shared" si="43"/>
        <v>-0.17795705018599808</v>
      </c>
    </row>
    <row r="157" spans="1:16" x14ac:dyDescent="0.25">
      <c r="A157" t="s">
        <v>143</v>
      </c>
      <c r="B157">
        <v>2019</v>
      </c>
      <c r="C157" s="5" t="str">
        <f>'1_Du_lieu'!C183</f>
        <v>TDMNPB</v>
      </c>
      <c r="D157" s="8">
        <f>'1_Du_lieu'!E183</f>
        <v>28.9</v>
      </c>
      <c r="E157" s="5">
        <f t="shared" si="36"/>
        <v>0</v>
      </c>
      <c r="F157" s="9">
        <f t="shared" si="44"/>
        <v>40.329629629629643</v>
      </c>
      <c r="G157" s="5">
        <f t="shared" si="45"/>
        <v>54</v>
      </c>
      <c r="H157" s="8">
        <f t="shared" si="46"/>
        <v>3</v>
      </c>
      <c r="I157" s="8">
        <f t="shared" si="37"/>
        <v>86.699999999999989</v>
      </c>
      <c r="J157" s="7">
        <f t="shared" si="38"/>
        <v>0.71659472862521778</v>
      </c>
      <c r="K157" s="7">
        <f t="shared" si="39"/>
        <v>-0.33324483022930018</v>
      </c>
      <c r="L157" s="7">
        <f t="shared" si="40"/>
        <v>-0.23880148868392215</v>
      </c>
      <c r="M157" s="7">
        <f t="shared" si="41"/>
        <v>0.33324483022930007</v>
      </c>
      <c r="N157" s="7">
        <f t="shared" si="42"/>
        <v>3.3638415951183864</v>
      </c>
      <c r="O157" s="9">
        <f t="shared" si="47"/>
        <v>38.590384615384629</v>
      </c>
      <c r="P157" s="7">
        <f t="shared" si="43"/>
        <v>-0.21655054216915695</v>
      </c>
    </row>
    <row r="158" spans="1:16" x14ac:dyDescent="0.25">
      <c r="A158" t="s">
        <v>144</v>
      </c>
      <c r="B158">
        <v>2019</v>
      </c>
      <c r="C158" s="5" t="str">
        <f>'1_Du_lieu'!C184</f>
        <v>ĐNB</v>
      </c>
      <c r="D158" s="8">
        <f>'1_Du_lieu'!E184</f>
        <v>38.700000000000003</v>
      </c>
      <c r="E158" s="5">
        <f t="shared" si="36"/>
        <v>0</v>
      </c>
      <c r="F158" s="9">
        <f t="shared" si="44"/>
        <v>40.329629629629643</v>
      </c>
      <c r="G158" s="5">
        <f t="shared" si="45"/>
        <v>54</v>
      </c>
      <c r="H158" s="8">
        <f t="shared" si="46"/>
        <v>32</v>
      </c>
      <c r="I158" s="8">
        <f t="shared" si="37"/>
        <v>1238.4000000000001</v>
      </c>
      <c r="J158" s="7">
        <f t="shared" si="38"/>
        <v>0.95959224905868279</v>
      </c>
      <c r="K158" s="7">
        <f t="shared" si="39"/>
        <v>-4.1246825311950369E-2</v>
      </c>
      <c r="L158" s="7">
        <f t="shared" si="40"/>
        <v>-3.9580133867625059E-2</v>
      </c>
      <c r="M158" s="7">
        <f t="shared" si="41"/>
        <v>4.1246825311950439E-2</v>
      </c>
      <c r="N158" s="7">
        <f t="shared" si="42"/>
        <v>3.655839600035736</v>
      </c>
      <c r="O158" s="9">
        <f t="shared" si="47"/>
        <v>38.590384615384629</v>
      </c>
      <c r="P158" s="7">
        <f t="shared" si="43"/>
        <v>2.844514738829261E-3</v>
      </c>
    </row>
    <row r="159" spans="1:16" x14ac:dyDescent="0.25">
      <c r="A159" t="s">
        <v>145</v>
      </c>
      <c r="B159">
        <v>2019</v>
      </c>
      <c r="C159" s="5" t="str">
        <f>'1_Du_lieu'!C185</f>
        <v>ĐBSCL</v>
      </c>
      <c r="D159" s="8">
        <f>'1_Du_lieu'!E185</f>
        <v>31.4</v>
      </c>
      <c r="E159" s="5">
        <f t="shared" si="36"/>
        <v>0</v>
      </c>
      <c r="F159" s="9">
        <f t="shared" si="44"/>
        <v>40.329629629629643</v>
      </c>
      <c r="G159" s="5">
        <f t="shared" si="45"/>
        <v>54</v>
      </c>
      <c r="H159" s="8">
        <f t="shared" si="46"/>
        <v>8</v>
      </c>
      <c r="I159" s="8">
        <f t="shared" si="37"/>
        <v>251.2</v>
      </c>
      <c r="J159" s="7">
        <f t="shared" si="38"/>
        <v>0.77858389200110178</v>
      </c>
      <c r="K159" s="7">
        <f t="shared" si="39"/>
        <v>-0.25027853243347881</v>
      </c>
      <c r="L159" s="7">
        <f t="shared" si="40"/>
        <v>-0.19486283386638192</v>
      </c>
      <c r="M159" s="7">
        <f t="shared" si="41"/>
        <v>0.25027853243347886</v>
      </c>
      <c r="N159" s="7">
        <f t="shared" si="42"/>
        <v>3.4468078929142076</v>
      </c>
      <c r="O159" s="9">
        <f t="shared" si="47"/>
        <v>38.590384615384629</v>
      </c>
      <c r="P159" s="7">
        <f t="shared" si="43"/>
        <v>-0.16777575275421142</v>
      </c>
    </row>
    <row r="160" spans="1:16" x14ac:dyDescent="0.25">
      <c r="A160" t="s">
        <v>146</v>
      </c>
      <c r="B160">
        <v>2019</v>
      </c>
      <c r="C160" s="5" t="str">
        <f>'1_Du_lieu'!C186</f>
        <v>ĐBSH</v>
      </c>
      <c r="D160" s="8">
        <f>'1_Du_lieu'!E186</f>
        <v>43.5</v>
      </c>
      <c r="E160" s="5">
        <f t="shared" si="36"/>
        <v>0</v>
      </c>
      <c r="F160" s="9">
        <f t="shared" si="44"/>
        <v>40.329629629629643</v>
      </c>
      <c r="G160" s="5">
        <f t="shared" si="45"/>
        <v>54</v>
      </c>
      <c r="H160" s="8">
        <f t="shared" si="46"/>
        <v>43</v>
      </c>
      <c r="I160" s="8">
        <f t="shared" si="37"/>
        <v>1870.5</v>
      </c>
      <c r="J160" s="7">
        <f t="shared" si="38"/>
        <v>1.0786114427403799</v>
      </c>
      <c r="K160" s="7">
        <f t="shared" si="39"/>
        <v>7.567451274695193E-2</v>
      </c>
      <c r="L160" s="7">
        <f t="shared" si="40"/>
        <v>8.1623395372665095E-2</v>
      </c>
      <c r="M160" s="7">
        <f t="shared" si="41"/>
        <v>-7.5674512746951819E-2</v>
      </c>
      <c r="N160" s="7">
        <f t="shared" si="42"/>
        <v>3.7727609380946383</v>
      </c>
      <c r="O160" s="9">
        <f t="shared" si="47"/>
        <v>38.590384615384629</v>
      </c>
      <c r="P160" s="7">
        <f t="shared" si="43"/>
        <v>0.13499383778775514</v>
      </c>
    </row>
    <row r="161" spans="1:16" x14ac:dyDescent="0.25">
      <c r="A161" t="s">
        <v>147</v>
      </c>
      <c r="B161">
        <v>2019</v>
      </c>
      <c r="C161" s="5" t="str">
        <f>'1_Du_lieu'!C187</f>
        <v>TDMNPB</v>
      </c>
      <c r="D161" s="8">
        <f>'1_Du_lieu'!E187</f>
        <v>32.700000000000003</v>
      </c>
      <c r="E161" s="5">
        <f t="shared" si="36"/>
        <v>0</v>
      </c>
      <c r="F161" s="9">
        <f t="shared" si="44"/>
        <v>40.329629629629643</v>
      </c>
      <c r="G161" s="5">
        <f t="shared" si="45"/>
        <v>54</v>
      </c>
      <c r="H161" s="8">
        <f t="shared" si="46"/>
        <v>13</v>
      </c>
      <c r="I161" s="8">
        <f t="shared" si="37"/>
        <v>425.1</v>
      </c>
      <c r="J161" s="7">
        <f t="shared" si="38"/>
        <v>0.81081825695656151</v>
      </c>
      <c r="K161" s="7">
        <f t="shared" si="39"/>
        <v>-0.20971134744447867</v>
      </c>
      <c r="L161" s="7">
        <f t="shared" si="40"/>
        <v>-0.17003778919894405</v>
      </c>
      <c r="M161" s="7">
        <f t="shared" si="41"/>
        <v>0.20971134744447878</v>
      </c>
      <c r="N161" s="7">
        <f t="shared" si="42"/>
        <v>3.487375077903208</v>
      </c>
      <c r="O161" s="9">
        <f t="shared" si="47"/>
        <v>38.590384615384629</v>
      </c>
      <c r="P161" s="7">
        <f t="shared" si="43"/>
        <v>-0.14034681843277338</v>
      </c>
    </row>
    <row r="162" spans="1:16" x14ac:dyDescent="0.25">
      <c r="A162" t="s">
        <v>149</v>
      </c>
      <c r="B162">
        <v>2019</v>
      </c>
      <c r="C162" s="5" t="str">
        <f>'1_Du_lieu'!C189</f>
        <v>BTB&amp;DHMT</v>
      </c>
      <c r="D162" s="8">
        <f>'1_Du_lieu'!E189</f>
        <v>57.5</v>
      </c>
      <c r="E162" s="5">
        <f t="shared" si="36"/>
        <v>0</v>
      </c>
      <c r="F162" s="9">
        <f t="shared" si="44"/>
        <v>40.329629629629643</v>
      </c>
      <c r="G162" s="5">
        <f t="shared" si="45"/>
        <v>54</v>
      </c>
      <c r="H162" s="8">
        <f t="shared" si="46"/>
        <v>51</v>
      </c>
      <c r="I162" s="8">
        <f t="shared" si="37"/>
        <v>2932.5</v>
      </c>
      <c r="J162" s="7">
        <f t="shared" si="38"/>
        <v>1.4257507576453297</v>
      </c>
      <c r="K162" s="7">
        <f t="shared" si="39"/>
        <v>0.35469852245561823</v>
      </c>
      <c r="L162" s="7">
        <f t="shared" si="40"/>
        <v>0.50571168712677661</v>
      </c>
      <c r="M162" s="7">
        <f t="shared" si="41"/>
        <v>-0.35469852245561817</v>
      </c>
      <c r="N162" s="7">
        <f t="shared" si="42"/>
        <v>4.0517849478033048</v>
      </c>
      <c r="O162" s="9">
        <f t="shared" si="47"/>
        <v>38.590384615384629</v>
      </c>
      <c r="P162" s="7">
        <f t="shared" si="43"/>
        <v>0.59418826866041585</v>
      </c>
    </row>
    <row r="163" spans="1:16" x14ac:dyDescent="0.25">
      <c r="A163" t="s">
        <v>150</v>
      </c>
      <c r="B163">
        <v>2019</v>
      </c>
      <c r="C163" s="5" t="str">
        <f>'1_Du_lieu'!C190</f>
        <v>TN</v>
      </c>
      <c r="D163" s="8">
        <f>'1_Du_lieu'!E190</f>
        <v>35.6</v>
      </c>
      <c r="E163" s="5">
        <f t="shared" si="36"/>
        <v>0</v>
      </c>
      <c r="F163" s="9">
        <f t="shared" si="44"/>
        <v>40.329629629629643</v>
      </c>
      <c r="G163" s="5">
        <f t="shared" si="45"/>
        <v>54</v>
      </c>
      <c r="H163" s="8">
        <f t="shared" si="46"/>
        <v>20</v>
      </c>
      <c r="I163" s="8">
        <f t="shared" si="37"/>
        <v>712</v>
      </c>
      <c r="J163" s="7">
        <f t="shared" si="38"/>
        <v>0.88272568647258676</v>
      </c>
      <c r="K163" s="7">
        <f t="shared" si="39"/>
        <v>-0.12474078748970172</v>
      </c>
      <c r="L163" s="7">
        <f t="shared" si="40"/>
        <v>-0.11011189726797802</v>
      </c>
      <c r="M163" s="7">
        <f t="shared" si="41"/>
        <v>0.12474078748970173</v>
      </c>
      <c r="N163" s="7">
        <f t="shared" si="42"/>
        <v>3.572345637857985</v>
      </c>
      <c r="O163" s="9">
        <f t="shared" si="47"/>
        <v>38.590384615384629</v>
      </c>
      <c r="P163" s="7">
        <f t="shared" si="43"/>
        <v>-7.4407321502160256E-2</v>
      </c>
    </row>
    <row r="164" spans="1:16" x14ac:dyDescent="0.25">
      <c r="A164" t="s">
        <v>151</v>
      </c>
      <c r="B164">
        <v>2019</v>
      </c>
      <c r="C164" s="5" t="str">
        <f>'1_Du_lieu'!C191</f>
        <v>TN</v>
      </c>
      <c r="D164" s="8">
        <f>'1_Du_lieu'!E191</f>
        <v>31.9</v>
      </c>
      <c r="E164" s="5">
        <f t="shared" si="36"/>
        <v>0</v>
      </c>
      <c r="F164" s="9">
        <f t="shared" si="44"/>
        <v>40.329629629629643</v>
      </c>
      <c r="G164" s="5">
        <f t="shared" si="45"/>
        <v>54</v>
      </c>
      <c r="H164" s="8">
        <f t="shared" si="46"/>
        <v>12</v>
      </c>
      <c r="I164" s="8">
        <f t="shared" si="37"/>
        <v>382.79999999999995</v>
      </c>
      <c r="J164" s="7">
        <f t="shared" si="38"/>
        <v>0.79098172467627847</v>
      </c>
      <c r="K164" s="7">
        <f t="shared" si="39"/>
        <v>-0.23448041555688773</v>
      </c>
      <c r="L164" s="7">
        <f t="shared" si="40"/>
        <v>-0.18546972349999755</v>
      </c>
      <c r="M164" s="7">
        <f t="shared" si="41"/>
        <v>0.23448041555688776</v>
      </c>
      <c r="N164" s="7">
        <f t="shared" si="42"/>
        <v>3.4626060097907989</v>
      </c>
      <c r="O164" s="9">
        <f t="shared" si="47"/>
        <v>38.590384615384629</v>
      </c>
      <c r="P164" s="7">
        <f t="shared" si="43"/>
        <v>-0.15738813138919833</v>
      </c>
    </row>
    <row r="165" spans="1:16" x14ac:dyDescent="0.25">
      <c r="A165" t="s">
        <v>152</v>
      </c>
      <c r="B165">
        <v>2019</v>
      </c>
      <c r="C165" s="5" t="str">
        <f>'1_Du_lieu'!C192</f>
        <v>ĐNB</v>
      </c>
      <c r="D165" s="8">
        <f>'1_Du_lieu'!E192</f>
        <v>51.7</v>
      </c>
      <c r="E165" s="5">
        <f t="shared" si="36"/>
        <v>0</v>
      </c>
      <c r="F165" s="9">
        <f t="shared" si="44"/>
        <v>40.329629629629643</v>
      </c>
      <c r="G165" s="5">
        <f t="shared" si="45"/>
        <v>54</v>
      </c>
      <c r="H165" s="8">
        <f t="shared" si="46"/>
        <v>48</v>
      </c>
      <c r="I165" s="8">
        <f t="shared" si="37"/>
        <v>2481.6000000000004</v>
      </c>
      <c r="J165" s="7">
        <f t="shared" si="38"/>
        <v>1.2819358986132792</v>
      </c>
      <c r="K165" s="7">
        <f t="shared" si="39"/>
        <v>0.24837135616669703</v>
      </c>
      <c r="L165" s="7">
        <f t="shared" si="40"/>
        <v>0.31839615765735357</v>
      </c>
      <c r="M165" s="7">
        <f t="shared" si="41"/>
        <v>-0.24837135616669698</v>
      </c>
      <c r="N165" s="7">
        <f t="shared" si="42"/>
        <v>3.9454577815143836</v>
      </c>
      <c r="O165" s="9">
        <f t="shared" si="47"/>
        <v>38.590384615384629</v>
      </c>
      <c r="P165" s="7">
        <f t="shared" si="43"/>
        <v>0.391804979470322</v>
      </c>
    </row>
    <row r="166" spans="1:16" x14ac:dyDescent="0.25">
      <c r="A166" t="s">
        <v>153</v>
      </c>
      <c r="B166">
        <v>2019</v>
      </c>
      <c r="C166" s="5" t="str">
        <f>'1_Du_lieu'!C193</f>
        <v>ĐBSCL</v>
      </c>
      <c r="D166" s="8">
        <f>'1_Du_lieu'!E193</f>
        <v>34.9</v>
      </c>
      <c r="E166" s="5">
        <f t="shared" si="36"/>
        <v>0</v>
      </c>
      <c r="F166" s="9">
        <f t="shared" si="44"/>
        <v>40.329629629629643</v>
      </c>
      <c r="G166" s="5">
        <f t="shared" si="45"/>
        <v>54</v>
      </c>
      <c r="H166" s="8">
        <f t="shared" si="46"/>
        <v>16.5</v>
      </c>
      <c r="I166" s="8">
        <f t="shared" si="37"/>
        <v>575.85</v>
      </c>
      <c r="J166" s="7">
        <f t="shared" si="38"/>
        <v>0.86536872072733917</v>
      </c>
      <c r="K166" s="7">
        <f t="shared" si="39"/>
        <v>-0.14459959613930512</v>
      </c>
      <c r="L166" s="7">
        <f t="shared" si="40"/>
        <v>-0.12513196752876035</v>
      </c>
      <c r="M166" s="7">
        <f t="shared" si="41"/>
        <v>0.14459959613930515</v>
      </c>
      <c r="N166" s="7">
        <f t="shared" si="42"/>
        <v>3.5524868292083815</v>
      </c>
      <c r="O166" s="9">
        <f t="shared" si="47"/>
        <v>38.590384615384629</v>
      </c>
      <c r="P166" s="7">
        <f t="shared" si="43"/>
        <v>-9.0903974105363911E-2</v>
      </c>
    </row>
    <row r="167" spans="1:16" x14ac:dyDescent="0.25">
      <c r="A167" t="s">
        <v>85</v>
      </c>
      <c r="B167">
        <v>2020</v>
      </c>
      <c r="C167" s="5" t="str">
        <f>'1_Du_lieu'!C194</f>
        <v>ĐBSCL</v>
      </c>
      <c r="D167" s="8">
        <f>'1_Du_lieu'!E194</f>
        <v>39.200000000000003</v>
      </c>
      <c r="E167" s="5">
        <f t="shared" si="36"/>
        <v>0</v>
      </c>
      <c r="F167" s="9">
        <f t="shared" ref="F167:F198" si="48">AVERAGE($D$167:$D$221)</f>
        <v>41.616363636363644</v>
      </c>
      <c r="G167" s="5">
        <f t="shared" ref="G167:G198" si="49">COUNT($D$167:$D$221)</f>
        <v>55</v>
      </c>
      <c r="H167" s="8">
        <f t="shared" ref="H167:H198" si="50">_xlfn.RANK.AVG(D167,$D$167:$D$221,1)</f>
        <v>25</v>
      </c>
      <c r="I167" s="8">
        <f t="shared" si="37"/>
        <v>980.00000000000011</v>
      </c>
      <c r="J167" s="7">
        <f t="shared" si="38"/>
        <v>0.94193717506225683</v>
      </c>
      <c r="K167" s="7">
        <f t="shared" si="39"/>
        <v>-5.9816699769715084E-2</v>
      </c>
      <c r="L167" s="7">
        <f t="shared" si="40"/>
        <v>-5.6343573202632578E-2</v>
      </c>
      <c r="M167" s="7">
        <f t="shared" si="41"/>
        <v>5.9816699769714994E-2</v>
      </c>
      <c r="N167" s="7">
        <f t="shared" si="42"/>
        <v>3.6686767467964168</v>
      </c>
      <c r="O167" s="9">
        <f t="shared" ref="O167:O198" si="51">SUMPRODUCT((1-$E$167:$E$221)*$D$167:$D$221)/(G167-SUM($E$167:$E$221))</f>
        <v>39.888679245283036</v>
      </c>
      <c r="P167" s="7">
        <f t="shared" si="43"/>
        <v>-1.7115124193053294E-2</v>
      </c>
    </row>
    <row r="168" spans="1:16" x14ac:dyDescent="0.25">
      <c r="A168" t="s">
        <v>87</v>
      </c>
      <c r="B168">
        <v>2020</v>
      </c>
      <c r="C168" s="5" t="str">
        <f>'1_Du_lieu'!C195</f>
        <v>ĐNB</v>
      </c>
      <c r="D168" s="8">
        <f>'1_Du_lieu'!E195</f>
        <v>48.6</v>
      </c>
      <c r="E168" s="5">
        <f t="shared" si="36"/>
        <v>0</v>
      </c>
      <c r="F168" s="9">
        <f t="shared" si="48"/>
        <v>41.616363636363644</v>
      </c>
      <c r="G168" s="5">
        <f t="shared" si="49"/>
        <v>55</v>
      </c>
      <c r="H168" s="8">
        <f t="shared" si="50"/>
        <v>46</v>
      </c>
      <c r="I168" s="8">
        <f t="shared" si="37"/>
        <v>2235.6</v>
      </c>
      <c r="J168" s="7">
        <f t="shared" si="38"/>
        <v>1.1678098650006552</v>
      </c>
      <c r="K168" s="7">
        <f t="shared" si="39"/>
        <v>0.15513008434031619</v>
      </c>
      <c r="L168" s="7">
        <f t="shared" si="40"/>
        <v>0.18116244285100491</v>
      </c>
      <c r="M168" s="7">
        <f t="shared" si="41"/>
        <v>-0.15513008434031611</v>
      </c>
      <c r="N168" s="7">
        <f t="shared" si="42"/>
        <v>3.8836235309064482</v>
      </c>
      <c r="O168" s="9">
        <f t="shared" si="51"/>
        <v>39.888679245283036</v>
      </c>
      <c r="P168" s="7">
        <f t="shared" si="43"/>
        <v>0.24066992412061128</v>
      </c>
    </row>
    <row r="169" spans="1:16" x14ac:dyDescent="0.25">
      <c r="A169" t="s">
        <v>89</v>
      </c>
      <c r="B169">
        <v>2020</v>
      </c>
      <c r="C169" s="5" t="str">
        <f>'1_Du_lieu'!C196</f>
        <v>ĐNB</v>
      </c>
      <c r="D169" s="8">
        <f>'1_Du_lieu'!E196</f>
        <v>54.9</v>
      </c>
      <c r="E169" s="5">
        <f t="shared" si="36"/>
        <v>0</v>
      </c>
      <c r="F169" s="9">
        <f t="shared" si="48"/>
        <v>41.616363636363644</v>
      </c>
      <c r="G169" s="5">
        <f t="shared" si="49"/>
        <v>55</v>
      </c>
      <c r="H169" s="8">
        <f t="shared" si="50"/>
        <v>50.5</v>
      </c>
      <c r="I169" s="8">
        <f t="shared" si="37"/>
        <v>2772.45</v>
      </c>
      <c r="J169" s="7">
        <f t="shared" si="38"/>
        <v>1.3191926252785178</v>
      </c>
      <c r="K169" s="7">
        <f t="shared" si="39"/>
        <v>0.27701990194935294</v>
      </c>
      <c r="L169" s="7">
        <f t="shared" si="40"/>
        <v>0.36544261170696452</v>
      </c>
      <c r="M169" s="7">
        <f t="shared" si="41"/>
        <v>-0.27701990194935294</v>
      </c>
      <c r="N169" s="7">
        <f t="shared" si="42"/>
        <v>4.0055133485154846</v>
      </c>
      <c r="O169" s="9">
        <f t="shared" si="51"/>
        <v>39.888679245283036</v>
      </c>
      <c r="P169" s="7">
        <f t="shared" si="43"/>
        <v>0.43962853298597621</v>
      </c>
    </row>
    <row r="170" spans="1:16" x14ac:dyDescent="0.25">
      <c r="A170" t="s">
        <v>90</v>
      </c>
      <c r="B170">
        <v>2020</v>
      </c>
      <c r="C170" s="5" t="str">
        <f>'1_Du_lieu'!C197</f>
        <v>ĐNB</v>
      </c>
      <c r="D170" s="8">
        <f>'1_Du_lieu'!E197</f>
        <v>29.8</v>
      </c>
      <c r="E170" s="5">
        <f t="shared" si="36"/>
        <v>0</v>
      </c>
      <c r="F170" s="9">
        <f t="shared" si="48"/>
        <v>41.616363636363644</v>
      </c>
      <c r="G170" s="5">
        <f t="shared" si="49"/>
        <v>55</v>
      </c>
      <c r="H170" s="8">
        <f t="shared" si="50"/>
        <v>5</v>
      </c>
      <c r="I170" s="8">
        <f t="shared" si="37"/>
        <v>149</v>
      </c>
      <c r="J170" s="7">
        <f t="shared" si="38"/>
        <v>0.71606448512385845</v>
      </c>
      <c r="K170" s="7">
        <f t="shared" si="39"/>
        <v>-0.33398505305477327</v>
      </c>
      <c r="L170" s="7">
        <f t="shared" si="40"/>
        <v>-0.23915483505473079</v>
      </c>
      <c r="M170" s="7">
        <f t="shared" si="41"/>
        <v>0.33398505305477322</v>
      </c>
      <c r="N170" s="7">
        <f t="shared" si="42"/>
        <v>3.3945083935113587</v>
      </c>
      <c r="O170" s="9">
        <f t="shared" si="51"/>
        <v>39.888679245283036</v>
      </c>
      <c r="P170" s="7">
        <f t="shared" si="43"/>
        <v>-0.21783644357611046</v>
      </c>
    </row>
    <row r="171" spans="1:16" x14ac:dyDescent="0.25">
      <c r="A171" t="s">
        <v>91</v>
      </c>
      <c r="B171">
        <v>2020</v>
      </c>
      <c r="C171" s="5" t="str">
        <f>'1_Du_lieu'!C198</f>
        <v>BTB&amp;DHMT</v>
      </c>
      <c r="D171" s="8">
        <f>'1_Du_lieu'!E198</f>
        <v>37</v>
      </c>
      <c r="E171" s="5">
        <f t="shared" si="36"/>
        <v>0</v>
      </c>
      <c r="F171" s="9">
        <f t="shared" si="48"/>
        <v>41.616363636363644</v>
      </c>
      <c r="G171" s="5">
        <f t="shared" si="49"/>
        <v>55</v>
      </c>
      <c r="H171" s="8">
        <f t="shared" si="50"/>
        <v>21</v>
      </c>
      <c r="I171" s="8">
        <f t="shared" si="37"/>
        <v>777</v>
      </c>
      <c r="J171" s="7">
        <f t="shared" si="38"/>
        <v>0.88907335401284437</v>
      </c>
      <c r="K171" s="7">
        <f t="shared" si="39"/>
        <v>-0.11757553392190759</v>
      </c>
      <c r="L171" s="7">
        <f t="shared" si="40"/>
        <v>-0.10453327429380134</v>
      </c>
      <c r="M171" s="7">
        <f t="shared" si="41"/>
        <v>0.11757553392190762</v>
      </c>
      <c r="N171" s="7">
        <f t="shared" si="42"/>
        <v>3.6109179126442243</v>
      </c>
      <c r="O171" s="9">
        <f t="shared" si="51"/>
        <v>39.888679245283036</v>
      </c>
      <c r="P171" s="7">
        <f t="shared" si="43"/>
        <v>-6.9730606187075522E-2</v>
      </c>
    </row>
    <row r="172" spans="1:16" x14ac:dyDescent="0.25">
      <c r="A172" t="s">
        <v>93</v>
      </c>
      <c r="B172">
        <v>2020</v>
      </c>
      <c r="C172" s="5" t="str">
        <f>'1_Du_lieu'!C199</f>
        <v>BTB&amp;DHMT</v>
      </c>
      <c r="D172" s="8">
        <f>'1_Du_lieu'!E199</f>
        <v>42.4</v>
      </c>
      <c r="E172" s="5">
        <f t="shared" si="36"/>
        <v>0</v>
      </c>
      <c r="F172" s="9">
        <f t="shared" si="48"/>
        <v>41.616363636363644</v>
      </c>
      <c r="G172" s="5">
        <f t="shared" si="49"/>
        <v>55</v>
      </c>
      <c r="H172" s="8">
        <f t="shared" si="50"/>
        <v>35.5</v>
      </c>
      <c r="I172" s="8">
        <f t="shared" si="37"/>
        <v>1505.2</v>
      </c>
      <c r="J172" s="7">
        <f t="shared" si="38"/>
        <v>1.0188300056795838</v>
      </c>
      <c r="K172" s="7">
        <f t="shared" si="39"/>
        <v>1.8654915671780046E-2</v>
      </c>
      <c r="L172" s="7">
        <f t="shared" si="40"/>
        <v>1.9006187839831823E-2</v>
      </c>
      <c r="M172" s="7">
        <f t="shared" si="41"/>
        <v>-1.8654915671780029E-2</v>
      </c>
      <c r="N172" s="7">
        <f t="shared" si="42"/>
        <v>3.7471483622379123</v>
      </c>
      <c r="O172" s="9">
        <f t="shared" si="51"/>
        <v>39.888679245283036</v>
      </c>
      <c r="P172" s="7">
        <f t="shared" si="43"/>
        <v>6.4899772487640769E-2</v>
      </c>
    </row>
    <row r="173" spans="1:16" x14ac:dyDescent="0.25">
      <c r="A173" t="s">
        <v>95</v>
      </c>
      <c r="B173">
        <v>2020</v>
      </c>
      <c r="C173" s="5" t="str">
        <f>'1_Du_lieu'!C201</f>
        <v>TDMNPB</v>
      </c>
      <c r="D173" s="8">
        <f>'1_Du_lieu'!E201</f>
        <v>43.8</v>
      </c>
      <c r="E173" s="5">
        <f t="shared" si="36"/>
        <v>0</v>
      </c>
      <c r="F173" s="9">
        <f t="shared" si="48"/>
        <v>41.616363636363644</v>
      </c>
      <c r="G173" s="5">
        <f t="shared" si="49"/>
        <v>55</v>
      </c>
      <c r="H173" s="8">
        <f t="shared" si="50"/>
        <v>42</v>
      </c>
      <c r="I173" s="8">
        <f t="shared" si="37"/>
        <v>1839.6</v>
      </c>
      <c r="J173" s="7">
        <f t="shared" si="38"/>
        <v>1.0524706190746644</v>
      </c>
      <c r="K173" s="7">
        <f t="shared" si="39"/>
        <v>5.1140370816268432E-2</v>
      </c>
      <c r="L173" s="7">
        <f t="shared" si="40"/>
        <v>5.3823737732705941E-2</v>
      </c>
      <c r="M173" s="7">
        <f t="shared" si="41"/>
        <v>-5.1140370816268467E-2</v>
      </c>
      <c r="N173" s="7">
        <f t="shared" si="42"/>
        <v>3.7796338173824005</v>
      </c>
      <c r="O173" s="9">
        <f t="shared" si="51"/>
        <v>39.888679245283036</v>
      </c>
      <c r="P173" s="7">
        <f t="shared" si="43"/>
        <v>0.10271353552446748</v>
      </c>
    </row>
    <row r="174" spans="1:16" x14ac:dyDescent="0.25">
      <c r="A174" t="s">
        <v>97</v>
      </c>
      <c r="B174">
        <v>2020</v>
      </c>
      <c r="C174" s="5" t="str">
        <f>'1_Du_lieu'!C202</f>
        <v>TDMNPB</v>
      </c>
      <c r="D174" s="8">
        <f>'1_Du_lieu'!E202</f>
        <v>27.9</v>
      </c>
      <c r="E174" s="5">
        <f t="shared" si="36"/>
        <v>0</v>
      </c>
      <c r="F174" s="9">
        <f t="shared" si="48"/>
        <v>41.616363636363644</v>
      </c>
      <c r="G174" s="5">
        <f t="shared" si="49"/>
        <v>55</v>
      </c>
      <c r="H174" s="8">
        <f t="shared" si="50"/>
        <v>1</v>
      </c>
      <c r="I174" s="8">
        <f t="shared" si="37"/>
        <v>27.9</v>
      </c>
      <c r="J174" s="7">
        <f t="shared" si="38"/>
        <v>0.67040936694482045</v>
      </c>
      <c r="K174" s="7">
        <f t="shared" si="39"/>
        <v>-0.39986675773881214</v>
      </c>
      <c r="L174" s="7">
        <f t="shared" si="40"/>
        <v>-0.26807441991795494</v>
      </c>
      <c r="M174" s="7">
        <f t="shared" si="41"/>
        <v>0.39986675773881214</v>
      </c>
      <c r="N174" s="7">
        <f t="shared" si="42"/>
        <v>3.3286266888273199</v>
      </c>
      <c r="O174" s="9">
        <f t="shared" si="51"/>
        <v>39.888679245283036</v>
      </c>
      <c r="P174" s="7">
        <f t="shared" si="43"/>
        <v>-0.25002827537648481</v>
      </c>
    </row>
    <row r="175" spans="1:16" x14ac:dyDescent="0.25">
      <c r="A175" t="s">
        <v>98</v>
      </c>
      <c r="B175">
        <v>2020</v>
      </c>
      <c r="C175" s="5" t="str">
        <f>'1_Du_lieu'!C203</f>
        <v>ĐBSH</v>
      </c>
      <c r="D175" s="8">
        <f>'1_Du_lieu'!E203</f>
        <v>53.1</v>
      </c>
      <c r="E175" s="5">
        <f t="shared" si="36"/>
        <v>0</v>
      </c>
      <c r="F175" s="9">
        <f t="shared" si="48"/>
        <v>41.616363636363644</v>
      </c>
      <c r="G175" s="5">
        <f t="shared" si="49"/>
        <v>55</v>
      </c>
      <c r="H175" s="8">
        <f t="shared" si="50"/>
        <v>49</v>
      </c>
      <c r="I175" s="8">
        <f t="shared" si="37"/>
        <v>2601.9</v>
      </c>
      <c r="J175" s="7">
        <f t="shared" si="38"/>
        <v>1.2759404080562713</v>
      </c>
      <c r="K175" s="7">
        <f t="shared" si="39"/>
        <v>0.24368348168176115</v>
      </c>
      <c r="L175" s="7">
        <f t="shared" si="40"/>
        <v>0.31092560105359923</v>
      </c>
      <c r="M175" s="7">
        <f t="shared" si="41"/>
        <v>-0.24368348168176115</v>
      </c>
      <c r="N175" s="7">
        <f t="shared" si="42"/>
        <v>3.9721769282478934</v>
      </c>
      <c r="O175" s="9">
        <f t="shared" si="51"/>
        <v>39.888679245283036</v>
      </c>
      <c r="P175" s="7">
        <f t="shared" si="43"/>
        <v>0.38083688111632502</v>
      </c>
    </row>
    <row r="176" spans="1:16" x14ac:dyDescent="0.25">
      <c r="A176" t="s">
        <v>100</v>
      </c>
      <c r="B176">
        <v>2020</v>
      </c>
      <c r="C176" s="5" t="str">
        <f>'1_Du_lieu'!C204</f>
        <v>ĐBSCL</v>
      </c>
      <c r="D176" s="8">
        <f>'1_Du_lieu'!E204</f>
        <v>43.6</v>
      </c>
      <c r="E176" s="5">
        <f t="shared" si="36"/>
        <v>0</v>
      </c>
      <c r="F176" s="9">
        <f t="shared" si="48"/>
        <v>41.616363636363644</v>
      </c>
      <c r="G176" s="5">
        <f t="shared" si="49"/>
        <v>55</v>
      </c>
      <c r="H176" s="8">
        <f t="shared" si="50"/>
        <v>41</v>
      </c>
      <c r="I176" s="8">
        <f t="shared" si="37"/>
        <v>1787.6000000000001</v>
      </c>
      <c r="J176" s="7">
        <f t="shared" si="38"/>
        <v>1.0476648171610816</v>
      </c>
      <c r="K176" s="7">
        <f t="shared" si="39"/>
        <v>4.6563703788856742E-2</v>
      </c>
      <c r="L176" s="7">
        <f t="shared" si="40"/>
        <v>4.8783154216295359E-2</v>
      </c>
      <c r="M176" s="7">
        <f t="shared" si="41"/>
        <v>-4.65637037888567E-2</v>
      </c>
      <c r="N176" s="7">
        <f t="shared" si="42"/>
        <v>3.7750571503549888</v>
      </c>
      <c r="O176" s="9">
        <f t="shared" si="51"/>
        <v>39.888679245283036</v>
      </c>
      <c r="P176" s="7">
        <f t="shared" si="43"/>
        <v>9.7242034865351309E-2</v>
      </c>
    </row>
    <row r="177" spans="1:16" x14ac:dyDescent="0.25">
      <c r="A177" t="s">
        <v>102</v>
      </c>
      <c r="B177">
        <v>2020</v>
      </c>
      <c r="C177" s="5" t="str">
        <f>'1_Du_lieu'!C206</f>
        <v>ĐBSCL</v>
      </c>
      <c r="D177" s="8">
        <f>'1_Du_lieu'!E206</f>
        <v>28.5</v>
      </c>
      <c r="E177" s="5">
        <f t="shared" si="36"/>
        <v>0</v>
      </c>
      <c r="F177" s="9">
        <f t="shared" si="48"/>
        <v>41.616363636363644</v>
      </c>
      <c r="G177" s="5">
        <f t="shared" si="49"/>
        <v>55</v>
      </c>
      <c r="H177" s="8">
        <f t="shared" si="50"/>
        <v>2</v>
      </c>
      <c r="I177" s="8">
        <f t="shared" si="37"/>
        <v>57</v>
      </c>
      <c r="J177" s="7">
        <f t="shared" si="38"/>
        <v>0.68482677268556935</v>
      </c>
      <c r="K177" s="7">
        <f t="shared" si="39"/>
        <v>-0.37858935929152715</v>
      </c>
      <c r="L177" s="7">
        <f t="shared" si="40"/>
        <v>-0.25926812909671398</v>
      </c>
      <c r="M177" s="7">
        <f t="shared" si="41"/>
        <v>0.37858935929152709</v>
      </c>
      <c r="N177" s="7">
        <f t="shared" si="42"/>
        <v>3.3499040872746049</v>
      </c>
      <c r="O177" s="9">
        <f t="shared" si="51"/>
        <v>39.888679245283036</v>
      </c>
      <c r="P177" s="7">
        <f t="shared" si="43"/>
        <v>-0.24020277242200977</v>
      </c>
    </row>
    <row r="178" spans="1:16" x14ac:dyDescent="0.25">
      <c r="A178" t="s">
        <v>103</v>
      </c>
      <c r="B178">
        <v>2020</v>
      </c>
      <c r="C178" s="5" t="str">
        <f>'1_Du_lieu'!C207</f>
        <v>ĐBSCL</v>
      </c>
      <c r="D178" s="8">
        <f>'1_Du_lieu'!E207</f>
        <v>48.8</v>
      </c>
      <c r="E178" s="5">
        <f t="shared" si="36"/>
        <v>0</v>
      </c>
      <c r="F178" s="9">
        <f t="shared" si="48"/>
        <v>41.616363636363644</v>
      </c>
      <c r="G178" s="5">
        <f t="shared" si="49"/>
        <v>55</v>
      </c>
      <c r="H178" s="8">
        <f t="shared" si="50"/>
        <v>47</v>
      </c>
      <c r="I178" s="8">
        <f t="shared" si="37"/>
        <v>2293.6</v>
      </c>
      <c r="J178" s="7">
        <f t="shared" si="38"/>
        <v>1.172615666914238</v>
      </c>
      <c r="K178" s="7">
        <f t="shared" si="39"/>
        <v>0.15923686629296949</v>
      </c>
      <c r="L178" s="7">
        <f t="shared" si="40"/>
        <v>0.18672364416546378</v>
      </c>
      <c r="M178" s="7">
        <f t="shared" si="41"/>
        <v>-0.15923686629296946</v>
      </c>
      <c r="N178" s="7">
        <f t="shared" si="42"/>
        <v>3.8877303128591016</v>
      </c>
      <c r="O178" s="9">
        <f t="shared" si="51"/>
        <v>39.888679245283036</v>
      </c>
      <c r="P178" s="7">
        <f t="shared" si="43"/>
        <v>0.24668459191408934</v>
      </c>
    </row>
    <row r="179" spans="1:16" x14ac:dyDescent="0.25">
      <c r="A179" t="s">
        <v>104</v>
      </c>
      <c r="B179">
        <v>2020</v>
      </c>
      <c r="C179" s="5" t="str">
        <f>'1_Du_lieu'!C208</f>
        <v>TN</v>
      </c>
      <c r="D179" s="8">
        <f>'1_Du_lieu'!E208</f>
        <v>32.299999999999997</v>
      </c>
      <c r="E179" s="5">
        <f t="shared" si="36"/>
        <v>0</v>
      </c>
      <c r="F179" s="9">
        <f t="shared" si="48"/>
        <v>41.616363636363644</v>
      </c>
      <c r="G179" s="5">
        <f t="shared" si="49"/>
        <v>55</v>
      </c>
      <c r="H179" s="8">
        <f t="shared" si="50"/>
        <v>10</v>
      </c>
      <c r="I179" s="8">
        <f t="shared" si="37"/>
        <v>323</v>
      </c>
      <c r="J179" s="7">
        <f t="shared" si="38"/>
        <v>0.77613700904364524</v>
      </c>
      <c r="K179" s="7">
        <f t="shared" si="39"/>
        <v>-0.25342621633752116</v>
      </c>
      <c r="L179" s="7">
        <f t="shared" si="40"/>
        <v>-0.19669346556145145</v>
      </c>
      <c r="M179" s="7">
        <f t="shared" si="41"/>
        <v>0.2534262163375211</v>
      </c>
      <c r="N179" s="7">
        <f t="shared" si="42"/>
        <v>3.475067230228611</v>
      </c>
      <c r="O179" s="9">
        <f t="shared" si="51"/>
        <v>39.888679245283036</v>
      </c>
      <c r="P179" s="7">
        <f t="shared" si="43"/>
        <v>-0.17087850822795725</v>
      </c>
    </row>
    <row r="180" spans="1:16" x14ac:dyDescent="0.25">
      <c r="A180" t="s">
        <v>107</v>
      </c>
      <c r="B180">
        <v>2020</v>
      </c>
      <c r="C180" s="5" t="str">
        <f>'1_Du_lieu'!C210</f>
        <v>ĐBSH</v>
      </c>
      <c r="D180" s="8">
        <f>'1_Du_lieu'!E210</f>
        <v>42</v>
      </c>
      <c r="E180" s="5">
        <f t="shared" si="36"/>
        <v>0</v>
      </c>
      <c r="F180" s="9">
        <f t="shared" si="48"/>
        <v>41.616363636363644</v>
      </c>
      <c r="G180" s="5">
        <f t="shared" si="49"/>
        <v>55</v>
      </c>
      <c r="H180" s="8">
        <f t="shared" si="50"/>
        <v>34</v>
      </c>
      <c r="I180" s="8">
        <f t="shared" si="37"/>
        <v>1428</v>
      </c>
      <c r="J180" s="7">
        <f t="shared" si="38"/>
        <v>1.009218401852418</v>
      </c>
      <c r="K180" s="7">
        <f t="shared" si="39"/>
        <v>9.1761717172362985E-3</v>
      </c>
      <c r="L180" s="7">
        <f t="shared" si="40"/>
        <v>9.2607613555925755E-3</v>
      </c>
      <c r="M180" s="7">
        <f t="shared" si="41"/>
        <v>-9.1761717172363904E-3</v>
      </c>
      <c r="N180" s="7">
        <f t="shared" si="42"/>
        <v>3.7376696182833684</v>
      </c>
      <c r="O180" s="9">
        <f t="shared" si="51"/>
        <v>39.888679245283036</v>
      </c>
      <c r="P180" s="7">
        <f t="shared" si="43"/>
        <v>5.4307053530760832E-2</v>
      </c>
    </row>
    <row r="181" spans="1:16" x14ac:dyDescent="0.25">
      <c r="A181" t="s">
        <v>108</v>
      </c>
      <c r="B181">
        <v>2020</v>
      </c>
      <c r="C181" s="5" t="str">
        <f>'1_Du_lieu'!C211</f>
        <v>ĐBSH</v>
      </c>
      <c r="D181" s="8">
        <f>'1_Du_lieu'!E211</f>
        <v>85.7</v>
      </c>
      <c r="E181" s="5">
        <f t="shared" si="36"/>
        <v>1</v>
      </c>
      <c r="F181" s="9">
        <f t="shared" si="48"/>
        <v>41.616363636363644</v>
      </c>
      <c r="G181" s="5">
        <f t="shared" si="49"/>
        <v>55</v>
      </c>
      <c r="H181" s="8">
        <f t="shared" si="50"/>
        <v>54</v>
      </c>
      <c r="I181" s="8">
        <f t="shared" si="37"/>
        <v>4627.8</v>
      </c>
      <c r="J181" s="7">
        <f t="shared" si="38"/>
        <v>2.0592861199702912</v>
      </c>
      <c r="K181" s="7">
        <f t="shared" si="39"/>
        <v>0.72235937903760228</v>
      </c>
      <c r="L181" s="7">
        <f t="shared" si="40"/>
        <v>1.487544642882493</v>
      </c>
      <c r="M181" s="7">
        <f t="shared" si="41"/>
        <v>-0.72235937903760217</v>
      </c>
      <c r="N181" s="7">
        <f t="shared" si="42"/>
        <v>4.4508528256037341</v>
      </c>
      <c r="O181" s="9">
        <f t="shared" si="51"/>
        <v>39.888679245283036</v>
      </c>
      <c r="P181" s="7">
        <f t="shared" si="43"/>
        <v>0</v>
      </c>
    </row>
    <row r="182" spans="1:16" x14ac:dyDescent="0.25">
      <c r="A182" t="s">
        <v>109</v>
      </c>
      <c r="B182">
        <v>2020</v>
      </c>
      <c r="C182" s="5" t="str">
        <f>'1_Du_lieu'!C212</f>
        <v>BTB&amp;DHMT</v>
      </c>
      <c r="D182" s="8">
        <f>'1_Du_lieu'!E212</f>
        <v>36.200000000000003</v>
      </c>
      <c r="E182" s="5">
        <f t="shared" si="36"/>
        <v>0</v>
      </c>
      <c r="F182" s="9">
        <f t="shared" si="48"/>
        <v>41.616363636363644</v>
      </c>
      <c r="G182" s="5">
        <f t="shared" si="49"/>
        <v>55</v>
      </c>
      <c r="H182" s="8">
        <f t="shared" si="50"/>
        <v>19.5</v>
      </c>
      <c r="I182" s="8">
        <f t="shared" si="37"/>
        <v>705.90000000000009</v>
      </c>
      <c r="J182" s="7">
        <f t="shared" si="38"/>
        <v>0.86985014635851277</v>
      </c>
      <c r="K182" s="7">
        <f t="shared" si="39"/>
        <v>-0.13943432773440648</v>
      </c>
      <c r="L182" s="7">
        <f t="shared" si="40"/>
        <v>-0.12128697038717431</v>
      </c>
      <c r="M182" s="7">
        <f t="shared" si="41"/>
        <v>0.1394343277344065</v>
      </c>
      <c r="N182" s="7">
        <f t="shared" si="42"/>
        <v>3.5890591188317256</v>
      </c>
      <c r="O182" s="9">
        <f t="shared" si="51"/>
        <v>39.888679245283036</v>
      </c>
      <c r="P182" s="7">
        <f t="shared" si="43"/>
        <v>-8.806033370882925E-2</v>
      </c>
    </row>
    <row r="183" spans="1:16" x14ac:dyDescent="0.25">
      <c r="A183" t="s">
        <v>110</v>
      </c>
      <c r="B183">
        <v>2020</v>
      </c>
      <c r="C183" s="5" t="str">
        <f>'1_Du_lieu'!C213</f>
        <v>TDMNPB</v>
      </c>
      <c r="D183" s="8">
        <f>'1_Du_lieu'!E213</f>
        <v>33.4</v>
      </c>
      <c r="E183" s="5">
        <f t="shared" si="36"/>
        <v>0</v>
      </c>
      <c r="F183" s="9">
        <f t="shared" si="48"/>
        <v>41.616363636363644</v>
      </c>
      <c r="G183" s="5">
        <f t="shared" si="49"/>
        <v>55</v>
      </c>
      <c r="H183" s="8">
        <f t="shared" si="50"/>
        <v>13</v>
      </c>
      <c r="I183" s="8">
        <f t="shared" si="37"/>
        <v>434.2</v>
      </c>
      <c r="J183" s="7">
        <f t="shared" si="38"/>
        <v>0.80256891956835141</v>
      </c>
      <c r="K183" s="7">
        <f t="shared" si="39"/>
        <v>-0.21993754658347728</v>
      </c>
      <c r="L183" s="7">
        <f t="shared" si="40"/>
        <v>-0.17651503913401531</v>
      </c>
      <c r="M183" s="7">
        <f t="shared" si="41"/>
        <v>0.21993754658347733</v>
      </c>
      <c r="N183" s="7">
        <f t="shared" si="42"/>
        <v>3.5085558999826545</v>
      </c>
      <c r="O183" s="9">
        <f t="shared" si="51"/>
        <v>39.888679245283036</v>
      </c>
      <c r="P183" s="7">
        <f t="shared" si="43"/>
        <v>-0.14865682205499386</v>
      </c>
    </row>
    <row r="184" spans="1:16" x14ac:dyDescent="0.25">
      <c r="A184" t="s">
        <v>111</v>
      </c>
      <c r="B184">
        <v>2020</v>
      </c>
      <c r="C184" s="5" t="str">
        <f>'1_Du_lieu'!C214</f>
        <v>ĐBSH</v>
      </c>
      <c r="D184" s="8">
        <f>'1_Du_lieu'!E214</f>
        <v>42.4</v>
      </c>
      <c r="E184" s="5">
        <f t="shared" si="36"/>
        <v>0</v>
      </c>
      <c r="F184" s="9">
        <f t="shared" si="48"/>
        <v>41.616363636363644</v>
      </c>
      <c r="G184" s="5">
        <f t="shared" si="49"/>
        <v>55</v>
      </c>
      <c r="H184" s="8">
        <f t="shared" si="50"/>
        <v>35.5</v>
      </c>
      <c r="I184" s="8">
        <f t="shared" si="37"/>
        <v>1505.2</v>
      </c>
      <c r="J184" s="7">
        <f t="shared" si="38"/>
        <v>1.0188300056795838</v>
      </c>
      <c r="K184" s="7">
        <f t="shared" si="39"/>
        <v>1.8654915671780046E-2</v>
      </c>
      <c r="L184" s="7">
        <f t="shared" si="40"/>
        <v>1.9006187839831823E-2</v>
      </c>
      <c r="M184" s="7">
        <f t="shared" si="41"/>
        <v>-1.8654915671780029E-2</v>
      </c>
      <c r="N184" s="7">
        <f t="shared" si="42"/>
        <v>3.7471483622379123</v>
      </c>
      <c r="O184" s="9">
        <f t="shared" si="51"/>
        <v>39.888679245283036</v>
      </c>
      <c r="P184" s="7">
        <f t="shared" si="43"/>
        <v>6.4899772487640769E-2</v>
      </c>
    </row>
    <row r="185" spans="1:16" x14ac:dyDescent="0.25">
      <c r="A185" t="s">
        <v>112</v>
      </c>
      <c r="B185">
        <v>2020</v>
      </c>
      <c r="C185" s="5" t="str">
        <f>'1_Du_lieu'!C215</f>
        <v>ĐBSH</v>
      </c>
      <c r="D185" s="8">
        <f>'1_Du_lieu'!E215</f>
        <v>47.5</v>
      </c>
      <c r="E185" s="5">
        <f t="shared" si="36"/>
        <v>0</v>
      </c>
      <c r="F185" s="9">
        <f t="shared" si="48"/>
        <v>41.616363636363644</v>
      </c>
      <c r="G185" s="5">
        <f t="shared" si="49"/>
        <v>55</v>
      </c>
      <c r="H185" s="8">
        <f t="shared" si="50"/>
        <v>45</v>
      </c>
      <c r="I185" s="8">
        <f t="shared" si="37"/>
        <v>2137.5</v>
      </c>
      <c r="J185" s="7">
        <f t="shared" si="38"/>
        <v>1.141377954475949</v>
      </c>
      <c r="K185" s="7">
        <f t="shared" si="39"/>
        <v>0.13223626447446366</v>
      </c>
      <c r="L185" s="7">
        <f t="shared" si="40"/>
        <v>0.15093155705340394</v>
      </c>
      <c r="M185" s="7">
        <f t="shared" si="41"/>
        <v>-0.13223626447446354</v>
      </c>
      <c r="N185" s="7">
        <f t="shared" si="42"/>
        <v>3.8607297110405954</v>
      </c>
      <c r="O185" s="9">
        <f t="shared" si="51"/>
        <v>39.888679245283036</v>
      </c>
      <c r="P185" s="7">
        <f t="shared" si="43"/>
        <v>0.2079603799261763</v>
      </c>
    </row>
    <row r="186" spans="1:16" x14ac:dyDescent="0.25">
      <c r="A186" t="s">
        <v>113</v>
      </c>
      <c r="B186">
        <v>2020</v>
      </c>
      <c r="C186" s="5" t="str">
        <f>'1_Du_lieu'!C216</f>
        <v>ĐBSH</v>
      </c>
      <c r="D186" s="8">
        <f>'1_Du_lieu'!E216</f>
        <v>60.6</v>
      </c>
      <c r="E186" s="5">
        <f t="shared" si="36"/>
        <v>0</v>
      </c>
      <c r="F186" s="9">
        <f t="shared" si="48"/>
        <v>41.616363636363644</v>
      </c>
      <c r="G186" s="5">
        <f t="shared" si="49"/>
        <v>55</v>
      </c>
      <c r="H186" s="8">
        <f t="shared" si="50"/>
        <v>53</v>
      </c>
      <c r="I186" s="8">
        <f t="shared" si="37"/>
        <v>3211.8</v>
      </c>
      <c r="J186" s="7">
        <f t="shared" si="38"/>
        <v>1.4561579798156317</v>
      </c>
      <c r="K186" s="7">
        <f t="shared" si="39"/>
        <v>0.37580144650913677</v>
      </c>
      <c r="L186" s="7">
        <f t="shared" si="40"/>
        <v>0.54722627516053679</v>
      </c>
      <c r="M186" s="7">
        <f t="shared" si="41"/>
        <v>-0.37580144650913683</v>
      </c>
      <c r="N186" s="7">
        <f t="shared" si="42"/>
        <v>4.1042948930752692</v>
      </c>
      <c r="O186" s="9">
        <f t="shared" si="51"/>
        <v>39.888679245283036</v>
      </c>
      <c r="P186" s="7">
        <f t="shared" si="43"/>
        <v>0.63534471784123836</v>
      </c>
    </row>
    <row r="187" spans="1:16" x14ac:dyDescent="0.25">
      <c r="A187" t="s">
        <v>115</v>
      </c>
      <c r="B187">
        <v>2020</v>
      </c>
      <c r="C187" s="5" t="str">
        <f>'1_Du_lieu'!C218</f>
        <v>BTB&amp;DHMT</v>
      </c>
      <c r="D187" s="8">
        <f>'1_Du_lieu'!E218</f>
        <v>43.4</v>
      </c>
      <c r="E187" s="5">
        <f t="shared" si="36"/>
        <v>0</v>
      </c>
      <c r="F187" s="9">
        <f t="shared" si="48"/>
        <v>41.616363636363644</v>
      </c>
      <c r="G187" s="5">
        <f t="shared" si="49"/>
        <v>55</v>
      </c>
      <c r="H187" s="8">
        <f t="shared" si="50"/>
        <v>40</v>
      </c>
      <c r="I187" s="8">
        <f t="shared" si="37"/>
        <v>1736</v>
      </c>
      <c r="J187" s="7">
        <f t="shared" si="38"/>
        <v>1.0428590152474986</v>
      </c>
      <c r="K187" s="7">
        <f t="shared" si="39"/>
        <v>4.1965994540227189E-2</v>
      </c>
      <c r="L187" s="7">
        <f t="shared" si="40"/>
        <v>4.3764615740103228E-2</v>
      </c>
      <c r="M187" s="7">
        <f t="shared" si="41"/>
        <v>-4.1965994540227175E-2</v>
      </c>
      <c r="N187" s="7">
        <f t="shared" si="42"/>
        <v>3.7704594411063592</v>
      </c>
      <c r="O187" s="9">
        <f t="shared" si="51"/>
        <v>39.888679245283036</v>
      </c>
      <c r="P187" s="7">
        <f t="shared" si="43"/>
        <v>9.1793534075558153E-2</v>
      </c>
    </row>
    <row r="188" spans="1:16" x14ac:dyDescent="0.25">
      <c r="A188" t="s">
        <v>116</v>
      </c>
      <c r="B188">
        <v>2020</v>
      </c>
      <c r="C188" s="5" t="str">
        <f>'1_Du_lieu'!C219</f>
        <v>ĐBSCL</v>
      </c>
      <c r="D188" s="8">
        <f>'1_Du_lieu'!E219</f>
        <v>38</v>
      </c>
      <c r="E188" s="5">
        <f t="shared" si="36"/>
        <v>0</v>
      </c>
      <c r="F188" s="9">
        <f t="shared" si="48"/>
        <v>41.616363636363644</v>
      </c>
      <c r="G188" s="5">
        <f t="shared" si="49"/>
        <v>55</v>
      </c>
      <c r="H188" s="8">
        <f t="shared" si="50"/>
        <v>22</v>
      </c>
      <c r="I188" s="8">
        <f t="shared" si="37"/>
        <v>836</v>
      </c>
      <c r="J188" s="7">
        <f t="shared" si="38"/>
        <v>0.91310236358075914</v>
      </c>
      <c r="K188" s="7">
        <f t="shared" si="39"/>
        <v>-9.0907286839746207E-2</v>
      </c>
      <c r="L188" s="7">
        <f t="shared" si="40"/>
        <v>-8.3007658480086302E-2</v>
      </c>
      <c r="M188" s="7">
        <f t="shared" si="41"/>
        <v>9.0907286839746235E-2</v>
      </c>
      <c r="N188" s="7">
        <f t="shared" si="42"/>
        <v>3.6375861597263857</v>
      </c>
      <c r="O188" s="9">
        <f t="shared" si="51"/>
        <v>39.888679245283036</v>
      </c>
      <c r="P188" s="7">
        <f t="shared" si="43"/>
        <v>-4.6209678343160115E-2</v>
      </c>
    </row>
    <row r="189" spans="1:16" x14ac:dyDescent="0.25">
      <c r="A189" t="s">
        <v>117</v>
      </c>
      <c r="B189">
        <v>2020</v>
      </c>
      <c r="C189" s="5" t="str">
        <f>'1_Du_lieu'!C220</f>
        <v>TN</v>
      </c>
      <c r="D189" s="8">
        <f>'1_Du_lieu'!E220</f>
        <v>31.1</v>
      </c>
      <c r="E189" s="5">
        <f t="shared" si="36"/>
        <v>0</v>
      </c>
      <c r="F189" s="9">
        <f t="shared" si="48"/>
        <v>41.616363636363644</v>
      </c>
      <c r="G189" s="5">
        <f t="shared" si="49"/>
        <v>55</v>
      </c>
      <c r="H189" s="8">
        <f t="shared" si="50"/>
        <v>6</v>
      </c>
      <c r="I189" s="8">
        <f t="shared" si="37"/>
        <v>186.60000000000002</v>
      </c>
      <c r="J189" s="7">
        <f t="shared" si="38"/>
        <v>0.74730219756214766</v>
      </c>
      <c r="K189" s="7">
        <f t="shared" si="39"/>
        <v>-0.29128562738094343</v>
      </c>
      <c r="L189" s="7">
        <f t="shared" si="40"/>
        <v>-0.21767838946004792</v>
      </c>
      <c r="M189" s="7">
        <f t="shared" si="41"/>
        <v>0.29128562738094343</v>
      </c>
      <c r="N189" s="7">
        <f t="shared" si="42"/>
        <v>3.4372078191851885</v>
      </c>
      <c r="O189" s="9">
        <f t="shared" si="51"/>
        <v>39.888679245283036</v>
      </c>
      <c r="P189" s="7">
        <f t="shared" si="43"/>
        <v>-0.19404792147182381</v>
      </c>
    </row>
    <row r="190" spans="1:16" x14ac:dyDescent="0.25">
      <c r="A190" t="s">
        <v>119</v>
      </c>
      <c r="B190">
        <v>2020</v>
      </c>
      <c r="C190" s="5" t="str">
        <f>'1_Du_lieu'!C222</f>
        <v>ĐBSCL</v>
      </c>
      <c r="D190" s="8">
        <f>'1_Du_lieu'!E222</f>
        <v>43</v>
      </c>
      <c r="E190" s="5">
        <f t="shared" si="36"/>
        <v>0</v>
      </c>
      <c r="F190" s="9">
        <f t="shared" si="48"/>
        <v>41.616363636363644</v>
      </c>
      <c r="G190" s="5">
        <f t="shared" si="49"/>
        <v>55</v>
      </c>
      <c r="H190" s="8">
        <f t="shared" si="50"/>
        <v>38</v>
      </c>
      <c r="I190" s="8">
        <f t="shared" si="37"/>
        <v>1634</v>
      </c>
      <c r="J190" s="7">
        <f t="shared" si="38"/>
        <v>1.0332474114203327</v>
      </c>
      <c r="K190" s="7">
        <f t="shared" si="39"/>
        <v>3.2706669127430463E-2</v>
      </c>
      <c r="L190" s="7">
        <f t="shared" si="40"/>
        <v>3.3794081212098835E-2</v>
      </c>
      <c r="M190" s="7">
        <f t="shared" si="41"/>
        <v>-3.2706669127430435E-2</v>
      </c>
      <c r="N190" s="7">
        <f t="shared" si="42"/>
        <v>3.7612001156935624</v>
      </c>
      <c r="O190" s="9">
        <f t="shared" si="51"/>
        <v>39.888679245283036</v>
      </c>
      <c r="P190" s="7">
        <f t="shared" si="43"/>
        <v>8.096595704906917E-2</v>
      </c>
    </row>
    <row r="191" spans="1:16" x14ac:dyDescent="0.25">
      <c r="A191" t="s">
        <v>120</v>
      </c>
      <c r="B191">
        <v>2020</v>
      </c>
      <c r="C191" s="5" t="str">
        <f>'1_Du_lieu'!C223</f>
        <v>TDMNPB</v>
      </c>
      <c r="D191" s="8">
        <f>'1_Du_lieu'!E223</f>
        <v>36.1</v>
      </c>
      <c r="E191" s="5">
        <f t="shared" si="36"/>
        <v>0</v>
      </c>
      <c r="F191" s="9">
        <f t="shared" si="48"/>
        <v>41.616363636363644</v>
      </c>
      <c r="G191" s="5">
        <f t="shared" si="49"/>
        <v>55</v>
      </c>
      <c r="H191" s="8">
        <f t="shared" si="50"/>
        <v>18</v>
      </c>
      <c r="I191" s="8">
        <f t="shared" si="37"/>
        <v>649.80000000000007</v>
      </c>
      <c r="J191" s="7">
        <f t="shared" si="38"/>
        <v>0.86744724540172125</v>
      </c>
      <c r="K191" s="7">
        <f t="shared" si="39"/>
        <v>-0.14220058122729667</v>
      </c>
      <c r="L191" s="7">
        <f t="shared" si="40"/>
        <v>-0.12335150248014222</v>
      </c>
      <c r="M191" s="7">
        <f t="shared" si="41"/>
        <v>0.14220058122729673</v>
      </c>
      <c r="N191" s="7">
        <f t="shared" si="42"/>
        <v>3.5862928653388351</v>
      </c>
      <c r="O191" s="9">
        <f t="shared" si="51"/>
        <v>39.888679245283036</v>
      </c>
      <c r="P191" s="7">
        <f t="shared" si="43"/>
        <v>-9.0320584214422781E-2</v>
      </c>
    </row>
    <row r="192" spans="1:16" x14ac:dyDescent="0.25">
      <c r="A192" t="s">
        <v>121</v>
      </c>
      <c r="B192">
        <v>2020</v>
      </c>
      <c r="C192" s="5" t="str">
        <f>'1_Du_lieu'!C224</f>
        <v>TN</v>
      </c>
      <c r="D192" s="8">
        <f>'1_Du_lieu'!E224</f>
        <v>41.1</v>
      </c>
      <c r="E192" s="5">
        <f t="shared" si="36"/>
        <v>0</v>
      </c>
      <c r="F192" s="9">
        <f t="shared" si="48"/>
        <v>41.616363636363644</v>
      </c>
      <c r="G192" s="5">
        <f t="shared" si="49"/>
        <v>55</v>
      </c>
      <c r="H192" s="8">
        <f t="shared" si="50"/>
        <v>32</v>
      </c>
      <c r="I192" s="8">
        <f t="shared" si="37"/>
        <v>1315.2</v>
      </c>
      <c r="J192" s="7">
        <f t="shared" si="38"/>
        <v>0.98759229324129483</v>
      </c>
      <c r="K192" s="7">
        <f t="shared" si="39"/>
        <v>-1.2485325063942971E-2</v>
      </c>
      <c r="L192" s="7">
        <f t="shared" si="40"/>
        <v>-1.2330410811762454E-2</v>
      </c>
      <c r="M192" s="7">
        <f t="shared" si="41"/>
        <v>1.2485325063943108E-2</v>
      </c>
      <c r="N192" s="7">
        <f t="shared" si="42"/>
        <v>3.7160081215021892</v>
      </c>
      <c r="O192" s="9">
        <f t="shared" si="51"/>
        <v>39.888679245283036</v>
      </c>
      <c r="P192" s="7">
        <f t="shared" si="43"/>
        <v>3.0824027971116504E-2</v>
      </c>
    </row>
    <row r="193" spans="1:16" x14ac:dyDescent="0.25">
      <c r="A193" t="s">
        <v>122</v>
      </c>
      <c r="B193">
        <v>2020</v>
      </c>
      <c r="C193" s="5" t="str">
        <f>'1_Du_lieu'!C225</f>
        <v>TDMNPB</v>
      </c>
      <c r="D193" s="8">
        <f>'1_Du_lieu'!E225</f>
        <v>29.3</v>
      </c>
      <c r="E193" s="5">
        <f t="shared" si="36"/>
        <v>0</v>
      </c>
      <c r="F193" s="9">
        <f t="shared" si="48"/>
        <v>41.616363636363644</v>
      </c>
      <c r="G193" s="5">
        <f t="shared" si="49"/>
        <v>55</v>
      </c>
      <c r="H193" s="8">
        <f t="shared" si="50"/>
        <v>3</v>
      </c>
      <c r="I193" s="8">
        <f t="shared" si="37"/>
        <v>87.9</v>
      </c>
      <c r="J193" s="7">
        <f t="shared" si="38"/>
        <v>0.70404998033990118</v>
      </c>
      <c r="K193" s="7">
        <f t="shared" si="39"/>
        <v>-0.35090593054311026</v>
      </c>
      <c r="L193" s="7">
        <f t="shared" si="40"/>
        <v>-0.24705531350003151</v>
      </c>
      <c r="M193" s="7">
        <f t="shared" si="41"/>
        <v>0.35090593054311026</v>
      </c>
      <c r="N193" s="7">
        <f t="shared" si="42"/>
        <v>3.3775875160230218</v>
      </c>
      <c r="O193" s="9">
        <f t="shared" si="51"/>
        <v>39.888679245283036</v>
      </c>
      <c r="P193" s="7">
        <f t="shared" si="43"/>
        <v>-0.22661060296322194</v>
      </c>
    </row>
    <row r="194" spans="1:16" x14ac:dyDescent="0.25">
      <c r="A194" t="s">
        <v>123</v>
      </c>
      <c r="B194">
        <v>2020</v>
      </c>
      <c r="C194" s="5" t="str">
        <f>'1_Du_lieu'!C226</f>
        <v>ĐBSH</v>
      </c>
      <c r="D194" s="8">
        <f>'1_Du_lieu'!E226</f>
        <v>40.700000000000003</v>
      </c>
      <c r="E194" s="5">
        <f t="shared" si="36"/>
        <v>0</v>
      </c>
      <c r="F194" s="9">
        <f t="shared" si="48"/>
        <v>41.616363636363644</v>
      </c>
      <c r="G194" s="5">
        <f t="shared" si="49"/>
        <v>55</v>
      </c>
      <c r="H194" s="8">
        <f t="shared" si="50"/>
        <v>31</v>
      </c>
      <c r="I194" s="8">
        <f t="shared" si="37"/>
        <v>1261.7</v>
      </c>
      <c r="J194" s="7">
        <f t="shared" si="38"/>
        <v>0.97798068941412897</v>
      </c>
      <c r="K194" s="7">
        <f t="shared" si="39"/>
        <v>-2.2265354117582563E-2</v>
      </c>
      <c r="L194" s="7">
        <f t="shared" si="40"/>
        <v>-2.1775086369963111E-2</v>
      </c>
      <c r="M194" s="7">
        <f t="shared" si="41"/>
        <v>2.2265354117582657E-2</v>
      </c>
      <c r="N194" s="7">
        <f t="shared" si="42"/>
        <v>3.7062280924485496</v>
      </c>
      <c r="O194" s="9">
        <f t="shared" si="51"/>
        <v>39.888679245283036</v>
      </c>
      <c r="P194" s="7">
        <f t="shared" si="43"/>
        <v>2.0545086259781114E-2</v>
      </c>
    </row>
    <row r="195" spans="1:16" x14ac:dyDescent="0.25">
      <c r="A195" t="s">
        <v>124</v>
      </c>
      <c r="B195">
        <v>2020</v>
      </c>
      <c r="C195" s="5" t="str">
        <f>'1_Du_lieu'!C227</f>
        <v>BTB&amp;DHMT</v>
      </c>
      <c r="D195" s="8">
        <f>'1_Du_lieu'!E227</f>
        <v>46.3</v>
      </c>
      <c r="E195" s="5">
        <f t="shared" si="36"/>
        <v>0</v>
      </c>
      <c r="F195" s="9">
        <f t="shared" si="48"/>
        <v>41.616363636363644</v>
      </c>
      <c r="G195" s="5">
        <f t="shared" si="49"/>
        <v>55</v>
      </c>
      <c r="H195" s="8">
        <f t="shared" si="50"/>
        <v>44</v>
      </c>
      <c r="I195" s="8">
        <f t="shared" si="37"/>
        <v>2037.1999999999998</v>
      </c>
      <c r="J195" s="7">
        <f t="shared" si="38"/>
        <v>1.1125431429944512</v>
      </c>
      <c r="K195" s="7">
        <f t="shared" si="39"/>
        <v>0.10664851452605639</v>
      </c>
      <c r="L195" s="7">
        <f t="shared" si="40"/>
        <v>0.11865107354650817</v>
      </c>
      <c r="M195" s="7">
        <f t="shared" si="41"/>
        <v>-0.10664851452605631</v>
      </c>
      <c r="N195" s="7">
        <f t="shared" si="42"/>
        <v>3.8351419610921882</v>
      </c>
      <c r="O195" s="9">
        <f t="shared" si="51"/>
        <v>39.888679245283036</v>
      </c>
      <c r="P195" s="7">
        <f t="shared" si="43"/>
        <v>0.17300616645754932</v>
      </c>
    </row>
    <row r="196" spans="1:16" x14ac:dyDescent="0.25">
      <c r="A196" t="s">
        <v>125</v>
      </c>
      <c r="B196">
        <v>2020</v>
      </c>
      <c r="C196" s="5" t="str">
        <f>'1_Du_lieu'!C228</f>
        <v>ĐBSH</v>
      </c>
      <c r="D196" s="8">
        <f>'1_Du_lieu'!E228</f>
        <v>43.2</v>
      </c>
      <c r="E196" s="5">
        <f t="shared" si="36"/>
        <v>0</v>
      </c>
      <c r="F196" s="9">
        <f t="shared" si="48"/>
        <v>41.616363636363644</v>
      </c>
      <c r="G196" s="5">
        <f t="shared" si="49"/>
        <v>55</v>
      </c>
      <c r="H196" s="8">
        <f t="shared" si="50"/>
        <v>39</v>
      </c>
      <c r="I196" s="8">
        <f t="shared" si="37"/>
        <v>1684.8000000000002</v>
      </c>
      <c r="J196" s="7">
        <f t="shared" si="38"/>
        <v>1.0380532133339158</v>
      </c>
      <c r="K196" s="7">
        <f t="shared" si="39"/>
        <v>3.7347048683932758E-2</v>
      </c>
      <c r="L196" s="7">
        <f t="shared" si="40"/>
        <v>3.8768223894894586E-2</v>
      </c>
      <c r="M196" s="7">
        <f t="shared" si="41"/>
        <v>-3.7347048683932689E-2</v>
      </c>
      <c r="N196" s="7">
        <f t="shared" si="42"/>
        <v>3.7658404952500648</v>
      </c>
      <c r="O196" s="9">
        <f t="shared" si="51"/>
        <v>39.888679245283036</v>
      </c>
      <c r="P196" s="7">
        <f t="shared" si="43"/>
        <v>8.6368139146018513E-2</v>
      </c>
    </row>
    <row r="197" spans="1:16" x14ac:dyDescent="0.25">
      <c r="A197" t="s">
        <v>126</v>
      </c>
      <c r="B197">
        <v>2020</v>
      </c>
      <c r="C197" s="5" t="str">
        <f>'1_Du_lieu'!C229</f>
        <v>BTB&amp;DHMT</v>
      </c>
      <c r="D197" s="8">
        <f>'1_Du_lieu'!E229</f>
        <v>34</v>
      </c>
      <c r="E197" s="5">
        <f t="shared" ref="E197:E260" si="52">IF(OR(A197="Hà Nội",A197="TP. Hồ Chí Minh"),1,0)</f>
        <v>0</v>
      </c>
      <c r="F197" s="9">
        <f t="shared" si="48"/>
        <v>41.616363636363644</v>
      </c>
      <c r="G197" s="5">
        <f t="shared" si="49"/>
        <v>55</v>
      </c>
      <c r="H197" s="8">
        <f t="shared" si="50"/>
        <v>14</v>
      </c>
      <c r="I197" s="8">
        <f t="shared" ref="I197:I260" si="53">H197*D197</f>
        <v>476</v>
      </c>
      <c r="J197" s="7">
        <f t="shared" ref="J197:J260" si="54">D197/F197</f>
        <v>0.81698632530910031</v>
      </c>
      <c r="K197" s="7">
        <f t="shared" ref="K197:K260" si="55">LN(J197)</f>
        <v>-0.20213292194997054</v>
      </c>
      <c r="L197" s="7">
        <f t="shared" ref="L197:L260" si="56">J197*K197</f>
        <v>-0.16513983312789762</v>
      </c>
      <c r="M197" s="7">
        <f t="shared" ref="M197:M260" si="57">LN(F197/D197)</f>
        <v>0.20213292194997065</v>
      </c>
      <c r="N197" s="7">
        <f t="shared" ref="N197:N260" si="58">LN(D197)</f>
        <v>3.5263605246161616</v>
      </c>
      <c r="O197" s="9">
        <f t="shared" si="51"/>
        <v>39.888679245283036</v>
      </c>
      <c r="P197" s="7">
        <f t="shared" ref="P197:P260" si="59">(1-E197)*(D197/O197)*LN(D197/O197)</f>
        <v>-0.13615113739213475</v>
      </c>
    </row>
    <row r="198" spans="1:16" x14ac:dyDescent="0.25">
      <c r="A198" t="s">
        <v>127</v>
      </c>
      <c r="B198">
        <v>2020</v>
      </c>
      <c r="C198" s="5" t="str">
        <f>'1_Du_lieu'!C230</f>
        <v>TDMNPB</v>
      </c>
      <c r="D198" s="8">
        <f>'1_Du_lieu'!E230</f>
        <v>39.4</v>
      </c>
      <c r="E198" s="5">
        <f t="shared" si="52"/>
        <v>0</v>
      </c>
      <c r="F198" s="9">
        <f t="shared" si="48"/>
        <v>41.616363636363644</v>
      </c>
      <c r="G198" s="5">
        <f t="shared" si="49"/>
        <v>55</v>
      </c>
      <c r="H198" s="8">
        <f t="shared" si="50"/>
        <v>26.5</v>
      </c>
      <c r="I198" s="8">
        <f t="shared" si="53"/>
        <v>1044.0999999999999</v>
      </c>
      <c r="J198" s="7">
        <f t="shared" si="54"/>
        <v>0.94674297697583976</v>
      </c>
      <c r="K198" s="7">
        <f t="shared" si="55"/>
        <v>-5.4727630262243816E-2</v>
      </c>
      <c r="L198" s="7">
        <f t="shared" si="56"/>
        <v>-5.181299959730977E-2</v>
      </c>
      <c r="M198" s="7">
        <f t="shared" si="57"/>
        <v>5.4727630262243809E-2</v>
      </c>
      <c r="N198" s="7">
        <f t="shared" si="58"/>
        <v>3.673765816303888</v>
      </c>
      <c r="O198" s="9">
        <f t="shared" si="51"/>
        <v>39.888679245283036</v>
      </c>
      <c r="P198" s="7">
        <f t="shared" si="59"/>
        <v>-1.2175723325646754E-2</v>
      </c>
    </row>
    <row r="199" spans="1:16" x14ac:dyDescent="0.25">
      <c r="A199" t="s">
        <v>128</v>
      </c>
      <c r="B199">
        <v>2020</v>
      </c>
      <c r="C199" s="5" t="str">
        <f>'1_Du_lieu'!C231</f>
        <v>BTB&amp;DHMT</v>
      </c>
      <c r="D199" s="8">
        <f>'1_Du_lieu'!E231</f>
        <v>35.5</v>
      </c>
      <c r="E199" s="5">
        <f t="shared" si="52"/>
        <v>0</v>
      </c>
      <c r="F199" s="9">
        <f t="shared" ref="F199:F221" si="60">AVERAGE($D$167:$D$221)</f>
        <v>41.616363636363644</v>
      </c>
      <c r="G199" s="5">
        <f t="shared" ref="G199:G221" si="61">COUNT($D$167:$D$221)</f>
        <v>55</v>
      </c>
      <c r="H199" s="8">
        <f t="shared" ref="H199:H221" si="62">_xlfn.RANK.AVG(D199,$D$167:$D$221,1)</f>
        <v>17</v>
      </c>
      <c r="I199" s="8">
        <f t="shared" si="53"/>
        <v>603.5</v>
      </c>
      <c r="J199" s="7">
        <f t="shared" si="54"/>
        <v>0.85302983966097234</v>
      </c>
      <c r="K199" s="7">
        <f t="shared" si="55"/>
        <v>-0.15896075008476188</v>
      </c>
      <c r="L199" s="7">
        <f t="shared" si="56"/>
        <v>-0.13559826315719231</v>
      </c>
      <c r="M199" s="7">
        <f t="shared" si="57"/>
        <v>0.15896075008476193</v>
      </c>
      <c r="N199" s="7">
        <f t="shared" si="58"/>
        <v>3.5695326964813701</v>
      </c>
      <c r="O199" s="9">
        <f t="shared" ref="O199:O221" si="63">SUMPRODUCT((1-$E$167:$E$221)*$D$167:$D$221)/(G199-SUM($E$167:$E$221))</f>
        <v>39.888679245283036</v>
      </c>
      <c r="P199" s="7">
        <f t="shared" si="59"/>
        <v>-0.10373557289036935</v>
      </c>
    </row>
    <row r="200" spans="1:16" x14ac:dyDescent="0.25">
      <c r="A200" t="s">
        <v>129</v>
      </c>
      <c r="B200">
        <v>2020</v>
      </c>
      <c r="C200" s="5" t="str">
        <f>'1_Du_lieu'!C232</f>
        <v>BTB&amp;DHMT</v>
      </c>
      <c r="D200" s="8">
        <f>'1_Du_lieu'!E232</f>
        <v>32.4</v>
      </c>
      <c r="E200" s="5">
        <f t="shared" si="52"/>
        <v>0</v>
      </c>
      <c r="F200" s="9">
        <f t="shared" si="60"/>
        <v>41.616363636363644</v>
      </c>
      <c r="G200" s="5">
        <f t="shared" si="61"/>
        <v>55</v>
      </c>
      <c r="H200" s="8">
        <f t="shared" si="62"/>
        <v>11.5</v>
      </c>
      <c r="I200" s="8">
        <f t="shared" si="53"/>
        <v>372.59999999999997</v>
      </c>
      <c r="J200" s="7">
        <f t="shared" si="54"/>
        <v>0.77853991000043676</v>
      </c>
      <c r="K200" s="7">
        <f t="shared" si="55"/>
        <v>-0.25033502376784822</v>
      </c>
      <c r="L200" s="7">
        <f t="shared" si="56"/>
        <v>-0.19489580687417776</v>
      </c>
      <c r="M200" s="7">
        <f t="shared" si="57"/>
        <v>0.25033502376784822</v>
      </c>
      <c r="N200" s="7">
        <f t="shared" si="58"/>
        <v>3.4781584227982836</v>
      </c>
      <c r="O200" s="9">
        <f t="shared" si="63"/>
        <v>39.888679245283036</v>
      </c>
      <c r="P200" s="7">
        <f t="shared" si="59"/>
        <v>-0.16889669012239247</v>
      </c>
    </row>
    <row r="201" spans="1:16" x14ac:dyDescent="0.25">
      <c r="A201" t="s">
        <v>130</v>
      </c>
      <c r="B201">
        <v>2020</v>
      </c>
      <c r="C201" s="5" t="str">
        <f>'1_Du_lieu'!C233</f>
        <v>BTB&amp;DHMT</v>
      </c>
      <c r="D201" s="8">
        <f>'1_Du_lieu'!E233</f>
        <v>39.799999999999997</v>
      </c>
      <c r="E201" s="5">
        <f t="shared" si="52"/>
        <v>0</v>
      </c>
      <c r="F201" s="9">
        <f t="shared" si="60"/>
        <v>41.616363636363644</v>
      </c>
      <c r="G201" s="5">
        <f t="shared" si="61"/>
        <v>55</v>
      </c>
      <c r="H201" s="8">
        <f t="shared" si="62"/>
        <v>28.5</v>
      </c>
      <c r="I201" s="8">
        <f t="shared" si="53"/>
        <v>1134.3</v>
      </c>
      <c r="J201" s="7">
        <f t="shared" si="54"/>
        <v>0.95635458080300562</v>
      </c>
      <c r="K201" s="7">
        <f t="shared" si="55"/>
        <v>-4.4626534275739954E-2</v>
      </c>
      <c r="L201" s="7">
        <f t="shared" si="56"/>
        <v>-4.2678790479966248E-2</v>
      </c>
      <c r="M201" s="7">
        <f t="shared" si="57"/>
        <v>4.4626534275740086E-2</v>
      </c>
      <c r="N201" s="7">
        <f t="shared" si="58"/>
        <v>3.6838669122903918</v>
      </c>
      <c r="O201" s="9">
        <f t="shared" si="63"/>
        <v>39.888679245283036</v>
      </c>
      <c r="P201" s="7">
        <f t="shared" si="59"/>
        <v>-2.2206951793643207E-3</v>
      </c>
    </row>
    <row r="202" spans="1:16" x14ac:dyDescent="0.25">
      <c r="A202" t="s">
        <v>131</v>
      </c>
      <c r="B202">
        <v>2020</v>
      </c>
      <c r="C202" s="5" t="str">
        <f>'1_Du_lieu'!C234</f>
        <v>BTB&amp;DHMT</v>
      </c>
      <c r="D202" s="8">
        <f>'1_Du_lieu'!E234</f>
        <v>35</v>
      </c>
      <c r="E202" s="5">
        <f t="shared" si="52"/>
        <v>0</v>
      </c>
      <c r="F202" s="9">
        <f t="shared" si="60"/>
        <v>41.616363636363644</v>
      </c>
      <c r="G202" s="5">
        <f t="shared" si="61"/>
        <v>55</v>
      </c>
      <c r="H202" s="8">
        <f t="shared" si="62"/>
        <v>16</v>
      </c>
      <c r="I202" s="8">
        <f t="shared" si="53"/>
        <v>560</v>
      </c>
      <c r="J202" s="7">
        <f t="shared" si="54"/>
        <v>0.84101533487701496</v>
      </c>
      <c r="K202" s="7">
        <f t="shared" si="55"/>
        <v>-0.17314538507671834</v>
      </c>
      <c r="L202" s="7">
        <f t="shared" si="56"/>
        <v>-0.14561792401270598</v>
      </c>
      <c r="M202" s="7">
        <f t="shared" si="57"/>
        <v>0.17314538507671834</v>
      </c>
      <c r="N202" s="7">
        <f t="shared" si="58"/>
        <v>3.5553480614894135</v>
      </c>
      <c r="O202" s="9">
        <f t="shared" si="63"/>
        <v>39.888679245283036</v>
      </c>
      <c r="P202" s="7">
        <f t="shared" si="59"/>
        <v>-0.114720702093074</v>
      </c>
    </row>
    <row r="203" spans="1:16" x14ac:dyDescent="0.25">
      <c r="A203" t="s">
        <v>132</v>
      </c>
      <c r="B203">
        <v>2020</v>
      </c>
      <c r="C203" s="5" t="str">
        <f>'1_Du_lieu'!C235</f>
        <v>ĐBSH</v>
      </c>
      <c r="D203" s="8">
        <f>'1_Du_lieu'!E235</f>
        <v>49.3</v>
      </c>
      <c r="E203" s="5">
        <f t="shared" si="52"/>
        <v>0</v>
      </c>
      <c r="F203" s="9">
        <f t="shared" si="60"/>
        <v>41.616363636363644</v>
      </c>
      <c r="G203" s="5">
        <f t="shared" si="61"/>
        <v>55</v>
      </c>
      <c r="H203" s="8">
        <f t="shared" si="62"/>
        <v>48</v>
      </c>
      <c r="I203" s="8">
        <f t="shared" si="53"/>
        <v>2366.3999999999996</v>
      </c>
      <c r="J203" s="7">
        <f t="shared" si="54"/>
        <v>1.1846301716981953</v>
      </c>
      <c r="K203" s="7">
        <f t="shared" si="55"/>
        <v>0.16943063448251236</v>
      </c>
      <c r="L203" s="7">
        <f t="shared" si="56"/>
        <v>0.2007126416179528</v>
      </c>
      <c r="M203" s="7">
        <f t="shared" si="57"/>
        <v>-0.16943063448251247</v>
      </c>
      <c r="N203" s="7">
        <f t="shared" si="58"/>
        <v>3.8979240810486444</v>
      </c>
      <c r="O203" s="9">
        <f t="shared" si="63"/>
        <v>39.888679245283036</v>
      </c>
      <c r="P203" s="7">
        <f t="shared" si="59"/>
        <v>0.26181098019932919</v>
      </c>
    </row>
    <row r="204" spans="1:16" x14ac:dyDescent="0.25">
      <c r="A204" t="s">
        <v>133</v>
      </c>
      <c r="B204">
        <v>2020</v>
      </c>
      <c r="C204" s="5" t="str">
        <f>'1_Du_lieu'!C236</f>
        <v>BTB&amp;DHMT</v>
      </c>
      <c r="D204" s="8">
        <f>'1_Du_lieu'!E236</f>
        <v>31.2</v>
      </c>
      <c r="E204" s="5">
        <f t="shared" si="52"/>
        <v>0</v>
      </c>
      <c r="F204" s="9">
        <f t="shared" si="60"/>
        <v>41.616363636363644</v>
      </c>
      <c r="G204" s="5">
        <f t="shared" si="61"/>
        <v>55</v>
      </c>
      <c r="H204" s="8">
        <f t="shared" si="62"/>
        <v>7</v>
      </c>
      <c r="I204" s="8">
        <f t="shared" si="53"/>
        <v>218.4</v>
      </c>
      <c r="J204" s="7">
        <f t="shared" si="54"/>
        <v>0.74970509851893907</v>
      </c>
      <c r="K204" s="7">
        <f t="shared" si="55"/>
        <v>-0.28807535175069532</v>
      </c>
      <c r="L204" s="7">
        <f t="shared" si="56"/>
        <v>-0.21597155996513306</v>
      </c>
      <c r="M204" s="7">
        <f t="shared" si="57"/>
        <v>0.28807535175069537</v>
      </c>
      <c r="N204" s="7">
        <f t="shared" si="58"/>
        <v>3.4404180948154366</v>
      </c>
      <c r="O204" s="9">
        <f t="shared" si="63"/>
        <v>39.888679245283036</v>
      </c>
      <c r="P204" s="7">
        <f t="shared" si="59"/>
        <v>-0.19216086661160897</v>
      </c>
    </row>
    <row r="205" spans="1:16" x14ac:dyDescent="0.25">
      <c r="A205" t="s">
        <v>136</v>
      </c>
      <c r="B205">
        <v>2020</v>
      </c>
      <c r="C205" s="5" t="str">
        <f>'1_Du_lieu'!C239</f>
        <v>ĐNB</v>
      </c>
      <c r="D205" s="8">
        <f>'1_Du_lieu'!E239</f>
        <v>89.1</v>
      </c>
      <c r="E205" s="5">
        <f t="shared" si="52"/>
        <v>1</v>
      </c>
      <c r="F205" s="9">
        <f t="shared" si="60"/>
        <v>41.616363636363644</v>
      </c>
      <c r="G205" s="5">
        <f t="shared" si="61"/>
        <v>55</v>
      </c>
      <c r="H205" s="8">
        <f t="shared" si="62"/>
        <v>55</v>
      </c>
      <c r="I205" s="8">
        <f t="shared" si="53"/>
        <v>4900.5</v>
      </c>
      <c r="J205" s="7">
        <f t="shared" si="54"/>
        <v>2.1409847525012009</v>
      </c>
      <c r="K205" s="7">
        <f t="shared" si="55"/>
        <v>0.76126588791063154</v>
      </c>
      <c r="L205" s="7">
        <f t="shared" si="56"/>
        <v>1.6298586586159505</v>
      </c>
      <c r="M205" s="7">
        <f t="shared" si="57"/>
        <v>-0.76126588791063154</v>
      </c>
      <c r="N205" s="7">
        <f t="shared" si="58"/>
        <v>4.4897593344767639</v>
      </c>
      <c r="O205" s="9">
        <f t="shared" si="63"/>
        <v>39.888679245283036</v>
      </c>
      <c r="P205" s="7">
        <f t="shared" si="59"/>
        <v>0</v>
      </c>
    </row>
    <row r="206" spans="1:16" x14ac:dyDescent="0.25">
      <c r="A206" t="s">
        <v>137</v>
      </c>
      <c r="B206">
        <v>2020</v>
      </c>
      <c r="C206" s="5" t="str">
        <f>'1_Du_lieu'!C240</f>
        <v>BTB&amp;DHMT</v>
      </c>
      <c r="D206" s="8">
        <f>'1_Du_lieu'!E240</f>
        <v>42.7</v>
      </c>
      <c r="E206" s="5">
        <f t="shared" si="52"/>
        <v>0</v>
      </c>
      <c r="F206" s="9">
        <f t="shared" si="60"/>
        <v>41.616363636363644</v>
      </c>
      <c r="G206" s="5">
        <f t="shared" si="61"/>
        <v>55</v>
      </c>
      <c r="H206" s="8">
        <f t="shared" si="62"/>
        <v>37</v>
      </c>
      <c r="I206" s="8">
        <f t="shared" si="53"/>
        <v>1579.9</v>
      </c>
      <c r="J206" s="7">
        <f t="shared" si="54"/>
        <v>1.0260387085499583</v>
      </c>
      <c r="K206" s="7">
        <f t="shared" si="55"/>
        <v>2.5705473668446874E-2</v>
      </c>
      <c r="L206" s="7">
        <f t="shared" si="56"/>
        <v>2.637481100543819E-2</v>
      </c>
      <c r="M206" s="7">
        <f t="shared" si="57"/>
        <v>-2.5705473668446957E-2</v>
      </c>
      <c r="N206" s="7">
        <f t="shared" si="58"/>
        <v>3.7541989202345789</v>
      </c>
      <c r="O206" s="9">
        <f t="shared" si="63"/>
        <v>39.888679245283036</v>
      </c>
      <c r="P206" s="7">
        <f t="shared" si="59"/>
        <v>7.2906444419054237E-2</v>
      </c>
    </row>
    <row r="207" spans="1:16" x14ac:dyDescent="0.25">
      <c r="A207" t="s">
        <v>138</v>
      </c>
      <c r="B207">
        <v>2020</v>
      </c>
      <c r="C207" s="5" t="str">
        <f>'1_Du_lieu'!C241</f>
        <v>ĐBSH</v>
      </c>
      <c r="D207" s="8">
        <f>'1_Du_lieu'!E241</f>
        <v>38.5</v>
      </c>
      <c r="E207" s="5">
        <f t="shared" si="52"/>
        <v>0</v>
      </c>
      <c r="F207" s="9">
        <f t="shared" si="60"/>
        <v>41.616363636363644</v>
      </c>
      <c r="G207" s="5">
        <f t="shared" si="61"/>
        <v>55</v>
      </c>
      <c r="H207" s="8">
        <f t="shared" si="62"/>
        <v>23</v>
      </c>
      <c r="I207" s="8">
        <f t="shared" si="53"/>
        <v>885.5</v>
      </c>
      <c r="J207" s="7">
        <f t="shared" si="54"/>
        <v>0.92511686836471652</v>
      </c>
      <c r="K207" s="7">
        <f t="shared" si="55"/>
        <v>-7.7835205272393404E-2</v>
      </c>
      <c r="L207" s="7">
        <f t="shared" si="56"/>
        <v>-7.2006661350121459E-2</v>
      </c>
      <c r="M207" s="7">
        <f t="shared" si="57"/>
        <v>7.7835205272393446E-2</v>
      </c>
      <c r="N207" s="7">
        <f t="shared" si="58"/>
        <v>3.6506582412937387</v>
      </c>
      <c r="O207" s="9">
        <f t="shared" si="63"/>
        <v>39.888679245283036</v>
      </c>
      <c r="P207" s="7">
        <f t="shared" si="59"/>
        <v>-3.4200708591712717E-2</v>
      </c>
    </row>
    <row r="208" spans="1:16" x14ac:dyDescent="0.25">
      <c r="A208" t="s">
        <v>139</v>
      </c>
      <c r="B208">
        <v>2020</v>
      </c>
      <c r="C208" s="5" t="str">
        <f>'1_Du_lieu'!C242</f>
        <v>TDMNPB</v>
      </c>
      <c r="D208" s="8">
        <f>'1_Du_lieu'!E242</f>
        <v>39.799999999999997</v>
      </c>
      <c r="E208" s="5">
        <f t="shared" si="52"/>
        <v>0</v>
      </c>
      <c r="F208" s="9">
        <f t="shared" si="60"/>
        <v>41.616363636363644</v>
      </c>
      <c r="G208" s="5">
        <f t="shared" si="61"/>
        <v>55</v>
      </c>
      <c r="H208" s="8">
        <f t="shared" si="62"/>
        <v>28.5</v>
      </c>
      <c r="I208" s="8">
        <f t="shared" si="53"/>
        <v>1134.3</v>
      </c>
      <c r="J208" s="7">
        <f t="shared" si="54"/>
        <v>0.95635458080300562</v>
      </c>
      <c r="K208" s="7">
        <f t="shared" si="55"/>
        <v>-4.4626534275739954E-2</v>
      </c>
      <c r="L208" s="7">
        <f t="shared" si="56"/>
        <v>-4.2678790479966248E-2</v>
      </c>
      <c r="M208" s="7">
        <f t="shared" si="57"/>
        <v>4.4626534275740086E-2</v>
      </c>
      <c r="N208" s="7">
        <f t="shared" si="58"/>
        <v>3.6838669122903918</v>
      </c>
      <c r="O208" s="9">
        <f t="shared" si="63"/>
        <v>39.888679245283036</v>
      </c>
      <c r="P208" s="7">
        <f t="shared" si="59"/>
        <v>-2.2206951793643207E-3</v>
      </c>
    </row>
    <row r="209" spans="1:16" x14ac:dyDescent="0.25">
      <c r="A209" t="s">
        <v>140</v>
      </c>
      <c r="B209">
        <v>2020</v>
      </c>
      <c r="C209" s="5" t="str">
        <f>'1_Du_lieu'!C243</f>
        <v>BTB&amp;DHMT</v>
      </c>
      <c r="D209" s="8">
        <f>'1_Du_lieu'!E243</f>
        <v>41.2</v>
      </c>
      <c r="E209" s="5">
        <f t="shared" si="52"/>
        <v>0</v>
      </c>
      <c r="F209" s="9">
        <f t="shared" si="60"/>
        <v>41.616363636363644</v>
      </c>
      <c r="G209" s="5">
        <f t="shared" si="61"/>
        <v>55</v>
      </c>
      <c r="H209" s="8">
        <f t="shared" si="62"/>
        <v>33</v>
      </c>
      <c r="I209" s="8">
        <f t="shared" si="53"/>
        <v>1359.6000000000001</v>
      </c>
      <c r="J209" s="7">
        <f t="shared" si="54"/>
        <v>0.98999519419808635</v>
      </c>
      <c r="K209" s="7">
        <f t="shared" si="55"/>
        <v>-1.0055190210651139E-2</v>
      </c>
      <c r="L209" s="7">
        <f t="shared" si="56"/>
        <v>-9.9545899852922712E-3</v>
      </c>
      <c r="M209" s="7">
        <f t="shared" si="57"/>
        <v>1.0055190210651143E-2</v>
      </c>
      <c r="N209" s="7">
        <f t="shared" si="58"/>
        <v>3.7184382563554808</v>
      </c>
      <c r="O209" s="9">
        <f t="shared" si="63"/>
        <v>39.888679245283036</v>
      </c>
      <c r="P209" s="7">
        <f t="shared" si="59"/>
        <v>3.3409049950081759E-2</v>
      </c>
    </row>
    <row r="210" spans="1:16" x14ac:dyDescent="0.25">
      <c r="A210" t="s">
        <v>141</v>
      </c>
      <c r="B210">
        <v>2020</v>
      </c>
      <c r="C210" s="5" t="str">
        <f>'1_Du_lieu'!C244</f>
        <v>ĐBSCL</v>
      </c>
      <c r="D210" s="8">
        <f>'1_Du_lieu'!E244</f>
        <v>40</v>
      </c>
      <c r="E210" s="5">
        <f t="shared" si="52"/>
        <v>0</v>
      </c>
      <c r="F210" s="9">
        <f t="shared" si="60"/>
        <v>41.616363636363644</v>
      </c>
      <c r="G210" s="5">
        <f t="shared" si="61"/>
        <v>55</v>
      </c>
      <c r="H210" s="8">
        <f t="shared" si="62"/>
        <v>30</v>
      </c>
      <c r="I210" s="8">
        <f t="shared" si="53"/>
        <v>1200</v>
      </c>
      <c r="J210" s="7">
        <f t="shared" si="54"/>
        <v>0.96116038271658855</v>
      </c>
      <c r="K210" s="7">
        <f t="shared" si="55"/>
        <v>-3.9613992452195691E-2</v>
      </c>
      <c r="L210" s="7">
        <f t="shared" si="56"/>
        <v>-3.8075400146284459E-2</v>
      </c>
      <c r="M210" s="7">
        <f t="shared" si="57"/>
        <v>3.9613992452195615E-2</v>
      </c>
      <c r="N210" s="7">
        <f t="shared" si="58"/>
        <v>3.6888794541139363</v>
      </c>
      <c r="O210" s="9">
        <f t="shared" si="63"/>
        <v>39.888679245283036</v>
      </c>
      <c r="P210" s="7">
        <f t="shared" si="59"/>
        <v>2.7946763018490231E-3</v>
      </c>
    </row>
    <row r="211" spans="1:16" x14ac:dyDescent="0.25">
      <c r="A211" t="s">
        <v>142</v>
      </c>
      <c r="B211">
        <v>2020</v>
      </c>
      <c r="C211" s="5" t="str">
        <f>'1_Du_lieu'!C245</f>
        <v>ĐBSCL</v>
      </c>
      <c r="D211" s="8">
        <f>'1_Du_lieu'!E245</f>
        <v>31.4</v>
      </c>
      <c r="E211" s="5">
        <f t="shared" si="52"/>
        <v>0</v>
      </c>
      <c r="F211" s="9">
        <f t="shared" si="60"/>
        <v>41.616363636363644</v>
      </c>
      <c r="G211" s="5">
        <f t="shared" si="61"/>
        <v>55</v>
      </c>
      <c r="H211" s="8">
        <f t="shared" si="62"/>
        <v>8</v>
      </c>
      <c r="I211" s="8">
        <f t="shared" si="53"/>
        <v>251.2</v>
      </c>
      <c r="J211" s="7">
        <f t="shared" si="54"/>
        <v>0.754510900432522</v>
      </c>
      <c r="K211" s="7">
        <f t="shared" si="55"/>
        <v>-0.28168555365192433</v>
      </c>
      <c r="L211" s="7">
        <f t="shared" si="56"/>
        <v>-0.21253482072474691</v>
      </c>
      <c r="M211" s="7">
        <f t="shared" si="57"/>
        <v>0.28168555365192427</v>
      </c>
      <c r="N211" s="7">
        <f t="shared" si="58"/>
        <v>3.4468078929142076</v>
      </c>
      <c r="O211" s="9">
        <f t="shared" si="63"/>
        <v>39.888679245283036</v>
      </c>
      <c r="P211" s="7">
        <f t="shared" si="59"/>
        <v>-0.18836267697381537</v>
      </c>
    </row>
    <row r="212" spans="1:16" x14ac:dyDescent="0.25">
      <c r="A212" t="s">
        <v>143</v>
      </c>
      <c r="B212">
        <v>2020</v>
      </c>
      <c r="C212" s="5" t="str">
        <f>'1_Du_lieu'!C246</f>
        <v>TDMNPB</v>
      </c>
      <c r="D212" s="8">
        <f>'1_Du_lieu'!E246</f>
        <v>29.4</v>
      </c>
      <c r="E212" s="5">
        <f t="shared" si="52"/>
        <v>0</v>
      </c>
      <c r="F212" s="9">
        <f t="shared" si="60"/>
        <v>41.616363636363644</v>
      </c>
      <c r="G212" s="5">
        <f t="shared" si="61"/>
        <v>55</v>
      </c>
      <c r="H212" s="8">
        <f t="shared" si="62"/>
        <v>4</v>
      </c>
      <c r="I212" s="8">
        <f t="shared" si="53"/>
        <v>117.6</v>
      </c>
      <c r="J212" s="7">
        <f t="shared" si="54"/>
        <v>0.70645288129669259</v>
      </c>
      <c r="K212" s="7">
        <f t="shared" si="55"/>
        <v>-0.34749877222149606</v>
      </c>
      <c r="L212" s="7">
        <f t="shared" si="56"/>
        <v>-0.24549150888293897</v>
      </c>
      <c r="M212" s="7">
        <f t="shared" si="57"/>
        <v>0.34749877222149606</v>
      </c>
      <c r="N212" s="7">
        <f t="shared" si="58"/>
        <v>3.380994674344636</v>
      </c>
      <c r="O212" s="9">
        <f t="shared" si="63"/>
        <v>39.888679245283036</v>
      </c>
      <c r="P212" s="7">
        <f t="shared" si="59"/>
        <v>-0.22487276776726056</v>
      </c>
    </row>
    <row r="213" spans="1:16" x14ac:dyDescent="0.25">
      <c r="A213" t="s">
        <v>144</v>
      </c>
      <c r="B213">
        <v>2020</v>
      </c>
      <c r="C213" s="5" t="str">
        <f>'1_Du_lieu'!C247</f>
        <v>ĐNB</v>
      </c>
      <c r="D213" s="8">
        <f>'1_Du_lieu'!E247</f>
        <v>39.4</v>
      </c>
      <c r="E213" s="5">
        <f t="shared" si="52"/>
        <v>0</v>
      </c>
      <c r="F213" s="9">
        <f t="shared" si="60"/>
        <v>41.616363636363644</v>
      </c>
      <c r="G213" s="5">
        <f t="shared" si="61"/>
        <v>55</v>
      </c>
      <c r="H213" s="8">
        <f t="shared" si="62"/>
        <v>26.5</v>
      </c>
      <c r="I213" s="8">
        <f t="shared" si="53"/>
        <v>1044.0999999999999</v>
      </c>
      <c r="J213" s="7">
        <f t="shared" si="54"/>
        <v>0.94674297697583976</v>
      </c>
      <c r="K213" s="7">
        <f t="shared" si="55"/>
        <v>-5.4727630262243816E-2</v>
      </c>
      <c r="L213" s="7">
        <f t="shared" si="56"/>
        <v>-5.181299959730977E-2</v>
      </c>
      <c r="M213" s="7">
        <f t="shared" si="57"/>
        <v>5.4727630262243809E-2</v>
      </c>
      <c r="N213" s="7">
        <f t="shared" si="58"/>
        <v>3.673765816303888</v>
      </c>
      <c r="O213" s="9">
        <f t="shared" si="63"/>
        <v>39.888679245283036</v>
      </c>
      <c r="P213" s="7">
        <f t="shared" si="59"/>
        <v>-1.2175723325646754E-2</v>
      </c>
    </row>
    <row r="214" spans="1:16" x14ac:dyDescent="0.25">
      <c r="A214" t="s">
        <v>145</v>
      </c>
      <c r="B214">
        <v>2020</v>
      </c>
      <c r="C214" s="5" t="str">
        <f>'1_Du_lieu'!C248</f>
        <v>ĐBSCL</v>
      </c>
      <c r="D214" s="8">
        <f>'1_Du_lieu'!E248</f>
        <v>31.9</v>
      </c>
      <c r="E214" s="5">
        <f t="shared" si="52"/>
        <v>0</v>
      </c>
      <c r="F214" s="9">
        <f t="shared" si="60"/>
        <v>41.616363636363644</v>
      </c>
      <c r="G214" s="5">
        <f t="shared" si="61"/>
        <v>55</v>
      </c>
      <c r="H214" s="8">
        <f t="shared" si="62"/>
        <v>9</v>
      </c>
      <c r="I214" s="8">
        <f t="shared" si="53"/>
        <v>287.09999999999997</v>
      </c>
      <c r="J214" s="7">
        <f t="shared" si="54"/>
        <v>0.76652540521647938</v>
      </c>
      <c r="K214" s="7">
        <f t="shared" si="55"/>
        <v>-0.26588743677533311</v>
      </c>
      <c r="L214" s="7">
        <f t="shared" si="56"/>
        <v>-0.20380947521618326</v>
      </c>
      <c r="M214" s="7">
        <f t="shared" si="57"/>
        <v>0.26588743677533316</v>
      </c>
      <c r="N214" s="7">
        <f t="shared" si="58"/>
        <v>3.4626060097907989</v>
      </c>
      <c r="O214" s="9">
        <f t="shared" si="63"/>
        <v>39.888679245283036</v>
      </c>
      <c r="P214" s="7">
        <f t="shared" si="59"/>
        <v>-0.17872792334528234</v>
      </c>
    </row>
    <row r="215" spans="1:16" x14ac:dyDescent="0.25">
      <c r="A215" t="s">
        <v>146</v>
      </c>
      <c r="B215">
        <v>2020</v>
      </c>
      <c r="C215" s="5" t="str">
        <f>'1_Du_lieu'!C249</f>
        <v>ĐBSH</v>
      </c>
      <c r="D215" s="8">
        <f>'1_Du_lieu'!E249</f>
        <v>44.2</v>
      </c>
      <c r="E215" s="5">
        <f t="shared" si="52"/>
        <v>0</v>
      </c>
      <c r="F215" s="9">
        <f t="shared" si="60"/>
        <v>41.616363636363644</v>
      </c>
      <c r="G215" s="5">
        <f t="shared" si="61"/>
        <v>55</v>
      </c>
      <c r="H215" s="8">
        <f t="shared" si="62"/>
        <v>43</v>
      </c>
      <c r="I215" s="8">
        <f t="shared" si="53"/>
        <v>1900.6000000000001</v>
      </c>
      <c r="J215" s="7">
        <f t="shared" si="54"/>
        <v>1.0620822229018305</v>
      </c>
      <c r="K215" s="7">
        <f t="shared" si="55"/>
        <v>6.0231342517520617E-2</v>
      </c>
      <c r="L215" s="7">
        <f t="shared" si="56"/>
        <v>6.3970638149369832E-2</v>
      </c>
      <c r="M215" s="7">
        <f t="shared" si="57"/>
        <v>-6.023134251752052E-2</v>
      </c>
      <c r="N215" s="7">
        <f t="shared" si="58"/>
        <v>3.7887247890836524</v>
      </c>
      <c r="O215" s="9">
        <f t="shared" si="63"/>
        <v>39.888679245283036</v>
      </c>
      <c r="P215" s="7">
        <f t="shared" si="59"/>
        <v>0.1137251173135702</v>
      </c>
    </row>
    <row r="216" spans="1:16" x14ac:dyDescent="0.25">
      <c r="A216" t="s">
        <v>147</v>
      </c>
      <c r="B216">
        <v>2020</v>
      </c>
      <c r="C216" s="5" t="str">
        <f>'1_Du_lieu'!C250</f>
        <v>TDMNPB</v>
      </c>
      <c r="D216" s="8">
        <f>'1_Du_lieu'!E250</f>
        <v>34.299999999999997</v>
      </c>
      <c r="E216" s="5">
        <f t="shared" si="52"/>
        <v>0</v>
      </c>
      <c r="F216" s="9">
        <f t="shared" si="60"/>
        <v>41.616363636363644</v>
      </c>
      <c r="G216" s="5">
        <f t="shared" si="61"/>
        <v>55</v>
      </c>
      <c r="H216" s="8">
        <f t="shared" si="62"/>
        <v>15</v>
      </c>
      <c r="I216" s="8">
        <f t="shared" si="53"/>
        <v>514.5</v>
      </c>
      <c r="J216" s="7">
        <f t="shared" si="54"/>
        <v>0.82419502817947465</v>
      </c>
      <c r="K216" s="7">
        <f t="shared" si="55"/>
        <v>-0.19334809239423778</v>
      </c>
      <c r="L216" s="7">
        <f t="shared" si="56"/>
        <v>-0.15935653645931647</v>
      </c>
      <c r="M216" s="7">
        <f t="shared" si="57"/>
        <v>0.19334809239423778</v>
      </c>
      <c r="N216" s="7">
        <f t="shared" si="58"/>
        <v>3.535145354171894</v>
      </c>
      <c r="O216" s="9">
        <f t="shared" si="63"/>
        <v>39.888679245283036</v>
      </c>
      <c r="P216" s="7">
        <f t="shared" si="59"/>
        <v>-0.1297984566489698</v>
      </c>
    </row>
    <row r="217" spans="1:16" x14ac:dyDescent="0.25">
      <c r="A217" t="s">
        <v>149</v>
      </c>
      <c r="B217">
        <v>2020</v>
      </c>
      <c r="C217" s="5" t="str">
        <f>'1_Du_lieu'!C252</f>
        <v>BTB&amp;DHMT</v>
      </c>
      <c r="D217" s="8">
        <f>'1_Du_lieu'!E252</f>
        <v>58.4</v>
      </c>
      <c r="E217" s="5">
        <f t="shared" si="52"/>
        <v>0</v>
      </c>
      <c r="F217" s="9">
        <f t="shared" si="60"/>
        <v>41.616363636363644</v>
      </c>
      <c r="G217" s="5">
        <f t="shared" si="61"/>
        <v>55</v>
      </c>
      <c r="H217" s="8">
        <f t="shared" si="62"/>
        <v>52</v>
      </c>
      <c r="I217" s="8">
        <f t="shared" si="53"/>
        <v>3036.7999999999997</v>
      </c>
      <c r="J217" s="7">
        <f t="shared" si="54"/>
        <v>1.4032941587662193</v>
      </c>
      <c r="K217" s="7">
        <f t="shared" si="55"/>
        <v>0.33882244326804939</v>
      </c>
      <c r="L217" s="7">
        <f t="shared" si="56"/>
        <v>0.47546755549695247</v>
      </c>
      <c r="M217" s="7">
        <f t="shared" si="57"/>
        <v>-0.33882244326804933</v>
      </c>
      <c r="N217" s="7">
        <f t="shared" si="58"/>
        <v>4.0673158898341812</v>
      </c>
      <c r="O217" s="9">
        <f t="shared" si="63"/>
        <v>39.888679245283036</v>
      </c>
      <c r="P217" s="7">
        <f t="shared" si="59"/>
        <v>0.55813938062963953</v>
      </c>
    </row>
    <row r="218" spans="1:16" x14ac:dyDescent="0.25">
      <c r="A218" t="s">
        <v>150</v>
      </c>
      <c r="B218">
        <v>2020</v>
      </c>
      <c r="C218" s="5" t="str">
        <f>'1_Du_lieu'!C253</f>
        <v>TN</v>
      </c>
      <c r="D218" s="8">
        <f>'1_Du_lieu'!E253</f>
        <v>36.200000000000003</v>
      </c>
      <c r="E218" s="5">
        <f t="shared" si="52"/>
        <v>0</v>
      </c>
      <c r="F218" s="9">
        <f t="shared" si="60"/>
        <v>41.616363636363644</v>
      </c>
      <c r="G218" s="5">
        <f t="shared" si="61"/>
        <v>55</v>
      </c>
      <c r="H218" s="8">
        <f t="shared" si="62"/>
        <v>19.5</v>
      </c>
      <c r="I218" s="8">
        <f t="shared" si="53"/>
        <v>705.90000000000009</v>
      </c>
      <c r="J218" s="7">
        <f t="shared" si="54"/>
        <v>0.86985014635851277</v>
      </c>
      <c r="K218" s="7">
        <f t="shared" si="55"/>
        <v>-0.13943432773440648</v>
      </c>
      <c r="L218" s="7">
        <f t="shared" si="56"/>
        <v>-0.12128697038717431</v>
      </c>
      <c r="M218" s="7">
        <f t="shared" si="57"/>
        <v>0.1394343277344065</v>
      </c>
      <c r="N218" s="7">
        <f t="shared" si="58"/>
        <v>3.5890591188317256</v>
      </c>
      <c r="O218" s="9">
        <f t="shared" si="63"/>
        <v>39.888679245283036</v>
      </c>
      <c r="P218" s="7">
        <f t="shared" si="59"/>
        <v>-8.806033370882925E-2</v>
      </c>
    </row>
    <row r="219" spans="1:16" x14ac:dyDescent="0.25">
      <c r="A219" t="s">
        <v>151</v>
      </c>
      <c r="B219">
        <v>2020</v>
      </c>
      <c r="C219" s="5" t="str">
        <f>'1_Du_lieu'!C254</f>
        <v>TN</v>
      </c>
      <c r="D219" s="8">
        <f>'1_Du_lieu'!E254</f>
        <v>32.4</v>
      </c>
      <c r="E219" s="5">
        <f t="shared" si="52"/>
        <v>0</v>
      </c>
      <c r="F219" s="9">
        <f t="shared" si="60"/>
        <v>41.616363636363644</v>
      </c>
      <c r="G219" s="5">
        <f t="shared" si="61"/>
        <v>55</v>
      </c>
      <c r="H219" s="8">
        <f t="shared" si="62"/>
        <v>11.5</v>
      </c>
      <c r="I219" s="8">
        <f t="shared" si="53"/>
        <v>372.59999999999997</v>
      </c>
      <c r="J219" s="7">
        <f t="shared" si="54"/>
        <v>0.77853991000043676</v>
      </c>
      <c r="K219" s="7">
        <f t="shared" si="55"/>
        <v>-0.25033502376784822</v>
      </c>
      <c r="L219" s="7">
        <f t="shared" si="56"/>
        <v>-0.19489580687417776</v>
      </c>
      <c r="M219" s="7">
        <f t="shared" si="57"/>
        <v>0.25033502376784822</v>
      </c>
      <c r="N219" s="7">
        <f t="shared" si="58"/>
        <v>3.4781584227982836</v>
      </c>
      <c r="O219" s="9">
        <f t="shared" si="63"/>
        <v>39.888679245283036</v>
      </c>
      <c r="P219" s="7">
        <f t="shared" si="59"/>
        <v>-0.16889669012239247</v>
      </c>
    </row>
    <row r="220" spans="1:16" x14ac:dyDescent="0.25">
      <c r="A220" t="s">
        <v>152</v>
      </c>
      <c r="B220">
        <v>2020</v>
      </c>
      <c r="C220" s="5" t="str">
        <f>'1_Du_lieu'!C255</f>
        <v>ĐNB</v>
      </c>
      <c r="D220" s="8">
        <f>'1_Du_lieu'!E255</f>
        <v>54.9</v>
      </c>
      <c r="E220" s="5">
        <f t="shared" si="52"/>
        <v>0</v>
      </c>
      <c r="F220" s="9">
        <f t="shared" si="60"/>
        <v>41.616363636363644</v>
      </c>
      <c r="G220" s="5">
        <f t="shared" si="61"/>
        <v>55</v>
      </c>
      <c r="H220" s="8">
        <f t="shared" si="62"/>
        <v>50.5</v>
      </c>
      <c r="I220" s="8">
        <f t="shared" si="53"/>
        <v>2772.45</v>
      </c>
      <c r="J220" s="7">
        <f t="shared" si="54"/>
        <v>1.3191926252785178</v>
      </c>
      <c r="K220" s="7">
        <f t="shared" si="55"/>
        <v>0.27701990194935294</v>
      </c>
      <c r="L220" s="7">
        <f t="shared" si="56"/>
        <v>0.36544261170696452</v>
      </c>
      <c r="M220" s="7">
        <f t="shared" si="57"/>
        <v>-0.27701990194935294</v>
      </c>
      <c r="N220" s="7">
        <f t="shared" si="58"/>
        <v>4.0055133485154846</v>
      </c>
      <c r="O220" s="9">
        <f t="shared" si="63"/>
        <v>39.888679245283036</v>
      </c>
      <c r="P220" s="7">
        <f t="shared" si="59"/>
        <v>0.43962853298597621</v>
      </c>
    </row>
    <row r="221" spans="1:16" x14ac:dyDescent="0.25">
      <c r="A221" t="s">
        <v>153</v>
      </c>
      <c r="B221">
        <v>2020</v>
      </c>
      <c r="C221" s="5" t="str">
        <f>'1_Du_lieu'!C256</f>
        <v>ĐBSCL</v>
      </c>
      <c r="D221" s="8">
        <f>'1_Du_lieu'!E256</f>
        <v>38.6</v>
      </c>
      <c r="E221" s="5">
        <f t="shared" si="52"/>
        <v>0</v>
      </c>
      <c r="F221" s="9">
        <f t="shared" si="60"/>
        <v>41.616363636363644</v>
      </c>
      <c r="G221" s="5">
        <f t="shared" si="61"/>
        <v>55</v>
      </c>
      <c r="H221" s="8">
        <f t="shared" si="62"/>
        <v>24</v>
      </c>
      <c r="I221" s="8">
        <f t="shared" si="53"/>
        <v>926.40000000000009</v>
      </c>
      <c r="J221" s="7">
        <f t="shared" si="54"/>
        <v>0.92751976932150804</v>
      </c>
      <c r="K221" s="7">
        <f t="shared" si="55"/>
        <v>-7.5241170095346713E-2</v>
      </c>
      <c r="L221" s="7">
        <f t="shared" si="56"/>
        <v>-6.978767273031633E-2</v>
      </c>
      <c r="M221" s="7">
        <f t="shared" si="57"/>
        <v>7.5241170095346671E-2</v>
      </c>
      <c r="N221" s="7">
        <f t="shared" si="58"/>
        <v>3.6532522764707851</v>
      </c>
      <c r="O221" s="9">
        <f t="shared" si="63"/>
        <v>39.888679245283036</v>
      </c>
      <c r="P221" s="7">
        <f t="shared" si="59"/>
        <v>-3.1779311637841333E-2</v>
      </c>
    </row>
    <row r="222" spans="1:16" x14ac:dyDescent="0.25">
      <c r="A222" t="s">
        <v>85</v>
      </c>
      <c r="B222">
        <v>2021</v>
      </c>
      <c r="C222" s="5" t="str">
        <f>'1_Du_lieu'!C257</f>
        <v>ĐBSCL</v>
      </c>
      <c r="D222" s="8">
        <f>'1_Du_lieu'!E257</f>
        <v>5.44</v>
      </c>
      <c r="E222" s="5">
        <f t="shared" si="52"/>
        <v>0</v>
      </c>
      <c r="F222" s="9">
        <f t="shared" ref="F222:F253" si="64">AVERAGE($D$222:$D$277)</f>
        <v>8.5376785714285699</v>
      </c>
      <c r="G222" s="5">
        <f t="shared" ref="G222:G253" si="65">COUNT($D$222:$D$277)</f>
        <v>56</v>
      </c>
      <c r="H222" s="8">
        <f t="shared" ref="H222:H253" si="66">_xlfn.RANK.AVG(D222,$D$222:$D$277,1)</f>
        <v>21</v>
      </c>
      <c r="I222" s="8">
        <f t="shared" si="53"/>
        <v>114.24000000000001</v>
      </c>
      <c r="J222" s="7">
        <f t="shared" si="54"/>
        <v>0.63717554537658716</v>
      </c>
      <c r="K222" s="7">
        <f t="shared" si="55"/>
        <v>-0.45071007993665119</v>
      </c>
      <c r="L222" s="7">
        <f t="shared" si="56"/>
        <v>-0.28718144099036091</v>
      </c>
      <c r="M222" s="7">
        <f t="shared" si="57"/>
        <v>0.45071007993665124</v>
      </c>
      <c r="N222" s="7">
        <f t="shared" si="58"/>
        <v>1.6937790608678513</v>
      </c>
      <c r="O222" s="9">
        <f t="shared" ref="O222:O253" si="67">SUMPRODUCT((1-$E$222:$E$277)*$D$222:$D$277)/(G222-SUM($E$222:$E$277))</f>
        <v>6.5707407407407414</v>
      </c>
      <c r="P222" s="7">
        <f t="shared" si="59"/>
        <v>-0.15634926128804111</v>
      </c>
    </row>
    <row r="223" spans="1:16" x14ac:dyDescent="0.25">
      <c r="A223" t="s">
        <v>87</v>
      </c>
      <c r="B223">
        <v>2021</v>
      </c>
      <c r="C223" s="5" t="str">
        <f>'1_Du_lieu'!C258</f>
        <v>ĐNB</v>
      </c>
      <c r="D223" s="8">
        <f>'1_Du_lieu'!E258</f>
        <v>9.99</v>
      </c>
      <c r="E223" s="5">
        <f t="shared" si="52"/>
        <v>0</v>
      </c>
      <c r="F223" s="9">
        <f t="shared" si="64"/>
        <v>8.5376785714285699</v>
      </c>
      <c r="G223" s="5">
        <f t="shared" si="65"/>
        <v>56</v>
      </c>
      <c r="H223" s="8">
        <f t="shared" si="66"/>
        <v>50</v>
      </c>
      <c r="I223" s="8">
        <f t="shared" si="53"/>
        <v>499.5</v>
      </c>
      <c r="J223" s="7">
        <f t="shared" si="54"/>
        <v>1.1701072974838429</v>
      </c>
      <c r="K223" s="7">
        <f t="shared" si="55"/>
        <v>0.15709545185595966</v>
      </c>
      <c r="L223" s="7">
        <f t="shared" si="56"/>
        <v>0.18381853461818012</v>
      </c>
      <c r="M223" s="7">
        <f t="shared" si="57"/>
        <v>-0.15709545185595955</v>
      </c>
      <c r="N223" s="7">
        <f t="shared" si="58"/>
        <v>2.3015845926604621</v>
      </c>
      <c r="O223" s="9">
        <f t="shared" si="67"/>
        <v>6.5707407407407414</v>
      </c>
      <c r="P223" s="7">
        <f t="shared" si="59"/>
        <v>0.63697394112137551</v>
      </c>
    </row>
    <row r="224" spans="1:16" x14ac:dyDescent="0.25">
      <c r="A224" t="s">
        <v>89</v>
      </c>
      <c r="B224">
        <v>2021</v>
      </c>
      <c r="C224" s="5" t="str">
        <f>'1_Du_lieu'!C259</f>
        <v>ĐNB</v>
      </c>
      <c r="D224" s="8">
        <f>'1_Du_lieu'!E259</f>
        <v>14.76</v>
      </c>
      <c r="E224" s="5">
        <f t="shared" si="52"/>
        <v>0</v>
      </c>
      <c r="F224" s="9">
        <f t="shared" si="64"/>
        <v>8.5376785714285699</v>
      </c>
      <c r="G224" s="5">
        <f t="shared" si="65"/>
        <v>56</v>
      </c>
      <c r="H224" s="8">
        <f t="shared" si="66"/>
        <v>53</v>
      </c>
      <c r="I224" s="8">
        <f t="shared" si="53"/>
        <v>782.28</v>
      </c>
      <c r="J224" s="7">
        <f t="shared" si="54"/>
        <v>1.7288071782644163</v>
      </c>
      <c r="K224" s="7">
        <f t="shared" si="55"/>
        <v>0.5474316783678238</v>
      </c>
      <c r="L224" s="7">
        <f t="shared" si="56"/>
        <v>0.94640381517163097</v>
      </c>
      <c r="M224" s="7">
        <f t="shared" si="57"/>
        <v>-0.54743167836782392</v>
      </c>
      <c r="N224" s="7">
        <f t="shared" si="58"/>
        <v>2.6919208191723265</v>
      </c>
      <c r="O224" s="9">
        <f t="shared" si="67"/>
        <v>6.5707407407407414</v>
      </c>
      <c r="P224" s="7">
        <f t="shared" si="59"/>
        <v>1.8179355355161781</v>
      </c>
    </row>
    <row r="225" spans="1:16" x14ac:dyDescent="0.25">
      <c r="A225" t="s">
        <v>90</v>
      </c>
      <c r="B225">
        <v>2021</v>
      </c>
      <c r="C225" s="5" t="str">
        <f>'1_Du_lieu'!C260</f>
        <v>ĐNB</v>
      </c>
      <c r="D225" s="8">
        <f>'1_Du_lieu'!E260</f>
        <v>5.09</v>
      </c>
      <c r="E225" s="5">
        <f t="shared" si="52"/>
        <v>0</v>
      </c>
      <c r="F225" s="9">
        <f t="shared" si="64"/>
        <v>8.5376785714285699</v>
      </c>
      <c r="G225" s="5">
        <f t="shared" si="65"/>
        <v>56</v>
      </c>
      <c r="H225" s="8">
        <f t="shared" si="66"/>
        <v>14</v>
      </c>
      <c r="I225" s="8">
        <f t="shared" si="53"/>
        <v>71.259999999999991</v>
      </c>
      <c r="J225" s="7">
        <f t="shared" si="54"/>
        <v>0.59618079521449052</v>
      </c>
      <c r="K225" s="7">
        <f t="shared" si="55"/>
        <v>-0.51721131024207112</v>
      </c>
      <c r="L225" s="7">
        <f t="shared" si="56"/>
        <v>-0.30835145023404653</v>
      </c>
      <c r="M225" s="7">
        <f t="shared" si="57"/>
        <v>0.51721131024207123</v>
      </c>
      <c r="N225" s="7">
        <f t="shared" si="58"/>
        <v>1.6272778305624314</v>
      </c>
      <c r="O225" s="9">
        <f t="shared" si="67"/>
        <v>6.5707407407407414</v>
      </c>
      <c r="P225" s="7">
        <f t="shared" si="59"/>
        <v>-0.19780495769765893</v>
      </c>
    </row>
    <row r="226" spans="1:16" x14ac:dyDescent="0.25">
      <c r="A226" t="s">
        <v>91</v>
      </c>
      <c r="B226">
        <v>2021</v>
      </c>
      <c r="C226" s="5" t="str">
        <f>'1_Du_lieu'!C261</f>
        <v>BTB&amp;DHMT</v>
      </c>
      <c r="D226" s="8">
        <f>'1_Du_lieu'!E261</f>
        <v>5.82</v>
      </c>
      <c r="E226" s="5">
        <f t="shared" si="52"/>
        <v>0</v>
      </c>
      <c r="F226" s="9">
        <f t="shared" si="64"/>
        <v>8.5376785714285699</v>
      </c>
      <c r="G226" s="5">
        <f t="shared" si="65"/>
        <v>56</v>
      </c>
      <c r="H226" s="8">
        <f t="shared" si="66"/>
        <v>29</v>
      </c>
      <c r="I226" s="8">
        <f t="shared" si="53"/>
        <v>168.78</v>
      </c>
      <c r="J226" s="7">
        <f t="shared" si="54"/>
        <v>0.68168413126686345</v>
      </c>
      <c r="K226" s="7">
        <f t="shared" si="55"/>
        <v>-0.38318887906115601</v>
      </c>
      <c r="L226" s="7">
        <f t="shared" si="56"/>
        <v>-0.26121377813392732</v>
      </c>
      <c r="M226" s="7">
        <f t="shared" si="57"/>
        <v>0.38318887906115606</v>
      </c>
      <c r="N226" s="7">
        <f t="shared" si="58"/>
        <v>1.7613002617433464</v>
      </c>
      <c r="O226" s="9">
        <f t="shared" si="67"/>
        <v>6.5707407407407414</v>
      </c>
      <c r="P226" s="7">
        <f t="shared" si="59"/>
        <v>-0.10746415875346334</v>
      </c>
    </row>
    <row r="227" spans="1:16" x14ac:dyDescent="0.25">
      <c r="A227" t="s">
        <v>93</v>
      </c>
      <c r="B227">
        <v>2021</v>
      </c>
      <c r="C227" s="5" t="str">
        <f>'1_Du_lieu'!C262</f>
        <v>BTB&amp;DHMT</v>
      </c>
      <c r="D227" s="8">
        <f>'1_Du_lieu'!E262</f>
        <v>6.33</v>
      </c>
      <c r="E227" s="5">
        <f t="shared" si="52"/>
        <v>0</v>
      </c>
      <c r="F227" s="9">
        <f t="shared" si="64"/>
        <v>8.5376785714285699</v>
      </c>
      <c r="G227" s="5">
        <f t="shared" si="65"/>
        <v>56</v>
      </c>
      <c r="H227" s="8">
        <f t="shared" si="66"/>
        <v>33</v>
      </c>
      <c r="I227" s="8">
        <f t="shared" si="53"/>
        <v>208.89000000000001</v>
      </c>
      <c r="J227" s="7">
        <f t="shared" si="54"/>
        <v>0.74141933864591847</v>
      </c>
      <c r="K227" s="7">
        <f t="shared" si="55"/>
        <v>-0.29918890464841769</v>
      </c>
      <c r="L227" s="7">
        <f t="shared" si="56"/>
        <v>-0.2218244398146266</v>
      </c>
      <c r="M227" s="7">
        <f t="shared" si="57"/>
        <v>0.29918890464841774</v>
      </c>
      <c r="N227" s="7">
        <f t="shared" si="58"/>
        <v>1.8453002361560848</v>
      </c>
      <c r="O227" s="9">
        <f t="shared" si="67"/>
        <v>6.5707407407407414</v>
      </c>
      <c r="P227" s="7">
        <f t="shared" si="59"/>
        <v>-3.5958762588041447E-2</v>
      </c>
    </row>
    <row r="228" spans="1:16" x14ac:dyDescent="0.25">
      <c r="A228" t="s">
        <v>95</v>
      </c>
      <c r="B228">
        <v>2021</v>
      </c>
      <c r="C228" s="5" t="str">
        <f>'1_Du_lieu'!C264</f>
        <v>TDMNPB</v>
      </c>
      <c r="D228" s="8">
        <f>'1_Du_lieu'!E264</f>
        <v>6.41</v>
      </c>
      <c r="E228" s="5">
        <f t="shared" si="52"/>
        <v>0</v>
      </c>
      <c r="F228" s="9">
        <f t="shared" si="64"/>
        <v>8.5376785714285699</v>
      </c>
      <c r="G228" s="5">
        <f t="shared" si="65"/>
        <v>56</v>
      </c>
      <c r="H228" s="8">
        <f t="shared" si="66"/>
        <v>35</v>
      </c>
      <c r="I228" s="8">
        <f t="shared" si="53"/>
        <v>224.35</v>
      </c>
      <c r="J228" s="7">
        <f t="shared" si="54"/>
        <v>0.75078956725439772</v>
      </c>
      <c r="K228" s="7">
        <f t="shared" si="55"/>
        <v>-0.28662986987192379</v>
      </c>
      <c r="L228" s="7">
        <f t="shared" si="56"/>
        <v>-0.21519871596332599</v>
      </c>
      <c r="M228" s="7">
        <f t="shared" si="57"/>
        <v>0.28662986987192379</v>
      </c>
      <c r="N228" s="7">
        <f t="shared" si="58"/>
        <v>1.8578592709325787</v>
      </c>
      <c r="O228" s="9">
        <f t="shared" si="67"/>
        <v>6.5707407407407414</v>
      </c>
      <c r="P228" s="7">
        <f t="shared" si="59"/>
        <v>-2.4161415971742754E-2</v>
      </c>
    </row>
    <row r="229" spans="1:16" x14ac:dyDescent="0.25">
      <c r="A229" t="s">
        <v>97</v>
      </c>
      <c r="B229">
        <v>2021</v>
      </c>
      <c r="C229" s="5" t="str">
        <f>'1_Du_lieu'!C265</f>
        <v>TDMNPB</v>
      </c>
      <c r="D229" s="8">
        <f>'1_Du_lieu'!E265</f>
        <v>3.98</v>
      </c>
      <c r="E229" s="5">
        <f t="shared" si="52"/>
        <v>0</v>
      </c>
      <c r="F229" s="9">
        <f t="shared" si="64"/>
        <v>8.5376785714285699</v>
      </c>
      <c r="G229" s="5">
        <f t="shared" si="65"/>
        <v>56</v>
      </c>
      <c r="H229" s="8">
        <f t="shared" si="66"/>
        <v>1</v>
      </c>
      <c r="I229" s="8">
        <f t="shared" si="53"/>
        <v>3.98</v>
      </c>
      <c r="J229" s="7">
        <f t="shared" si="54"/>
        <v>0.46616887327184131</v>
      </c>
      <c r="K229" s="7">
        <f t="shared" si="55"/>
        <v>-0.76320732150815618</v>
      </c>
      <c r="L229" s="7">
        <f t="shared" si="56"/>
        <v>-0.35578349714027713</v>
      </c>
      <c r="M229" s="7">
        <f t="shared" si="57"/>
        <v>0.76320732150815618</v>
      </c>
      <c r="N229" s="7">
        <f t="shared" si="58"/>
        <v>1.3812818192963463</v>
      </c>
      <c r="O229" s="9">
        <f t="shared" si="67"/>
        <v>6.5707407407407414</v>
      </c>
      <c r="P229" s="7">
        <f t="shared" si="59"/>
        <v>-0.30367232474418815</v>
      </c>
    </row>
    <row r="230" spans="1:16" x14ac:dyDescent="0.25">
      <c r="A230" t="s">
        <v>98</v>
      </c>
      <c r="B230">
        <v>2021</v>
      </c>
      <c r="C230" s="5" t="str">
        <f>'1_Du_lieu'!C266</f>
        <v>ĐBSH</v>
      </c>
      <c r="D230" s="8">
        <f>'1_Du_lieu'!E266</f>
        <v>9.41</v>
      </c>
      <c r="E230" s="5">
        <f t="shared" si="52"/>
        <v>0</v>
      </c>
      <c r="F230" s="9">
        <f t="shared" si="64"/>
        <v>8.5376785714285699</v>
      </c>
      <c r="G230" s="5">
        <f t="shared" si="65"/>
        <v>56</v>
      </c>
      <c r="H230" s="8">
        <f t="shared" si="66"/>
        <v>48</v>
      </c>
      <c r="I230" s="8">
        <f t="shared" si="53"/>
        <v>451.68</v>
      </c>
      <c r="J230" s="7">
        <f t="shared" si="54"/>
        <v>1.1021731400723684</v>
      </c>
      <c r="K230" s="7">
        <f t="shared" si="55"/>
        <v>9.7283812792785682E-2</v>
      </c>
      <c r="L230" s="7">
        <f t="shared" si="56"/>
        <v>0.10722360542403704</v>
      </c>
      <c r="M230" s="7">
        <f t="shared" si="57"/>
        <v>-9.7283812792785668E-2</v>
      </c>
      <c r="N230" s="7">
        <f t="shared" si="58"/>
        <v>2.2417729535972883</v>
      </c>
      <c r="O230" s="9">
        <f t="shared" si="67"/>
        <v>6.5707407407407414</v>
      </c>
      <c r="P230" s="7">
        <f t="shared" si="59"/>
        <v>0.51433583876381417</v>
      </c>
    </row>
    <row r="231" spans="1:16" x14ac:dyDescent="0.25">
      <c r="A231" t="s">
        <v>100</v>
      </c>
      <c r="B231">
        <v>2021</v>
      </c>
      <c r="C231" s="5" t="str">
        <f>'1_Du_lieu'!C267</f>
        <v>ĐBSCL</v>
      </c>
      <c r="D231" s="8">
        <f>'1_Du_lieu'!E267</f>
        <v>6.66</v>
      </c>
      <c r="E231" s="5">
        <f t="shared" si="52"/>
        <v>0</v>
      </c>
      <c r="F231" s="9">
        <f t="shared" si="64"/>
        <v>8.5376785714285699</v>
      </c>
      <c r="G231" s="5">
        <f t="shared" si="65"/>
        <v>56</v>
      </c>
      <c r="H231" s="8">
        <f t="shared" si="66"/>
        <v>38</v>
      </c>
      <c r="I231" s="8">
        <f t="shared" si="53"/>
        <v>253.08</v>
      </c>
      <c r="J231" s="7">
        <f t="shared" si="54"/>
        <v>0.78007153165589527</v>
      </c>
      <c r="K231" s="7">
        <f t="shared" si="55"/>
        <v>-0.24836965625220472</v>
      </c>
      <c r="L231" s="7">
        <f t="shared" si="56"/>
        <v>-0.19374609816950555</v>
      </c>
      <c r="M231" s="7">
        <f t="shared" si="57"/>
        <v>0.24836965625220483</v>
      </c>
      <c r="N231" s="7">
        <f t="shared" si="58"/>
        <v>1.8961194845522977</v>
      </c>
      <c r="O231" s="9">
        <f t="shared" si="67"/>
        <v>6.5707407407407414</v>
      </c>
      <c r="P231" s="7">
        <f t="shared" si="59"/>
        <v>1.3676204965252223E-2</v>
      </c>
    </row>
    <row r="232" spans="1:16" x14ac:dyDescent="0.25">
      <c r="A232" t="s">
        <v>102</v>
      </c>
      <c r="B232">
        <v>2021</v>
      </c>
      <c r="C232" s="5" t="str">
        <f>'1_Du_lieu'!C269</f>
        <v>ĐBSCL</v>
      </c>
      <c r="D232" s="8">
        <f>'1_Du_lieu'!E269</f>
        <v>4.68</v>
      </c>
      <c r="E232" s="5">
        <f t="shared" si="52"/>
        <v>0</v>
      </c>
      <c r="F232" s="9">
        <f t="shared" si="64"/>
        <v>8.5376785714285699</v>
      </c>
      <c r="G232" s="5">
        <f t="shared" si="65"/>
        <v>56</v>
      </c>
      <c r="H232" s="8">
        <f t="shared" si="66"/>
        <v>10</v>
      </c>
      <c r="I232" s="8">
        <f t="shared" si="53"/>
        <v>46.8</v>
      </c>
      <c r="J232" s="7">
        <f t="shared" si="54"/>
        <v>0.54815837359603448</v>
      </c>
      <c r="K232" s="7">
        <f t="shared" si="55"/>
        <v>-0.60119103087494719</v>
      </c>
      <c r="L232" s="7">
        <f t="shared" si="56"/>
        <v>-0.32954789770493442</v>
      </c>
      <c r="M232" s="7">
        <f t="shared" si="57"/>
        <v>0.6011910308749473</v>
      </c>
      <c r="N232" s="7">
        <f t="shared" si="58"/>
        <v>1.5432981099295553</v>
      </c>
      <c r="O232" s="9">
        <f t="shared" si="67"/>
        <v>6.5707407407407414</v>
      </c>
      <c r="P232" s="7">
        <f t="shared" si="59"/>
        <v>-0.24168617595311828</v>
      </c>
    </row>
    <row r="233" spans="1:16" x14ac:dyDescent="0.25">
      <c r="A233" t="s">
        <v>103</v>
      </c>
      <c r="B233">
        <v>2021</v>
      </c>
      <c r="C233" s="5" t="str">
        <f>'1_Du_lieu'!C270</f>
        <v>ĐBSCL</v>
      </c>
      <c r="D233" s="8">
        <f>'1_Du_lieu'!E270</f>
        <v>8.59</v>
      </c>
      <c r="E233" s="5">
        <f t="shared" si="52"/>
        <v>0</v>
      </c>
      <c r="F233" s="9">
        <f t="shared" si="64"/>
        <v>8.5376785714285699</v>
      </c>
      <c r="G233" s="5">
        <f t="shared" si="65"/>
        <v>56</v>
      </c>
      <c r="H233" s="8">
        <f t="shared" si="66"/>
        <v>47</v>
      </c>
      <c r="I233" s="8">
        <f t="shared" si="53"/>
        <v>403.73</v>
      </c>
      <c r="J233" s="7">
        <f t="shared" si="54"/>
        <v>1.0061282968354563</v>
      </c>
      <c r="K233" s="7">
        <f t="shared" si="55"/>
        <v>6.1095951916613411E-3</v>
      </c>
      <c r="L233" s="7">
        <f t="shared" si="56"/>
        <v>6.1470366045403187E-3</v>
      </c>
      <c r="M233" s="7">
        <f t="shared" si="57"/>
        <v>-6.1095951916613819E-3</v>
      </c>
      <c r="N233" s="7">
        <f t="shared" si="58"/>
        <v>2.150598735996164</v>
      </c>
      <c r="O233" s="9">
        <f t="shared" si="67"/>
        <v>6.5707407407407414</v>
      </c>
      <c r="P233" s="7">
        <f t="shared" si="59"/>
        <v>0.35032289036585379</v>
      </c>
    </row>
    <row r="234" spans="1:16" x14ac:dyDescent="0.25">
      <c r="A234" t="s">
        <v>104</v>
      </c>
      <c r="B234">
        <v>2021</v>
      </c>
      <c r="C234" s="5" t="str">
        <f>'1_Du_lieu'!C271</f>
        <v>TN</v>
      </c>
      <c r="D234" s="8">
        <f>'1_Du_lieu'!E271</f>
        <v>5.04</v>
      </c>
      <c r="E234" s="5">
        <f t="shared" si="52"/>
        <v>0</v>
      </c>
      <c r="F234" s="9">
        <f t="shared" si="64"/>
        <v>8.5376785714285699</v>
      </c>
      <c r="G234" s="5">
        <f t="shared" si="65"/>
        <v>56</v>
      </c>
      <c r="H234" s="8">
        <f t="shared" si="66"/>
        <v>13</v>
      </c>
      <c r="I234" s="8">
        <f t="shared" si="53"/>
        <v>65.52</v>
      </c>
      <c r="J234" s="7">
        <f t="shared" si="54"/>
        <v>0.59032440233419103</v>
      </c>
      <c r="K234" s="7">
        <f t="shared" si="55"/>
        <v>-0.52708305872122518</v>
      </c>
      <c r="L234" s="7">
        <f t="shared" si="56"/>
        <v>-0.31114999162008455</v>
      </c>
      <c r="M234" s="7">
        <f t="shared" si="57"/>
        <v>0.52708305872122529</v>
      </c>
      <c r="N234" s="7">
        <f t="shared" si="58"/>
        <v>1.6174060820832772</v>
      </c>
      <c r="O234" s="9">
        <f t="shared" si="67"/>
        <v>6.5707407407407414</v>
      </c>
      <c r="P234" s="7">
        <f t="shared" si="59"/>
        <v>-0.20343387789387365</v>
      </c>
    </row>
    <row r="235" spans="1:16" x14ac:dyDescent="0.25">
      <c r="A235" t="s">
        <v>107</v>
      </c>
      <c r="B235">
        <v>2021</v>
      </c>
      <c r="C235" s="5" t="str">
        <f>'1_Du_lieu'!C273</f>
        <v>ĐBSH</v>
      </c>
      <c r="D235" s="8">
        <f>'1_Du_lieu'!E273</f>
        <v>6.51</v>
      </c>
      <c r="E235" s="5">
        <f t="shared" si="52"/>
        <v>0</v>
      </c>
      <c r="F235" s="9">
        <f t="shared" si="64"/>
        <v>8.5376785714285699</v>
      </c>
      <c r="G235" s="5">
        <f t="shared" si="65"/>
        <v>56</v>
      </c>
      <c r="H235" s="8">
        <f t="shared" si="66"/>
        <v>36</v>
      </c>
      <c r="I235" s="8">
        <f t="shared" si="53"/>
        <v>234.35999999999999</v>
      </c>
      <c r="J235" s="7">
        <f t="shared" si="54"/>
        <v>0.76250235301499669</v>
      </c>
      <c r="K235" s="7">
        <f t="shared" si="55"/>
        <v>-0.27114968458402466</v>
      </c>
      <c r="L235" s="7">
        <f t="shared" si="56"/>
        <v>-0.20675227251459299</v>
      </c>
      <c r="M235" s="7">
        <f t="shared" si="57"/>
        <v>0.27114968458402466</v>
      </c>
      <c r="N235" s="7">
        <f t="shared" si="58"/>
        <v>1.8733394562204779</v>
      </c>
      <c r="O235" s="9">
        <f t="shared" si="67"/>
        <v>6.5707407407407414</v>
      </c>
      <c r="P235" s="7">
        <f t="shared" si="59"/>
        <v>-9.2012645992846556E-3</v>
      </c>
    </row>
    <row r="236" spans="1:16" x14ac:dyDescent="0.25">
      <c r="A236" t="s">
        <v>108</v>
      </c>
      <c r="B236">
        <v>2021</v>
      </c>
      <c r="C236" s="5" t="str">
        <f>'1_Du_lieu'!C274</f>
        <v>ĐBSH</v>
      </c>
      <c r="D236" s="8">
        <f>'1_Du_lieu'!E274</f>
        <v>55.66</v>
      </c>
      <c r="E236" s="5">
        <f t="shared" si="52"/>
        <v>1</v>
      </c>
      <c r="F236" s="9">
        <f t="shared" si="64"/>
        <v>8.5376785714285699</v>
      </c>
      <c r="G236" s="5">
        <f t="shared" si="65"/>
        <v>56</v>
      </c>
      <c r="H236" s="8">
        <f t="shared" si="66"/>
        <v>55</v>
      </c>
      <c r="I236" s="8">
        <f t="shared" si="53"/>
        <v>3061.2999999999997</v>
      </c>
      <c r="J236" s="7">
        <f t="shared" si="54"/>
        <v>6.5193365543494179</v>
      </c>
      <c r="K236" s="7">
        <f t="shared" si="55"/>
        <v>1.874772615293242</v>
      </c>
      <c r="L236" s="7">
        <f t="shared" si="56"/>
        <v>12.222273641974491</v>
      </c>
      <c r="M236" s="7">
        <f t="shared" si="57"/>
        <v>-1.874772615293242</v>
      </c>
      <c r="N236" s="7">
        <f t="shared" si="58"/>
        <v>4.0192617560977446</v>
      </c>
      <c r="O236" s="9">
        <f t="shared" si="67"/>
        <v>6.5707407407407414</v>
      </c>
      <c r="P236" s="7">
        <f t="shared" si="59"/>
        <v>0</v>
      </c>
    </row>
    <row r="237" spans="1:16" x14ac:dyDescent="0.25">
      <c r="A237" t="s">
        <v>109</v>
      </c>
      <c r="B237">
        <v>2021</v>
      </c>
      <c r="C237" s="5" t="str">
        <f>'1_Du_lieu'!C275</f>
        <v>BTB&amp;DHMT</v>
      </c>
      <c r="D237" s="8">
        <f>'1_Du_lieu'!E275</f>
        <v>5.76</v>
      </c>
      <c r="E237" s="5">
        <f t="shared" si="52"/>
        <v>0</v>
      </c>
      <c r="F237" s="9">
        <f t="shared" si="64"/>
        <v>8.5376785714285699</v>
      </c>
      <c r="G237" s="5">
        <f t="shared" si="65"/>
        <v>56</v>
      </c>
      <c r="H237" s="8">
        <f t="shared" si="66"/>
        <v>28</v>
      </c>
      <c r="I237" s="8">
        <f t="shared" si="53"/>
        <v>161.28</v>
      </c>
      <c r="J237" s="7">
        <f t="shared" si="54"/>
        <v>0.67465645981050393</v>
      </c>
      <c r="K237" s="7">
        <f t="shared" si="55"/>
        <v>-0.39355166609670278</v>
      </c>
      <c r="L237" s="7">
        <f t="shared" si="56"/>
        <v>-0.26551217380132702</v>
      </c>
      <c r="M237" s="7">
        <f t="shared" si="57"/>
        <v>0.39355166609670272</v>
      </c>
      <c r="N237" s="7">
        <f t="shared" si="58"/>
        <v>1.7509374747077999</v>
      </c>
      <c r="O237" s="9">
        <f t="shared" si="67"/>
        <v>6.5707407407407414</v>
      </c>
      <c r="P237" s="7">
        <f t="shared" si="59"/>
        <v>-0.11544043978069908</v>
      </c>
    </row>
    <row r="238" spans="1:16" x14ac:dyDescent="0.25">
      <c r="A238" t="s">
        <v>110</v>
      </c>
      <c r="B238">
        <v>2021</v>
      </c>
      <c r="C238" s="5" t="str">
        <f>'1_Du_lieu'!C276</f>
        <v>TDMNPB</v>
      </c>
      <c r="D238" s="8">
        <f>'1_Du_lieu'!E276</f>
        <v>4.5999999999999996</v>
      </c>
      <c r="E238" s="5">
        <f t="shared" si="52"/>
        <v>0</v>
      </c>
      <c r="F238" s="9">
        <f t="shared" si="64"/>
        <v>8.5376785714285699</v>
      </c>
      <c r="G238" s="5">
        <f t="shared" si="65"/>
        <v>56</v>
      </c>
      <c r="H238" s="8">
        <f t="shared" si="66"/>
        <v>7.5</v>
      </c>
      <c r="I238" s="8">
        <f t="shared" si="53"/>
        <v>34.5</v>
      </c>
      <c r="J238" s="7">
        <f t="shared" si="54"/>
        <v>0.53878814498755523</v>
      </c>
      <c r="K238" s="7">
        <f t="shared" si="55"/>
        <v>-0.61843283730945331</v>
      </c>
      <c r="L238" s="7">
        <f t="shared" si="56"/>
        <v>-0.33320428121335088</v>
      </c>
      <c r="M238" s="7">
        <f t="shared" si="57"/>
        <v>0.61843283730945331</v>
      </c>
      <c r="N238" s="7">
        <f t="shared" si="58"/>
        <v>1.5260563034950492</v>
      </c>
      <c r="O238" s="9">
        <f t="shared" si="67"/>
        <v>6.5707407407407414</v>
      </c>
      <c r="P238" s="7">
        <f t="shared" si="59"/>
        <v>-0.24962531625493958</v>
      </c>
    </row>
    <row r="239" spans="1:16" x14ac:dyDescent="0.25">
      <c r="A239" t="s">
        <v>111</v>
      </c>
      <c r="B239">
        <v>2021</v>
      </c>
      <c r="C239" s="5" t="str">
        <f>'1_Du_lieu'!C277</f>
        <v>ĐBSH</v>
      </c>
      <c r="D239" s="8">
        <f>'1_Du_lieu'!E277</f>
        <v>7.36</v>
      </c>
      <c r="E239" s="5">
        <f t="shared" si="52"/>
        <v>0</v>
      </c>
      <c r="F239" s="9">
        <f t="shared" si="64"/>
        <v>8.5376785714285699</v>
      </c>
      <c r="G239" s="5">
        <f t="shared" si="65"/>
        <v>56</v>
      </c>
      <c r="H239" s="8">
        <f t="shared" si="66"/>
        <v>45</v>
      </c>
      <c r="I239" s="8">
        <f t="shared" si="53"/>
        <v>331.2</v>
      </c>
      <c r="J239" s="7">
        <f t="shared" si="54"/>
        <v>0.86206103198008843</v>
      </c>
      <c r="K239" s="7">
        <f t="shared" si="55"/>
        <v>-0.14842920806371768</v>
      </c>
      <c r="L239" s="7">
        <f t="shared" si="56"/>
        <v>-0.12795503627939572</v>
      </c>
      <c r="M239" s="7">
        <f t="shared" si="57"/>
        <v>0.14842920806371773</v>
      </c>
      <c r="N239" s="7">
        <f t="shared" si="58"/>
        <v>1.9960599327407849</v>
      </c>
      <c r="O239" s="9">
        <f t="shared" si="67"/>
        <v>6.5707407407407414</v>
      </c>
      <c r="P239" s="7">
        <f t="shared" si="59"/>
        <v>0.12705866316921505</v>
      </c>
    </row>
    <row r="240" spans="1:16" x14ac:dyDescent="0.25">
      <c r="A240" t="s">
        <v>112</v>
      </c>
      <c r="B240">
        <v>2021</v>
      </c>
      <c r="C240" s="5" t="str">
        <f>'1_Du_lieu'!C278</f>
        <v>ĐBSH</v>
      </c>
      <c r="D240" s="8">
        <f>'1_Du_lieu'!E278</f>
        <v>6.8</v>
      </c>
      <c r="E240" s="5">
        <f t="shared" si="52"/>
        <v>0</v>
      </c>
      <c r="F240" s="9">
        <f t="shared" si="64"/>
        <v>8.5376785714285699</v>
      </c>
      <c r="G240" s="5">
        <f t="shared" si="65"/>
        <v>56</v>
      </c>
      <c r="H240" s="8">
        <f t="shared" si="66"/>
        <v>41.5</v>
      </c>
      <c r="I240" s="8">
        <f t="shared" si="53"/>
        <v>282.2</v>
      </c>
      <c r="J240" s="7">
        <f t="shared" si="54"/>
        <v>0.79646943172073381</v>
      </c>
      <c r="K240" s="7">
        <f t="shared" si="55"/>
        <v>-0.22756652862244162</v>
      </c>
      <c r="L240" s="7">
        <f t="shared" si="56"/>
        <v>-0.18124978373057618</v>
      </c>
      <c r="M240" s="7">
        <f t="shared" si="57"/>
        <v>0.22756652862244156</v>
      </c>
      <c r="N240" s="7">
        <f t="shared" si="58"/>
        <v>1.9169226121820611</v>
      </c>
      <c r="O240" s="9">
        <f t="shared" si="67"/>
        <v>6.5707407407407414</v>
      </c>
      <c r="P240" s="7">
        <f t="shared" si="59"/>
        <v>3.5492660869735071E-2</v>
      </c>
    </row>
    <row r="241" spans="1:16" x14ac:dyDescent="0.25">
      <c r="A241" t="s">
        <v>113</v>
      </c>
      <c r="B241">
        <v>2021</v>
      </c>
      <c r="C241" s="5" t="str">
        <f>'1_Du_lieu'!C279</f>
        <v>ĐBSH</v>
      </c>
      <c r="D241" s="8">
        <f>'1_Du_lieu'!E279</f>
        <v>11.11</v>
      </c>
      <c r="E241" s="5">
        <f t="shared" si="52"/>
        <v>0</v>
      </c>
      <c r="F241" s="9">
        <f t="shared" si="64"/>
        <v>8.5376785714285699</v>
      </c>
      <c r="G241" s="5">
        <f t="shared" si="65"/>
        <v>56</v>
      </c>
      <c r="H241" s="8">
        <f t="shared" si="66"/>
        <v>51</v>
      </c>
      <c r="I241" s="8">
        <f t="shared" si="53"/>
        <v>566.61</v>
      </c>
      <c r="J241" s="7">
        <f t="shared" si="54"/>
        <v>1.3012904980025519</v>
      </c>
      <c r="K241" s="7">
        <f t="shared" si="55"/>
        <v>0.26335646284703607</v>
      </c>
      <c r="L241" s="7">
        <f t="shared" si="56"/>
        <v>0.34270326269041013</v>
      </c>
      <c r="M241" s="7">
        <f t="shared" si="57"/>
        <v>-0.26335646284703601</v>
      </c>
      <c r="N241" s="7">
        <f t="shared" si="58"/>
        <v>2.4078456036515385</v>
      </c>
      <c r="O241" s="9">
        <f t="shared" si="67"/>
        <v>6.5707407407407414</v>
      </c>
      <c r="P241" s="7">
        <f t="shared" si="59"/>
        <v>0.88805565021163158</v>
      </c>
    </row>
    <row r="242" spans="1:16" x14ac:dyDescent="0.25">
      <c r="A242" t="s">
        <v>114</v>
      </c>
      <c r="B242">
        <v>2021</v>
      </c>
      <c r="C242" s="5" t="str">
        <f>'1_Du_lieu'!C280</f>
        <v>ĐBSCL</v>
      </c>
      <c r="D242" s="8">
        <f>'1_Du_lieu'!E280</f>
        <v>4.45</v>
      </c>
      <c r="E242" s="5">
        <f t="shared" si="52"/>
        <v>0</v>
      </c>
      <c r="F242" s="9">
        <f t="shared" si="64"/>
        <v>8.5376785714285699</v>
      </c>
      <c r="G242" s="5">
        <f t="shared" si="65"/>
        <v>56</v>
      </c>
      <c r="H242" s="8">
        <f t="shared" si="66"/>
        <v>5</v>
      </c>
      <c r="I242" s="8">
        <f t="shared" si="53"/>
        <v>22.25</v>
      </c>
      <c r="J242" s="7">
        <f t="shared" si="54"/>
        <v>0.52121896634665676</v>
      </c>
      <c r="K242" s="7">
        <f t="shared" si="55"/>
        <v>-0.65158504462635358</v>
      </c>
      <c r="L242" s="7">
        <f t="shared" si="56"/>
        <v>-0.33961848344708823</v>
      </c>
      <c r="M242" s="7">
        <f t="shared" si="57"/>
        <v>0.65158504462635369</v>
      </c>
      <c r="N242" s="7">
        <f t="shared" si="58"/>
        <v>1.4929040961781488</v>
      </c>
      <c r="O242" s="9">
        <f t="shared" si="67"/>
        <v>6.5707407407407414</v>
      </c>
      <c r="P242" s="7">
        <f t="shared" si="59"/>
        <v>-0.26393752030997708</v>
      </c>
    </row>
    <row r="243" spans="1:16" x14ac:dyDescent="0.25">
      <c r="A243" t="s">
        <v>115</v>
      </c>
      <c r="B243">
        <v>2021</v>
      </c>
      <c r="C243" s="5" t="str">
        <f>'1_Du_lieu'!C281</f>
        <v>BTB&amp;DHMT</v>
      </c>
      <c r="D243" s="8">
        <f>'1_Du_lieu'!E281</f>
        <v>9.7100000000000009</v>
      </c>
      <c r="E243" s="5">
        <f t="shared" si="52"/>
        <v>0</v>
      </c>
      <c r="F243" s="9">
        <f t="shared" si="64"/>
        <v>8.5376785714285699</v>
      </c>
      <c r="G243" s="5">
        <f t="shared" si="65"/>
        <v>56</v>
      </c>
      <c r="H243" s="8">
        <f t="shared" si="66"/>
        <v>49</v>
      </c>
      <c r="I243" s="8">
        <f t="shared" si="53"/>
        <v>475.79</v>
      </c>
      <c r="J243" s="7">
        <f t="shared" si="54"/>
        <v>1.1373114973541656</v>
      </c>
      <c r="K243" s="7">
        <f t="shared" si="55"/>
        <v>0.12866714149873101</v>
      </c>
      <c r="L243" s="7">
        <f t="shared" si="56"/>
        <v>0.14633461935820208</v>
      </c>
      <c r="M243" s="7">
        <f t="shared" si="57"/>
        <v>-0.12866714149873112</v>
      </c>
      <c r="N243" s="7">
        <f t="shared" si="58"/>
        <v>2.2731562823032334</v>
      </c>
      <c r="O243" s="9">
        <f t="shared" si="67"/>
        <v>6.5707407407407414</v>
      </c>
      <c r="P243" s="7">
        <f t="shared" si="59"/>
        <v>0.57711050184494306</v>
      </c>
    </row>
    <row r="244" spans="1:16" x14ac:dyDescent="0.25">
      <c r="A244" t="s">
        <v>116</v>
      </c>
      <c r="B244">
        <v>2021</v>
      </c>
      <c r="C244" s="5" t="str">
        <f>'1_Du_lieu'!C282</f>
        <v>ĐBSCL</v>
      </c>
      <c r="D244" s="8">
        <f>'1_Du_lieu'!E282</f>
        <v>5.69</v>
      </c>
      <c r="E244" s="5">
        <f t="shared" si="52"/>
        <v>0</v>
      </c>
      <c r="F244" s="9">
        <f t="shared" si="64"/>
        <v>8.5376785714285699</v>
      </c>
      <c r="G244" s="5">
        <f t="shared" si="65"/>
        <v>56</v>
      </c>
      <c r="H244" s="8">
        <f t="shared" si="66"/>
        <v>27</v>
      </c>
      <c r="I244" s="8">
        <f t="shared" si="53"/>
        <v>153.63000000000002</v>
      </c>
      <c r="J244" s="7">
        <f t="shared" si="54"/>
        <v>0.66645750977808471</v>
      </c>
      <c r="K244" s="7">
        <f t="shared" si="55"/>
        <v>-0.40577889266626294</v>
      </c>
      <c r="L244" s="7">
        <f t="shared" si="56"/>
        <v>-0.27043439032686634</v>
      </c>
      <c r="M244" s="7">
        <f t="shared" si="57"/>
        <v>0.40577889266626294</v>
      </c>
      <c r="N244" s="7">
        <f t="shared" si="58"/>
        <v>1.7387102481382397</v>
      </c>
      <c r="O244" s="9">
        <f t="shared" si="67"/>
        <v>6.5707407407407414</v>
      </c>
      <c r="P244" s="7">
        <f t="shared" si="59"/>
        <v>-0.12462580939836627</v>
      </c>
    </row>
    <row r="245" spans="1:16" x14ac:dyDescent="0.25">
      <c r="A245" t="s">
        <v>117</v>
      </c>
      <c r="B245">
        <v>2021</v>
      </c>
      <c r="C245" s="5" t="str">
        <f>'1_Du_lieu'!C283</f>
        <v>TN</v>
      </c>
      <c r="D245" s="8">
        <f>'1_Du_lieu'!E283</f>
        <v>4.5</v>
      </c>
      <c r="E245" s="5">
        <f t="shared" si="52"/>
        <v>0</v>
      </c>
      <c r="F245" s="9">
        <f t="shared" si="64"/>
        <v>8.5376785714285699</v>
      </c>
      <c r="G245" s="5">
        <f t="shared" si="65"/>
        <v>56</v>
      </c>
      <c r="H245" s="8">
        <f t="shared" si="66"/>
        <v>6</v>
      </c>
      <c r="I245" s="8">
        <f t="shared" si="53"/>
        <v>27</v>
      </c>
      <c r="J245" s="7">
        <f t="shared" si="54"/>
        <v>0.52707535922695625</v>
      </c>
      <c r="K245" s="7">
        <f t="shared" si="55"/>
        <v>-0.64041174402822842</v>
      </c>
      <c r="L245" s="7">
        <f t="shared" si="56"/>
        <v>-0.33754525003684005</v>
      </c>
      <c r="M245" s="7">
        <f t="shared" si="57"/>
        <v>0.64041174402822842</v>
      </c>
      <c r="N245" s="7">
        <f t="shared" si="58"/>
        <v>1.5040773967762742</v>
      </c>
      <c r="O245" s="9">
        <f t="shared" si="67"/>
        <v>6.5707407407407414</v>
      </c>
      <c r="P245" s="7">
        <f t="shared" si="59"/>
        <v>-0.25925102755184282</v>
      </c>
    </row>
    <row r="246" spans="1:16" x14ac:dyDescent="0.25">
      <c r="A246" t="s">
        <v>119</v>
      </c>
      <c r="B246">
        <v>2021</v>
      </c>
      <c r="C246" s="5" t="str">
        <f>'1_Du_lieu'!C285</f>
        <v>ĐBSCL</v>
      </c>
      <c r="D246" s="8">
        <f>'1_Du_lieu'!E285</f>
        <v>7.32</v>
      </c>
      <c r="E246" s="5">
        <f t="shared" si="52"/>
        <v>0</v>
      </c>
      <c r="F246" s="9">
        <f t="shared" si="64"/>
        <v>8.5376785714285699</v>
      </c>
      <c r="G246" s="5">
        <f t="shared" si="65"/>
        <v>56</v>
      </c>
      <c r="H246" s="8">
        <f t="shared" si="66"/>
        <v>44</v>
      </c>
      <c r="I246" s="8">
        <f t="shared" si="53"/>
        <v>322.08000000000004</v>
      </c>
      <c r="J246" s="7">
        <f t="shared" si="54"/>
        <v>0.85737591767584886</v>
      </c>
      <c r="K246" s="7">
        <f t="shared" si="55"/>
        <v>-0.1538788128312823</v>
      </c>
      <c r="L246" s="7">
        <f t="shared" si="56"/>
        <v>-0.13193198836209086</v>
      </c>
      <c r="M246" s="7">
        <f t="shared" si="57"/>
        <v>0.15387881283128224</v>
      </c>
      <c r="N246" s="7">
        <f t="shared" si="58"/>
        <v>1.9906103279732201</v>
      </c>
      <c r="O246" s="9">
        <f t="shared" si="67"/>
        <v>6.5707407407407414</v>
      </c>
      <c r="P246" s="7">
        <f t="shared" si="59"/>
        <v>0.12029710567083375</v>
      </c>
    </row>
    <row r="247" spans="1:16" x14ac:dyDescent="0.25">
      <c r="A247" t="s">
        <v>120</v>
      </c>
      <c r="B247">
        <v>2021</v>
      </c>
      <c r="C247" s="5" t="str">
        <f>'1_Du_lieu'!C286</f>
        <v>TDMNPB</v>
      </c>
      <c r="D247" s="8">
        <f>'1_Du_lieu'!E286</f>
        <v>4.96</v>
      </c>
      <c r="E247" s="5">
        <f t="shared" si="52"/>
        <v>0</v>
      </c>
      <c r="F247" s="9">
        <f t="shared" si="64"/>
        <v>8.5376785714285699</v>
      </c>
      <c r="G247" s="5">
        <f t="shared" si="65"/>
        <v>56</v>
      </c>
      <c r="H247" s="8">
        <f t="shared" si="66"/>
        <v>11</v>
      </c>
      <c r="I247" s="8">
        <f t="shared" si="53"/>
        <v>54.56</v>
      </c>
      <c r="J247" s="7">
        <f t="shared" si="54"/>
        <v>0.58095417372571179</v>
      </c>
      <c r="K247" s="7">
        <f t="shared" si="55"/>
        <v>-0.54308340006766642</v>
      </c>
      <c r="L247" s="7">
        <f t="shared" si="56"/>
        <v>-0.31550656795046134</v>
      </c>
      <c r="M247" s="7">
        <f t="shared" si="57"/>
        <v>0.54308340006766642</v>
      </c>
      <c r="N247" s="7">
        <f t="shared" si="58"/>
        <v>1.6014057407368361</v>
      </c>
      <c r="O247" s="9">
        <f t="shared" si="67"/>
        <v>6.5707407407407414</v>
      </c>
      <c r="P247" s="7">
        <f t="shared" si="59"/>
        <v>-0.21228281230990384</v>
      </c>
    </row>
    <row r="248" spans="1:16" x14ac:dyDescent="0.25">
      <c r="A248" t="s">
        <v>121</v>
      </c>
      <c r="B248">
        <v>2021</v>
      </c>
      <c r="C248" s="5" t="str">
        <f>'1_Du_lieu'!C287</f>
        <v>TN</v>
      </c>
      <c r="D248" s="8">
        <f>'1_Du_lieu'!E287</f>
        <v>6.65</v>
      </c>
      <c r="E248" s="5">
        <f t="shared" si="52"/>
        <v>0</v>
      </c>
      <c r="F248" s="9">
        <f t="shared" si="64"/>
        <v>8.5376785714285699</v>
      </c>
      <c r="G248" s="5">
        <f t="shared" si="65"/>
        <v>56</v>
      </c>
      <c r="H248" s="8">
        <f t="shared" si="66"/>
        <v>37</v>
      </c>
      <c r="I248" s="8">
        <f t="shared" si="53"/>
        <v>246.05</v>
      </c>
      <c r="J248" s="7">
        <f t="shared" si="54"/>
        <v>0.77890025307983535</v>
      </c>
      <c r="K248" s="7">
        <f t="shared" si="55"/>
        <v>-0.24987228613673976</v>
      </c>
      <c r="L248" s="7">
        <f t="shared" si="56"/>
        <v>-0.19462558690954362</v>
      </c>
      <c r="M248" s="7">
        <f t="shared" si="57"/>
        <v>0.24987228613673979</v>
      </c>
      <c r="N248" s="7">
        <f t="shared" si="58"/>
        <v>1.8946168546677629</v>
      </c>
      <c r="O248" s="9">
        <f t="shared" si="67"/>
        <v>6.5707407407407414</v>
      </c>
      <c r="P248" s="7">
        <f t="shared" si="59"/>
        <v>1.2134914834262009E-2</v>
      </c>
    </row>
    <row r="249" spans="1:16" x14ac:dyDescent="0.25">
      <c r="A249" t="s">
        <v>122</v>
      </c>
      <c r="B249">
        <v>2021</v>
      </c>
      <c r="C249" s="5" t="str">
        <f>'1_Du_lieu'!C288</f>
        <v>TDMNPB</v>
      </c>
      <c r="D249" s="8">
        <f>'1_Du_lieu'!E288</f>
        <v>4.21</v>
      </c>
      <c r="E249" s="5">
        <f t="shared" si="52"/>
        <v>0</v>
      </c>
      <c r="F249" s="9">
        <f t="shared" si="64"/>
        <v>8.5376785714285699</v>
      </c>
      <c r="G249" s="5">
        <f t="shared" si="65"/>
        <v>56</v>
      </c>
      <c r="H249" s="8">
        <f t="shared" si="66"/>
        <v>3</v>
      </c>
      <c r="I249" s="8">
        <f t="shared" si="53"/>
        <v>12.629999999999999</v>
      </c>
      <c r="J249" s="7">
        <f t="shared" si="54"/>
        <v>0.49310828052121908</v>
      </c>
      <c r="K249" s="7">
        <f t="shared" si="55"/>
        <v>-0.70702649311021248</v>
      </c>
      <c r="L249" s="7">
        <f t="shared" si="56"/>
        <v>-0.34864061830052445</v>
      </c>
      <c r="M249" s="7">
        <f t="shared" si="57"/>
        <v>0.70702649311021259</v>
      </c>
      <c r="N249" s="7">
        <f t="shared" si="58"/>
        <v>1.43746264769429</v>
      </c>
      <c r="O249" s="9">
        <f t="shared" si="67"/>
        <v>6.5707407407407414</v>
      </c>
      <c r="P249" s="7">
        <f t="shared" si="59"/>
        <v>-0.28522509037588384</v>
      </c>
    </row>
    <row r="250" spans="1:16" x14ac:dyDescent="0.25">
      <c r="A250" t="s">
        <v>123</v>
      </c>
      <c r="B250">
        <v>2021</v>
      </c>
      <c r="C250" s="5" t="str">
        <f>'1_Du_lieu'!C289</f>
        <v>ĐBSH</v>
      </c>
      <c r="D250" s="8">
        <f>'1_Du_lieu'!E289</f>
        <v>6.73</v>
      </c>
      <c r="E250" s="5">
        <f t="shared" si="52"/>
        <v>0</v>
      </c>
      <c r="F250" s="9">
        <f t="shared" si="64"/>
        <v>8.5376785714285699</v>
      </c>
      <c r="G250" s="5">
        <f t="shared" si="65"/>
        <v>56</v>
      </c>
      <c r="H250" s="8">
        <f t="shared" si="66"/>
        <v>40</v>
      </c>
      <c r="I250" s="8">
        <f t="shared" si="53"/>
        <v>269.20000000000005</v>
      </c>
      <c r="J250" s="7">
        <f t="shared" si="54"/>
        <v>0.78827048168831459</v>
      </c>
      <c r="K250" s="7">
        <f t="shared" si="55"/>
        <v>-0.23791399714786607</v>
      </c>
      <c r="L250" s="7">
        <f t="shared" si="56"/>
        <v>-0.1875405811321407</v>
      </c>
      <c r="M250" s="7">
        <f t="shared" si="57"/>
        <v>0.23791399714786607</v>
      </c>
      <c r="N250" s="7">
        <f t="shared" si="58"/>
        <v>1.9065751436566365</v>
      </c>
      <c r="O250" s="9">
        <f t="shared" si="67"/>
        <v>6.5707407407407414</v>
      </c>
      <c r="P250" s="7">
        <f t="shared" si="59"/>
        <v>2.4529028483905424E-2</v>
      </c>
    </row>
    <row r="251" spans="1:16" x14ac:dyDescent="0.25">
      <c r="A251" t="s">
        <v>124</v>
      </c>
      <c r="B251">
        <v>2021</v>
      </c>
      <c r="C251" s="5" t="str">
        <f>'1_Du_lieu'!C290</f>
        <v>BTB&amp;DHMT</v>
      </c>
      <c r="D251" s="8">
        <f>'1_Du_lieu'!E290</f>
        <v>6.7</v>
      </c>
      <c r="E251" s="5">
        <f t="shared" si="52"/>
        <v>0</v>
      </c>
      <c r="F251" s="9">
        <f t="shared" si="64"/>
        <v>8.5376785714285699</v>
      </c>
      <c r="G251" s="5">
        <f t="shared" si="65"/>
        <v>56</v>
      </c>
      <c r="H251" s="8">
        <f t="shared" si="66"/>
        <v>39</v>
      </c>
      <c r="I251" s="8">
        <f t="shared" si="53"/>
        <v>261.3</v>
      </c>
      <c r="J251" s="7">
        <f t="shared" si="54"/>
        <v>0.78475664596013484</v>
      </c>
      <c r="K251" s="7">
        <f t="shared" si="55"/>
        <v>-0.24238161440758219</v>
      </c>
      <c r="L251" s="7">
        <f t="shared" si="56"/>
        <v>-0.19021058276489688</v>
      </c>
      <c r="M251" s="7">
        <f t="shared" si="57"/>
        <v>0.24238161440758219</v>
      </c>
      <c r="N251" s="7">
        <f t="shared" si="58"/>
        <v>1.9021075263969205</v>
      </c>
      <c r="O251" s="9">
        <f t="shared" si="67"/>
        <v>6.5707407407407414</v>
      </c>
      <c r="P251" s="7">
        <f t="shared" si="59"/>
        <v>1.9864182616878452E-2</v>
      </c>
    </row>
    <row r="252" spans="1:16" x14ac:dyDescent="0.25">
      <c r="A252" t="s">
        <v>125</v>
      </c>
      <c r="B252">
        <v>2021</v>
      </c>
      <c r="C252" s="5" t="str">
        <f>'1_Du_lieu'!C291</f>
        <v>ĐBSH</v>
      </c>
      <c r="D252" s="8">
        <f>'1_Du_lieu'!E291</f>
        <v>6.31</v>
      </c>
      <c r="E252" s="5">
        <f t="shared" si="52"/>
        <v>0</v>
      </c>
      <c r="F252" s="9">
        <f t="shared" si="64"/>
        <v>8.5376785714285699</v>
      </c>
      <c r="G252" s="5">
        <f t="shared" si="65"/>
        <v>56</v>
      </c>
      <c r="H252" s="8">
        <f t="shared" si="66"/>
        <v>32</v>
      </c>
      <c r="I252" s="8">
        <f t="shared" si="53"/>
        <v>201.92</v>
      </c>
      <c r="J252" s="7">
        <f t="shared" si="54"/>
        <v>0.73907678149379863</v>
      </c>
      <c r="K252" s="7">
        <f t="shared" si="55"/>
        <v>-0.30235346425138077</v>
      </c>
      <c r="L252" s="7">
        <f t="shared" si="56"/>
        <v>-0.22346242523241081</v>
      </c>
      <c r="M252" s="7">
        <f t="shared" si="57"/>
        <v>0.30235346425138077</v>
      </c>
      <c r="N252" s="7">
        <f t="shared" si="58"/>
        <v>1.8421356765531218</v>
      </c>
      <c r="O252" s="9">
        <f t="shared" si="67"/>
        <v>6.5707407407407414</v>
      </c>
      <c r="P252" s="7">
        <f t="shared" si="59"/>
        <v>-3.8884132060812239E-2</v>
      </c>
    </row>
    <row r="253" spans="1:16" x14ac:dyDescent="0.25">
      <c r="A253" t="s">
        <v>126</v>
      </c>
      <c r="B253">
        <v>2021</v>
      </c>
      <c r="C253" s="5" t="str">
        <f>'1_Du_lieu'!C292</f>
        <v>BTB&amp;DHMT</v>
      </c>
      <c r="D253" s="8">
        <f>'1_Du_lieu'!E292</f>
        <v>5.26</v>
      </c>
      <c r="E253" s="5">
        <f t="shared" si="52"/>
        <v>0</v>
      </c>
      <c r="F253" s="9">
        <f t="shared" si="64"/>
        <v>8.5376785714285699</v>
      </c>
      <c r="G253" s="5">
        <f t="shared" si="65"/>
        <v>56</v>
      </c>
      <c r="H253" s="8">
        <f t="shared" si="66"/>
        <v>15.5</v>
      </c>
      <c r="I253" s="8">
        <f t="shared" si="53"/>
        <v>81.53</v>
      </c>
      <c r="J253" s="7">
        <f t="shared" si="54"/>
        <v>0.61609253100750883</v>
      </c>
      <c r="K253" s="7">
        <f t="shared" si="55"/>
        <v>-0.4843581140548841</v>
      </c>
      <c r="L253" s="7">
        <f t="shared" si="56"/>
        <v>-0.29840941640209717</v>
      </c>
      <c r="M253" s="7">
        <f t="shared" si="57"/>
        <v>0.48435811405488405</v>
      </c>
      <c r="N253" s="7">
        <f t="shared" si="58"/>
        <v>1.6601310267496185</v>
      </c>
      <c r="O253" s="9">
        <f t="shared" si="67"/>
        <v>6.5707407407407414</v>
      </c>
      <c r="P253" s="7">
        <f t="shared" si="59"/>
        <v>-0.17811181639224941</v>
      </c>
    </row>
    <row r="254" spans="1:16" x14ac:dyDescent="0.25">
      <c r="A254" t="s">
        <v>127</v>
      </c>
      <c r="B254">
        <v>2021</v>
      </c>
      <c r="C254" s="5" t="str">
        <f>'1_Du_lieu'!C293</f>
        <v>TDMNPB</v>
      </c>
      <c r="D254" s="8">
        <f>'1_Du_lieu'!E293</f>
        <v>5.28</v>
      </c>
      <c r="E254" s="5">
        <f t="shared" si="52"/>
        <v>0</v>
      </c>
      <c r="F254" s="9">
        <f t="shared" ref="F254:F277" si="68">AVERAGE($D$222:$D$277)</f>
        <v>8.5376785714285699</v>
      </c>
      <c r="G254" s="5">
        <f t="shared" ref="G254:G277" si="69">COUNT($D$222:$D$277)</f>
        <v>56</v>
      </c>
      <c r="H254" s="8">
        <f t="shared" ref="H254:H277" si="70">_xlfn.RANK.AVG(D254,$D$222:$D$277,1)</f>
        <v>17</v>
      </c>
      <c r="I254" s="8">
        <f t="shared" si="53"/>
        <v>89.76</v>
      </c>
      <c r="J254" s="7">
        <f t="shared" si="54"/>
        <v>0.61843508815962867</v>
      </c>
      <c r="K254" s="7">
        <f t="shared" si="55"/>
        <v>-0.48056304308633241</v>
      </c>
      <c r="L254" s="7">
        <f t="shared" si="56"/>
        <v>-0.29719704791735541</v>
      </c>
      <c r="M254" s="7">
        <f t="shared" si="57"/>
        <v>0.48056304308633235</v>
      </c>
      <c r="N254" s="7">
        <f t="shared" si="58"/>
        <v>1.6639260977181702</v>
      </c>
      <c r="O254" s="9">
        <f t="shared" ref="O254:O277" si="71">SUMPRODUCT((1-$E$222:$E$277)*$D$222:$D$277)/(G254-SUM($E$222:$E$277))</f>
        <v>6.5707407407407414</v>
      </c>
      <c r="P254" s="7">
        <f t="shared" si="59"/>
        <v>-0.17573947141279686</v>
      </c>
    </row>
    <row r="255" spans="1:16" x14ac:dyDescent="0.25">
      <c r="A255" t="s">
        <v>128</v>
      </c>
      <c r="B255">
        <v>2021</v>
      </c>
      <c r="C255" s="5" t="str">
        <f>'1_Du_lieu'!C294</f>
        <v>BTB&amp;DHMT</v>
      </c>
      <c r="D255" s="8">
        <f>'1_Du_lieu'!E294</f>
        <v>5</v>
      </c>
      <c r="E255" s="5">
        <f t="shared" si="52"/>
        <v>0</v>
      </c>
      <c r="F255" s="9">
        <f t="shared" si="68"/>
        <v>8.5376785714285699</v>
      </c>
      <c r="G255" s="5">
        <f t="shared" si="69"/>
        <v>56</v>
      </c>
      <c r="H255" s="8">
        <f t="shared" si="70"/>
        <v>12</v>
      </c>
      <c r="I255" s="8">
        <f t="shared" si="53"/>
        <v>60</v>
      </c>
      <c r="J255" s="7">
        <f t="shared" si="54"/>
        <v>0.58563928802995135</v>
      </c>
      <c r="K255" s="7">
        <f t="shared" si="55"/>
        <v>-0.5350512283704022</v>
      </c>
      <c r="L255" s="7">
        <f t="shared" si="56"/>
        <v>-0.31334702044239326</v>
      </c>
      <c r="M255" s="7">
        <f t="shared" si="57"/>
        <v>0.5350512283704022</v>
      </c>
      <c r="N255" s="7">
        <f t="shared" si="58"/>
        <v>1.6094379124341003</v>
      </c>
      <c r="O255" s="9">
        <f t="shared" si="71"/>
        <v>6.5707407407407414</v>
      </c>
      <c r="P255" s="7">
        <f t="shared" si="59"/>
        <v>-0.20788269573647067</v>
      </c>
    </row>
    <row r="256" spans="1:16" x14ac:dyDescent="0.25">
      <c r="A256" t="s">
        <v>129</v>
      </c>
      <c r="B256">
        <v>2021</v>
      </c>
      <c r="C256" s="5" t="str">
        <f>'1_Du_lieu'!C295</f>
        <v>BTB&amp;DHMT</v>
      </c>
      <c r="D256" s="8">
        <f>'1_Du_lieu'!E295</f>
        <v>5.32</v>
      </c>
      <c r="E256" s="5">
        <f t="shared" si="52"/>
        <v>0</v>
      </c>
      <c r="F256" s="9">
        <f t="shared" si="68"/>
        <v>8.5376785714285699</v>
      </c>
      <c r="G256" s="5">
        <f t="shared" si="69"/>
        <v>56</v>
      </c>
      <c r="H256" s="8">
        <f t="shared" si="70"/>
        <v>18</v>
      </c>
      <c r="I256" s="8">
        <f t="shared" si="53"/>
        <v>95.76</v>
      </c>
      <c r="J256" s="7">
        <f t="shared" si="54"/>
        <v>0.62312020246386834</v>
      </c>
      <c r="K256" s="7">
        <f t="shared" si="55"/>
        <v>-0.47301583745094938</v>
      </c>
      <c r="L256" s="7">
        <f t="shared" si="56"/>
        <v>-0.29474572440105185</v>
      </c>
      <c r="M256" s="7">
        <f t="shared" si="57"/>
        <v>0.47301583745094949</v>
      </c>
      <c r="N256" s="7">
        <f t="shared" si="58"/>
        <v>1.6714733033535532</v>
      </c>
      <c r="O256" s="9">
        <f t="shared" si="71"/>
        <v>6.5707407407407414</v>
      </c>
      <c r="P256" s="7">
        <f t="shared" si="59"/>
        <v>-0.17096023627854096</v>
      </c>
    </row>
    <row r="257" spans="1:16" x14ac:dyDescent="0.25">
      <c r="A257" t="s">
        <v>130</v>
      </c>
      <c r="B257">
        <v>2021</v>
      </c>
      <c r="C257" s="5" t="str">
        <f>'1_Du_lieu'!C296</f>
        <v>BTB&amp;DHMT</v>
      </c>
      <c r="D257" s="8">
        <f>'1_Du_lieu'!E296</f>
        <v>6.25</v>
      </c>
      <c r="E257" s="5">
        <f t="shared" si="52"/>
        <v>0</v>
      </c>
      <c r="F257" s="9">
        <f t="shared" si="68"/>
        <v>8.5376785714285699</v>
      </c>
      <c r="G257" s="5">
        <f t="shared" si="69"/>
        <v>56</v>
      </c>
      <c r="H257" s="8">
        <f t="shared" si="70"/>
        <v>31</v>
      </c>
      <c r="I257" s="8">
        <f t="shared" si="53"/>
        <v>193.75</v>
      </c>
      <c r="J257" s="7">
        <f t="shared" si="54"/>
        <v>0.73204911003743922</v>
      </c>
      <c r="K257" s="7">
        <f t="shared" si="55"/>
        <v>-0.31190767705619243</v>
      </c>
      <c r="L257" s="7">
        <f t="shared" si="56"/>
        <v>-0.22833173740283066</v>
      </c>
      <c r="M257" s="7">
        <f t="shared" si="57"/>
        <v>0.31190767705619238</v>
      </c>
      <c r="N257" s="7">
        <f t="shared" si="58"/>
        <v>1.8325814637483102</v>
      </c>
      <c r="O257" s="9">
        <f t="shared" si="71"/>
        <v>6.5707407407407414</v>
      </c>
      <c r="P257" s="7">
        <f t="shared" si="59"/>
        <v>-4.7602232281078807E-2</v>
      </c>
    </row>
    <row r="258" spans="1:16" x14ac:dyDescent="0.25">
      <c r="A258" t="s">
        <v>131</v>
      </c>
      <c r="B258">
        <v>2021</v>
      </c>
      <c r="C258" s="5" t="str">
        <f>'1_Du_lieu'!C297</f>
        <v>BTB&amp;DHMT</v>
      </c>
      <c r="D258" s="8">
        <f>'1_Du_lieu'!E297</f>
        <v>5.53</v>
      </c>
      <c r="E258" s="5">
        <f t="shared" si="52"/>
        <v>0</v>
      </c>
      <c r="F258" s="9">
        <f t="shared" si="68"/>
        <v>8.5376785714285699</v>
      </c>
      <c r="G258" s="5">
        <f t="shared" si="69"/>
        <v>56</v>
      </c>
      <c r="H258" s="8">
        <f t="shared" si="70"/>
        <v>23</v>
      </c>
      <c r="I258" s="8">
        <f t="shared" si="53"/>
        <v>127.19000000000001</v>
      </c>
      <c r="J258" s="7">
        <f t="shared" si="54"/>
        <v>0.64771705256112622</v>
      </c>
      <c r="K258" s="7">
        <f t="shared" si="55"/>
        <v>-0.43430132527025911</v>
      </c>
      <c r="L258" s="7">
        <f t="shared" si="56"/>
        <v>-0.28130437432744321</v>
      </c>
      <c r="M258" s="7">
        <f t="shared" si="57"/>
        <v>0.43430132527025911</v>
      </c>
      <c r="N258" s="7">
        <f t="shared" si="58"/>
        <v>1.7101878155342434</v>
      </c>
      <c r="O258" s="9">
        <f t="shared" si="71"/>
        <v>6.5707407407407414</v>
      </c>
      <c r="P258" s="7">
        <f t="shared" si="59"/>
        <v>-0.14512615263000547</v>
      </c>
    </row>
    <row r="259" spans="1:16" x14ac:dyDescent="0.25">
      <c r="A259" t="s">
        <v>132</v>
      </c>
      <c r="B259">
        <v>2021</v>
      </c>
      <c r="C259" s="5" t="str">
        <f>'1_Du_lieu'!C298</f>
        <v>ĐBSH</v>
      </c>
      <c r="D259" s="8">
        <f>'1_Du_lieu'!E298</f>
        <v>8.02</v>
      </c>
      <c r="E259" s="5">
        <f t="shared" si="52"/>
        <v>0</v>
      </c>
      <c r="F259" s="9">
        <f t="shared" si="68"/>
        <v>8.5376785714285699</v>
      </c>
      <c r="G259" s="5">
        <f t="shared" si="69"/>
        <v>56</v>
      </c>
      <c r="H259" s="8">
        <f t="shared" si="70"/>
        <v>46</v>
      </c>
      <c r="I259" s="8">
        <f t="shared" si="53"/>
        <v>368.91999999999996</v>
      </c>
      <c r="J259" s="7">
        <f t="shared" si="54"/>
        <v>0.93936541800004192</v>
      </c>
      <c r="K259" s="7">
        <f t="shared" si="55"/>
        <v>-6.255071892607951E-2</v>
      </c>
      <c r="L259" s="7">
        <f t="shared" si="56"/>
        <v>-5.8757982230199811E-2</v>
      </c>
      <c r="M259" s="7">
        <f t="shared" si="57"/>
        <v>6.2550718926079427E-2</v>
      </c>
      <c r="N259" s="7">
        <f t="shared" si="58"/>
        <v>2.0819384218784229</v>
      </c>
      <c r="O259" s="9">
        <f t="shared" si="71"/>
        <v>6.5707407407407414</v>
      </c>
      <c r="P259" s="7">
        <f t="shared" si="59"/>
        <v>0.24327257740769731</v>
      </c>
    </row>
    <row r="260" spans="1:16" x14ac:dyDescent="0.25">
      <c r="A260" t="s">
        <v>133</v>
      </c>
      <c r="B260">
        <v>2021</v>
      </c>
      <c r="C260" s="5" t="str">
        <f>'1_Du_lieu'!C299</f>
        <v>BTB&amp;DHMT</v>
      </c>
      <c r="D260" s="8">
        <f>'1_Du_lieu'!E299</f>
        <v>5.4</v>
      </c>
      <c r="E260" s="5">
        <f t="shared" si="52"/>
        <v>0</v>
      </c>
      <c r="F260" s="9">
        <f t="shared" si="68"/>
        <v>8.5376785714285699</v>
      </c>
      <c r="G260" s="5">
        <f t="shared" si="69"/>
        <v>56</v>
      </c>
      <c r="H260" s="8">
        <f t="shared" si="70"/>
        <v>20</v>
      </c>
      <c r="I260" s="8">
        <f t="shared" si="53"/>
        <v>108</v>
      </c>
      <c r="J260" s="7">
        <f t="shared" si="54"/>
        <v>0.63249043107234748</v>
      </c>
      <c r="K260" s="7">
        <f t="shared" si="55"/>
        <v>-0.45809018723427386</v>
      </c>
      <c r="L260" s="7">
        <f t="shared" si="56"/>
        <v>-0.28973765999381823</v>
      </c>
      <c r="M260" s="7">
        <f t="shared" si="57"/>
        <v>0.4580901872342738</v>
      </c>
      <c r="N260" s="7">
        <f t="shared" si="58"/>
        <v>1.6863989535702288</v>
      </c>
      <c r="O260" s="9">
        <f t="shared" si="71"/>
        <v>6.5707407407407414</v>
      </c>
      <c r="P260" s="7">
        <f t="shared" si="59"/>
        <v>-0.16126479215945169</v>
      </c>
    </row>
    <row r="261" spans="1:16" x14ac:dyDescent="0.25">
      <c r="A261" t="s">
        <v>136</v>
      </c>
      <c r="B261">
        <v>2021</v>
      </c>
      <c r="C261" s="5" t="str">
        <f>'1_Du_lieu'!C302</f>
        <v>ĐNB</v>
      </c>
      <c r="D261" s="8">
        <f>'1_Du_lieu'!E302</f>
        <v>67.63</v>
      </c>
      <c r="E261" s="5">
        <f t="shared" ref="E261:E324" si="72">IF(OR(A261="Hà Nội",A261="TP. Hồ Chí Minh"),1,0)</f>
        <v>1</v>
      </c>
      <c r="F261" s="9">
        <f t="shared" si="68"/>
        <v>8.5376785714285699</v>
      </c>
      <c r="G261" s="5">
        <f t="shared" si="69"/>
        <v>56</v>
      </c>
      <c r="H261" s="8">
        <f t="shared" si="70"/>
        <v>56</v>
      </c>
      <c r="I261" s="8">
        <f t="shared" ref="I261:I324" si="73">H261*D261</f>
        <v>3787.2799999999997</v>
      </c>
      <c r="J261" s="7">
        <f t="shared" ref="J261:J324" si="74">D261/F261</f>
        <v>7.9213570098931214</v>
      </c>
      <c r="K261" s="7">
        <f t="shared" ref="K261:K324" si="75">LN(J261)</f>
        <v>2.069562530782346</v>
      </c>
      <c r="L261" s="7">
        <f t="shared" ref="L261:L324" si="76">J261*K261</f>
        <v>16.393743660624885</v>
      </c>
      <c r="M261" s="7">
        <f t="shared" ref="M261:M324" si="77">LN(F261/D261)</f>
        <v>-2.069562530782346</v>
      </c>
      <c r="N261" s="7">
        <f t="shared" ref="N261:N324" si="78">LN(D261)</f>
        <v>4.2140516715868488</v>
      </c>
      <c r="O261" s="9">
        <f t="shared" si="71"/>
        <v>6.5707407407407414</v>
      </c>
      <c r="P261" s="7">
        <f t="shared" ref="P261:P324" si="79">(1-E261)*(D261/O261)*LN(D261/O261)</f>
        <v>0</v>
      </c>
    </row>
    <row r="262" spans="1:16" x14ac:dyDescent="0.25">
      <c r="A262" t="s">
        <v>137</v>
      </c>
      <c r="B262">
        <v>2021</v>
      </c>
      <c r="C262" s="5" t="str">
        <f>'1_Du_lieu'!C303</f>
        <v>BTB&amp;DHMT</v>
      </c>
      <c r="D262" s="8">
        <f>'1_Du_lieu'!E303</f>
        <v>6.8</v>
      </c>
      <c r="E262" s="5">
        <f t="shared" si="72"/>
        <v>0</v>
      </c>
      <c r="F262" s="9">
        <f t="shared" si="68"/>
        <v>8.5376785714285699</v>
      </c>
      <c r="G262" s="5">
        <f t="shared" si="69"/>
        <v>56</v>
      </c>
      <c r="H262" s="8">
        <f t="shared" si="70"/>
        <v>41.5</v>
      </c>
      <c r="I262" s="8">
        <f t="shared" si="73"/>
        <v>282.2</v>
      </c>
      <c r="J262" s="7">
        <f t="shared" si="74"/>
        <v>0.79646943172073381</v>
      </c>
      <c r="K262" s="7">
        <f t="shared" si="75"/>
        <v>-0.22756652862244162</v>
      </c>
      <c r="L262" s="7">
        <f t="shared" si="76"/>
        <v>-0.18124978373057618</v>
      </c>
      <c r="M262" s="7">
        <f t="shared" si="77"/>
        <v>0.22756652862244156</v>
      </c>
      <c r="N262" s="7">
        <f t="shared" si="78"/>
        <v>1.9169226121820611</v>
      </c>
      <c r="O262" s="9">
        <f t="shared" si="71"/>
        <v>6.5707407407407414</v>
      </c>
      <c r="P262" s="7">
        <f t="shared" si="79"/>
        <v>3.5492660869735071E-2</v>
      </c>
    </row>
    <row r="263" spans="1:16" x14ac:dyDescent="0.25">
      <c r="A263" t="s">
        <v>138</v>
      </c>
      <c r="B263">
        <v>2021</v>
      </c>
      <c r="C263" s="5" t="str">
        <f>'1_Du_lieu'!C304</f>
        <v>ĐBSH</v>
      </c>
      <c r="D263" s="8">
        <f>'1_Du_lieu'!E304</f>
        <v>5.48</v>
      </c>
      <c r="E263" s="5">
        <f t="shared" si="72"/>
        <v>0</v>
      </c>
      <c r="F263" s="9">
        <f t="shared" si="68"/>
        <v>8.5376785714285699</v>
      </c>
      <c r="G263" s="5">
        <f t="shared" si="69"/>
        <v>56</v>
      </c>
      <c r="H263" s="8">
        <f t="shared" si="70"/>
        <v>22</v>
      </c>
      <c r="I263" s="8">
        <f t="shared" si="73"/>
        <v>120.56</v>
      </c>
      <c r="J263" s="7">
        <f t="shared" si="74"/>
        <v>0.64186065968082673</v>
      </c>
      <c r="K263" s="7">
        <f t="shared" si="75"/>
        <v>-0.44338403984457836</v>
      </c>
      <c r="L263" s="7">
        <f t="shared" si="76"/>
        <v>-0.28459077230659102</v>
      </c>
      <c r="M263" s="7">
        <f t="shared" si="77"/>
        <v>0.44338403984457825</v>
      </c>
      <c r="N263" s="7">
        <f t="shared" si="78"/>
        <v>1.7011051009599243</v>
      </c>
      <c r="O263" s="9">
        <f t="shared" si="71"/>
        <v>6.5707407407407414</v>
      </c>
      <c r="P263" s="7">
        <f t="shared" si="79"/>
        <v>-0.15138896829482368</v>
      </c>
    </row>
    <row r="264" spans="1:16" x14ac:dyDescent="0.25">
      <c r="A264" t="s">
        <v>139</v>
      </c>
      <c r="B264">
        <v>2021</v>
      </c>
      <c r="C264" s="5" t="str">
        <f>'1_Du_lieu'!C305</f>
        <v>TDMNPB</v>
      </c>
      <c r="D264" s="8">
        <f>'1_Du_lieu'!E305</f>
        <v>6.38</v>
      </c>
      <c r="E264" s="5">
        <f t="shared" si="72"/>
        <v>0</v>
      </c>
      <c r="F264" s="9">
        <f t="shared" si="68"/>
        <v>8.5376785714285699</v>
      </c>
      <c r="G264" s="5">
        <f t="shared" si="69"/>
        <v>56</v>
      </c>
      <c r="H264" s="8">
        <f t="shared" si="70"/>
        <v>34</v>
      </c>
      <c r="I264" s="8">
        <f t="shared" si="73"/>
        <v>216.92</v>
      </c>
      <c r="J264" s="7">
        <f t="shared" si="74"/>
        <v>0.74727573152621796</v>
      </c>
      <c r="K264" s="7">
        <f t="shared" si="75"/>
        <v>-0.29132104344780402</v>
      </c>
      <c r="L264" s="7">
        <f t="shared" si="76"/>
        <v>-0.21769714585143887</v>
      </c>
      <c r="M264" s="7">
        <f t="shared" si="77"/>
        <v>0.29132104344780402</v>
      </c>
      <c r="N264" s="7">
        <f t="shared" si="78"/>
        <v>1.8531680973566984</v>
      </c>
      <c r="O264" s="9">
        <f t="shared" si="71"/>
        <v>6.5707407407407414</v>
      </c>
      <c r="P264" s="7">
        <f t="shared" si="79"/>
        <v>-2.8603330442523701E-2</v>
      </c>
    </row>
    <row r="265" spans="1:16" x14ac:dyDescent="0.25">
      <c r="A265" t="s">
        <v>140</v>
      </c>
      <c r="B265">
        <v>2021</v>
      </c>
      <c r="C265" s="5" t="str">
        <f>'1_Du_lieu'!C306</f>
        <v>BTB&amp;DHMT</v>
      </c>
      <c r="D265" s="8">
        <f>'1_Du_lieu'!E306</f>
        <v>6.15</v>
      </c>
      <c r="E265" s="5">
        <f t="shared" si="72"/>
        <v>0</v>
      </c>
      <c r="F265" s="9">
        <f t="shared" si="68"/>
        <v>8.5376785714285699</v>
      </c>
      <c r="G265" s="5">
        <f t="shared" si="69"/>
        <v>56</v>
      </c>
      <c r="H265" s="8">
        <f t="shared" si="70"/>
        <v>30</v>
      </c>
      <c r="I265" s="8">
        <f t="shared" si="73"/>
        <v>184.5</v>
      </c>
      <c r="J265" s="7">
        <f t="shared" si="74"/>
        <v>0.72033632427684025</v>
      </c>
      <c r="K265" s="7">
        <f t="shared" si="75"/>
        <v>-0.32803705898607599</v>
      </c>
      <c r="L265" s="7">
        <f t="shared" si="76"/>
        <v>-0.23629700929661501</v>
      </c>
      <c r="M265" s="7">
        <f t="shared" si="77"/>
        <v>0.32803705898607605</v>
      </c>
      <c r="N265" s="7">
        <f t="shared" si="78"/>
        <v>1.8164520818184267</v>
      </c>
      <c r="O265" s="9">
        <f t="shared" si="71"/>
        <v>6.5707407407407414</v>
      </c>
      <c r="P265" s="7">
        <f t="shared" si="79"/>
        <v>-6.1937174375624661E-2</v>
      </c>
    </row>
    <row r="266" spans="1:16" x14ac:dyDescent="0.25">
      <c r="A266" t="s">
        <v>141</v>
      </c>
      <c r="B266">
        <v>2021</v>
      </c>
      <c r="C266" s="5" t="str">
        <f>'1_Du_lieu'!C307</f>
        <v>ĐBSCL</v>
      </c>
      <c r="D266" s="8">
        <f>'1_Du_lieu'!E307</f>
        <v>5.36</v>
      </c>
      <c r="E266" s="5">
        <f t="shared" si="72"/>
        <v>0</v>
      </c>
      <c r="F266" s="9">
        <f t="shared" si="68"/>
        <v>8.5376785714285699</v>
      </c>
      <c r="G266" s="5">
        <f t="shared" si="69"/>
        <v>56</v>
      </c>
      <c r="H266" s="8">
        <f t="shared" si="70"/>
        <v>19</v>
      </c>
      <c r="I266" s="8">
        <f t="shared" si="73"/>
        <v>101.84</v>
      </c>
      <c r="J266" s="7">
        <f t="shared" si="74"/>
        <v>0.62780531676810791</v>
      </c>
      <c r="K266" s="7">
        <f t="shared" si="75"/>
        <v>-0.46552516572179187</v>
      </c>
      <c r="L266" s="7">
        <f t="shared" si="76"/>
        <v>-0.29225917412949548</v>
      </c>
      <c r="M266" s="7">
        <f t="shared" si="77"/>
        <v>0.46552516572179187</v>
      </c>
      <c r="N266" s="7">
        <f t="shared" si="78"/>
        <v>1.6789639750827108</v>
      </c>
      <c r="O266" s="9">
        <f t="shared" si="71"/>
        <v>6.5707407407407414</v>
      </c>
      <c r="P266" s="7">
        <f t="shared" si="79"/>
        <v>-0.16613522933174063</v>
      </c>
    </row>
    <row r="267" spans="1:16" x14ac:dyDescent="0.25">
      <c r="A267" t="s">
        <v>142</v>
      </c>
      <c r="B267">
        <v>2021</v>
      </c>
      <c r="C267" s="5" t="str">
        <f>'1_Du_lieu'!C308</f>
        <v>ĐBSCL</v>
      </c>
      <c r="D267" s="8">
        <f>'1_Du_lieu'!E308</f>
        <v>4.38</v>
      </c>
      <c r="E267" s="5">
        <f t="shared" si="72"/>
        <v>0</v>
      </c>
      <c r="F267" s="9">
        <f t="shared" si="68"/>
        <v>8.5376785714285699</v>
      </c>
      <c r="G267" s="5">
        <f t="shared" si="69"/>
        <v>56</v>
      </c>
      <c r="H267" s="8">
        <f t="shared" si="70"/>
        <v>4</v>
      </c>
      <c r="I267" s="8">
        <f t="shared" si="73"/>
        <v>17.52</v>
      </c>
      <c r="J267" s="7">
        <f t="shared" si="74"/>
        <v>0.51302001631423744</v>
      </c>
      <c r="K267" s="7">
        <f t="shared" si="75"/>
        <v>-0.66744041641614771</v>
      </c>
      <c r="L267" s="7">
        <f t="shared" si="76"/>
        <v>-0.34241029331859352</v>
      </c>
      <c r="M267" s="7">
        <f t="shared" si="77"/>
        <v>0.66744041641614782</v>
      </c>
      <c r="N267" s="7">
        <f t="shared" si="78"/>
        <v>1.4770487243883548</v>
      </c>
      <c r="O267" s="9">
        <f t="shared" si="71"/>
        <v>6.5707407407407414</v>
      </c>
      <c r="P267" s="7">
        <f t="shared" si="79"/>
        <v>-0.27035475038961637</v>
      </c>
    </row>
    <row r="268" spans="1:16" x14ac:dyDescent="0.25">
      <c r="A268" t="s">
        <v>143</v>
      </c>
      <c r="B268">
        <v>2021</v>
      </c>
      <c r="C268" s="5" t="str">
        <f>'1_Du_lieu'!C309</f>
        <v>TDMNPB</v>
      </c>
      <c r="D268" s="8">
        <f>'1_Du_lieu'!E309</f>
        <v>4</v>
      </c>
      <c r="E268" s="5">
        <f t="shared" si="72"/>
        <v>0</v>
      </c>
      <c r="F268" s="9">
        <f t="shared" si="68"/>
        <v>8.5376785714285699</v>
      </c>
      <c r="G268" s="5">
        <f t="shared" si="69"/>
        <v>56</v>
      </c>
      <c r="H268" s="8">
        <f t="shared" si="70"/>
        <v>2</v>
      </c>
      <c r="I268" s="8">
        <f t="shared" si="73"/>
        <v>8</v>
      </c>
      <c r="J268" s="7">
        <f t="shared" si="74"/>
        <v>0.46851143042396109</v>
      </c>
      <c r="K268" s="7">
        <f t="shared" si="75"/>
        <v>-0.75819477968461191</v>
      </c>
      <c r="L268" s="7">
        <f t="shared" si="76"/>
        <v>-0.35522292077001755</v>
      </c>
      <c r="M268" s="7">
        <f t="shared" si="77"/>
        <v>0.75819477968461191</v>
      </c>
      <c r="N268" s="7">
        <f t="shared" si="78"/>
        <v>1.3862943611198906</v>
      </c>
      <c r="O268" s="9">
        <f t="shared" si="71"/>
        <v>6.5707407407407414</v>
      </c>
      <c r="P268" s="7">
        <f t="shared" si="79"/>
        <v>-0.30214688451846267</v>
      </c>
    </row>
    <row r="269" spans="1:16" x14ac:dyDescent="0.25">
      <c r="A269" t="s">
        <v>144</v>
      </c>
      <c r="B269">
        <v>2021</v>
      </c>
      <c r="C269" s="5" t="str">
        <f>'1_Du_lieu'!C310</f>
        <v>ĐNB</v>
      </c>
      <c r="D269" s="8">
        <f>'1_Du_lieu'!E310</f>
        <v>5.56</v>
      </c>
      <c r="E269" s="5">
        <f t="shared" si="72"/>
        <v>0</v>
      </c>
      <c r="F269" s="9">
        <f t="shared" si="68"/>
        <v>8.5376785714285699</v>
      </c>
      <c r="G269" s="5">
        <f t="shared" si="69"/>
        <v>56</v>
      </c>
      <c r="H269" s="8">
        <f t="shared" si="70"/>
        <v>24</v>
      </c>
      <c r="I269" s="8">
        <f t="shared" si="73"/>
        <v>133.44</v>
      </c>
      <c r="J269" s="7">
        <f t="shared" si="74"/>
        <v>0.65123088828930586</v>
      </c>
      <c r="K269" s="7">
        <f t="shared" si="75"/>
        <v>-0.42889103254201166</v>
      </c>
      <c r="L269" s="7">
        <f t="shared" si="76"/>
        <v>-0.27930708810165183</v>
      </c>
      <c r="M269" s="7">
        <f t="shared" si="77"/>
        <v>0.42889103254201166</v>
      </c>
      <c r="N269" s="7">
        <f t="shared" si="78"/>
        <v>1.7155981082624909</v>
      </c>
      <c r="O269" s="9">
        <f t="shared" si="71"/>
        <v>6.5707407407407414</v>
      </c>
      <c r="P269" s="7">
        <f t="shared" si="79"/>
        <v>-0.14133539815409096</v>
      </c>
    </row>
    <row r="270" spans="1:16" x14ac:dyDescent="0.25">
      <c r="A270" t="s">
        <v>145</v>
      </c>
      <c r="B270">
        <v>2021</v>
      </c>
      <c r="C270" s="5" t="str">
        <f>'1_Du_lieu'!C311</f>
        <v>ĐBSCL</v>
      </c>
      <c r="D270" s="8">
        <f>'1_Du_lieu'!E311</f>
        <v>4.5999999999999996</v>
      </c>
      <c r="E270" s="5">
        <f t="shared" si="72"/>
        <v>0</v>
      </c>
      <c r="F270" s="9">
        <f t="shared" si="68"/>
        <v>8.5376785714285699</v>
      </c>
      <c r="G270" s="5">
        <f t="shared" si="69"/>
        <v>56</v>
      </c>
      <c r="H270" s="8">
        <f t="shared" si="70"/>
        <v>7.5</v>
      </c>
      <c r="I270" s="8">
        <f t="shared" si="73"/>
        <v>34.5</v>
      </c>
      <c r="J270" s="7">
        <f t="shared" si="74"/>
        <v>0.53878814498755523</v>
      </c>
      <c r="K270" s="7">
        <f t="shared" si="75"/>
        <v>-0.61843283730945331</v>
      </c>
      <c r="L270" s="7">
        <f t="shared" si="76"/>
        <v>-0.33320428121335088</v>
      </c>
      <c r="M270" s="7">
        <f t="shared" si="77"/>
        <v>0.61843283730945331</v>
      </c>
      <c r="N270" s="7">
        <f t="shared" si="78"/>
        <v>1.5260563034950492</v>
      </c>
      <c r="O270" s="9">
        <f t="shared" si="71"/>
        <v>6.5707407407407414</v>
      </c>
      <c r="P270" s="7">
        <f t="shared" si="79"/>
        <v>-0.24962531625493958</v>
      </c>
    </row>
    <row r="271" spans="1:16" x14ac:dyDescent="0.25">
      <c r="A271" t="s">
        <v>146</v>
      </c>
      <c r="B271">
        <v>2021</v>
      </c>
      <c r="C271" s="5" t="str">
        <f>'1_Du_lieu'!C312</f>
        <v>ĐBSH</v>
      </c>
      <c r="D271" s="8">
        <f>'1_Du_lieu'!E312</f>
        <v>7.19</v>
      </c>
      <c r="E271" s="5">
        <f t="shared" si="72"/>
        <v>0</v>
      </c>
      <c r="F271" s="9">
        <f t="shared" si="68"/>
        <v>8.5376785714285699</v>
      </c>
      <c r="G271" s="5">
        <f t="shared" si="69"/>
        <v>56</v>
      </c>
      <c r="H271" s="8">
        <f t="shared" si="70"/>
        <v>43</v>
      </c>
      <c r="I271" s="8">
        <f t="shared" si="73"/>
        <v>309.17</v>
      </c>
      <c r="J271" s="7">
        <f t="shared" si="74"/>
        <v>0.84214929618707013</v>
      </c>
      <c r="K271" s="7">
        <f t="shared" si="75"/>
        <v>-0.17179796907154718</v>
      </c>
      <c r="L271" s="7">
        <f t="shared" si="76"/>
        <v>-0.1446795387399715</v>
      </c>
      <c r="M271" s="7">
        <f t="shared" si="77"/>
        <v>0.17179796907154724</v>
      </c>
      <c r="N271" s="7">
        <f t="shared" si="78"/>
        <v>1.9726911717329554</v>
      </c>
      <c r="O271" s="9">
        <f t="shared" si="71"/>
        <v>6.5707407407407414</v>
      </c>
      <c r="P271" s="7">
        <f t="shared" si="79"/>
        <v>9.8552735093362626E-2</v>
      </c>
    </row>
    <row r="272" spans="1:16" x14ac:dyDescent="0.25">
      <c r="A272" t="s">
        <v>147</v>
      </c>
      <c r="B272">
        <v>2021</v>
      </c>
      <c r="C272" s="5" t="str">
        <f>'1_Du_lieu'!C313</f>
        <v>TDMNPB</v>
      </c>
      <c r="D272" s="8">
        <f>'1_Du_lieu'!E313</f>
        <v>5.26</v>
      </c>
      <c r="E272" s="5">
        <f t="shared" si="72"/>
        <v>0</v>
      </c>
      <c r="F272" s="9">
        <f t="shared" si="68"/>
        <v>8.5376785714285699</v>
      </c>
      <c r="G272" s="5">
        <f t="shared" si="69"/>
        <v>56</v>
      </c>
      <c r="H272" s="8">
        <f t="shared" si="70"/>
        <v>15.5</v>
      </c>
      <c r="I272" s="8">
        <f t="shared" si="73"/>
        <v>81.53</v>
      </c>
      <c r="J272" s="7">
        <f t="shared" si="74"/>
        <v>0.61609253100750883</v>
      </c>
      <c r="K272" s="7">
        <f t="shared" si="75"/>
        <v>-0.4843581140548841</v>
      </c>
      <c r="L272" s="7">
        <f t="shared" si="76"/>
        <v>-0.29840941640209717</v>
      </c>
      <c r="M272" s="7">
        <f t="shared" si="77"/>
        <v>0.48435811405488405</v>
      </c>
      <c r="N272" s="7">
        <f t="shared" si="78"/>
        <v>1.6601310267496185</v>
      </c>
      <c r="O272" s="9">
        <f t="shared" si="71"/>
        <v>6.5707407407407414</v>
      </c>
      <c r="P272" s="7">
        <f t="shared" si="79"/>
        <v>-0.17811181639224941</v>
      </c>
    </row>
    <row r="273" spans="1:16" x14ac:dyDescent="0.25">
      <c r="A273" t="s">
        <v>149</v>
      </c>
      <c r="B273">
        <v>2021</v>
      </c>
      <c r="C273" s="5" t="str">
        <f>'1_Du_lieu'!C315</f>
        <v>BTB&amp;DHMT</v>
      </c>
      <c r="D273" s="8">
        <f>'1_Du_lieu'!E315</f>
        <v>19.04</v>
      </c>
      <c r="E273" s="5">
        <f t="shared" si="72"/>
        <v>0</v>
      </c>
      <c r="F273" s="9">
        <f t="shared" si="68"/>
        <v>8.5376785714285699</v>
      </c>
      <c r="G273" s="5">
        <f t="shared" si="69"/>
        <v>56</v>
      </c>
      <c r="H273" s="8">
        <f t="shared" si="70"/>
        <v>54</v>
      </c>
      <c r="I273" s="8">
        <f t="shared" si="73"/>
        <v>1028.1599999999999</v>
      </c>
      <c r="J273" s="7">
        <f t="shared" si="74"/>
        <v>2.2301144088180549</v>
      </c>
      <c r="K273" s="7">
        <f t="shared" si="75"/>
        <v>0.8020528885587167</v>
      </c>
      <c r="L273" s="7">
        <f t="shared" si="76"/>
        <v>1.7886697034089358</v>
      </c>
      <c r="M273" s="7">
        <f t="shared" si="77"/>
        <v>-0.80205288855871659</v>
      </c>
      <c r="N273" s="7">
        <f t="shared" si="78"/>
        <v>2.9465420293632194</v>
      </c>
      <c r="O273" s="9">
        <f t="shared" si="71"/>
        <v>6.5707407407407414</v>
      </c>
      <c r="P273" s="7">
        <f t="shared" si="79"/>
        <v>3.0829020815411132</v>
      </c>
    </row>
    <row r="274" spans="1:16" x14ac:dyDescent="0.25">
      <c r="A274" t="s">
        <v>150</v>
      </c>
      <c r="B274">
        <v>2021</v>
      </c>
      <c r="C274" s="5" t="str">
        <f>'1_Du_lieu'!C316</f>
        <v>TN</v>
      </c>
      <c r="D274" s="8">
        <f>'1_Du_lieu'!E316</f>
        <v>5.6</v>
      </c>
      <c r="E274" s="5">
        <f t="shared" si="72"/>
        <v>0</v>
      </c>
      <c r="F274" s="9">
        <f t="shared" si="68"/>
        <v>8.5376785714285699</v>
      </c>
      <c r="G274" s="5">
        <f t="shared" si="69"/>
        <v>56</v>
      </c>
      <c r="H274" s="8">
        <f t="shared" si="70"/>
        <v>26</v>
      </c>
      <c r="I274" s="8">
        <f t="shared" si="73"/>
        <v>145.6</v>
      </c>
      <c r="J274" s="7">
        <f t="shared" si="74"/>
        <v>0.65591600259354554</v>
      </c>
      <c r="K274" s="7">
        <f t="shared" si="75"/>
        <v>-0.42172254306339901</v>
      </c>
      <c r="L274" s="7">
        <f t="shared" si="76"/>
        <v>-0.27661456464972906</v>
      </c>
      <c r="M274" s="7">
        <f t="shared" si="77"/>
        <v>0.42172254306339912</v>
      </c>
      <c r="N274" s="7">
        <f t="shared" si="78"/>
        <v>1.7227665977411035</v>
      </c>
      <c r="O274" s="9">
        <f t="shared" si="71"/>
        <v>6.5707407407407414</v>
      </c>
      <c r="P274" s="7">
        <f t="shared" si="79"/>
        <v>-0.13624276037574701</v>
      </c>
    </row>
    <row r="275" spans="1:16" x14ac:dyDescent="0.25">
      <c r="A275" t="s">
        <v>151</v>
      </c>
      <c r="B275">
        <v>2021</v>
      </c>
      <c r="C275" s="5" t="str">
        <f>'1_Du_lieu'!C317</f>
        <v>TN</v>
      </c>
      <c r="D275" s="8">
        <f>'1_Du_lieu'!E317</f>
        <v>4.67</v>
      </c>
      <c r="E275" s="5">
        <f t="shared" si="72"/>
        <v>0</v>
      </c>
      <c r="F275" s="9">
        <f t="shared" si="68"/>
        <v>8.5376785714285699</v>
      </c>
      <c r="G275" s="5">
        <f t="shared" si="69"/>
        <v>56</v>
      </c>
      <c r="H275" s="8">
        <f t="shared" si="70"/>
        <v>9</v>
      </c>
      <c r="I275" s="8">
        <f t="shared" si="73"/>
        <v>42.03</v>
      </c>
      <c r="J275" s="7">
        <f t="shared" si="74"/>
        <v>0.54698709501997456</v>
      </c>
      <c r="K275" s="7">
        <f t="shared" si="75"/>
        <v>-0.60333006912369669</v>
      </c>
      <c r="L275" s="7">
        <f t="shared" si="76"/>
        <v>-0.33001376184817127</v>
      </c>
      <c r="M275" s="7">
        <f t="shared" si="77"/>
        <v>0.60333006912369669</v>
      </c>
      <c r="N275" s="7">
        <f t="shared" si="78"/>
        <v>1.5411590716808059</v>
      </c>
      <c r="O275" s="9">
        <f t="shared" si="71"/>
        <v>6.5707407407407414</v>
      </c>
      <c r="P275" s="7">
        <f t="shared" si="79"/>
        <v>-0.24269002380841037</v>
      </c>
    </row>
    <row r="276" spans="1:16" x14ac:dyDescent="0.25">
      <c r="A276" t="s">
        <v>152</v>
      </c>
      <c r="B276">
        <v>2021</v>
      </c>
      <c r="C276" s="5" t="str">
        <f>'1_Du_lieu'!C318</f>
        <v>ĐNB</v>
      </c>
      <c r="D276" s="8">
        <f>'1_Du_lieu'!E318</f>
        <v>11.14</v>
      </c>
      <c r="E276" s="5">
        <f t="shared" si="72"/>
        <v>0</v>
      </c>
      <c r="F276" s="9">
        <f t="shared" si="68"/>
        <v>8.5376785714285699</v>
      </c>
      <c r="G276" s="5">
        <f t="shared" si="69"/>
        <v>56</v>
      </c>
      <c r="H276" s="8">
        <f t="shared" si="70"/>
        <v>52</v>
      </c>
      <c r="I276" s="8">
        <f t="shared" si="73"/>
        <v>579.28</v>
      </c>
      <c r="J276" s="7">
        <f t="shared" si="74"/>
        <v>1.3048043337307318</v>
      </c>
      <c r="K276" s="7">
        <f t="shared" si="75"/>
        <v>0.26605309369463553</v>
      </c>
      <c r="L276" s="7">
        <f t="shared" si="76"/>
        <v>0.34714722965522887</v>
      </c>
      <c r="M276" s="7">
        <f t="shared" si="77"/>
        <v>-0.26605309369463542</v>
      </c>
      <c r="N276" s="7">
        <f t="shared" si="78"/>
        <v>2.4105422344991378</v>
      </c>
      <c r="O276" s="9">
        <f t="shared" si="71"/>
        <v>6.5707407407407414</v>
      </c>
      <c r="P276" s="7">
        <f t="shared" si="79"/>
        <v>0.89502549431243461</v>
      </c>
    </row>
    <row r="277" spans="1:16" x14ac:dyDescent="0.25">
      <c r="A277" t="s">
        <v>153</v>
      </c>
      <c r="B277">
        <v>2021</v>
      </c>
      <c r="C277" s="5" t="str">
        <f>'1_Du_lieu'!C319</f>
        <v>ĐBSCL</v>
      </c>
      <c r="D277" s="8">
        <f>'1_Du_lieu'!E319</f>
        <v>5.58</v>
      </c>
      <c r="E277" s="5">
        <f t="shared" si="72"/>
        <v>0</v>
      </c>
      <c r="F277" s="9">
        <f t="shared" si="68"/>
        <v>8.5376785714285699</v>
      </c>
      <c r="G277" s="5">
        <f t="shared" si="69"/>
        <v>56</v>
      </c>
      <c r="H277" s="8">
        <f t="shared" si="70"/>
        <v>25</v>
      </c>
      <c r="I277" s="8">
        <f t="shared" si="73"/>
        <v>139.5</v>
      </c>
      <c r="J277" s="7">
        <f t="shared" si="74"/>
        <v>0.6535734454414257</v>
      </c>
      <c r="K277" s="7">
        <f t="shared" si="75"/>
        <v>-0.42530036441128305</v>
      </c>
      <c r="L277" s="7">
        <f t="shared" si="76"/>
        <v>-0.27796502451577615</v>
      </c>
      <c r="M277" s="7">
        <f t="shared" si="77"/>
        <v>0.42530036441128294</v>
      </c>
      <c r="N277" s="7">
        <f t="shared" si="78"/>
        <v>1.7191887763932197</v>
      </c>
      <c r="O277" s="9">
        <f t="shared" si="71"/>
        <v>6.5707407407407414</v>
      </c>
      <c r="P277" s="7">
        <f t="shared" si="79"/>
        <v>-0.13879453410967141</v>
      </c>
    </row>
    <row r="278" spans="1:16" x14ac:dyDescent="0.25">
      <c r="A278" t="s">
        <v>85</v>
      </c>
      <c r="B278">
        <v>2022</v>
      </c>
      <c r="C278" s="5" t="str">
        <f>'1_Du_lieu'!C320</f>
        <v>ĐBSCL</v>
      </c>
      <c r="D278" s="8">
        <f>'1_Du_lieu'!E320</f>
        <v>17</v>
      </c>
      <c r="E278" s="5">
        <f t="shared" si="72"/>
        <v>0</v>
      </c>
      <c r="F278" s="9">
        <f t="shared" ref="F278:F309" si="80">AVERAGE($D$278:$D$333)</f>
        <v>20.376785714285713</v>
      </c>
      <c r="G278" s="5">
        <f t="shared" ref="G278:G309" si="81">COUNT($D$278:$D$333)</f>
        <v>56</v>
      </c>
      <c r="H278" s="8">
        <f t="shared" ref="H278:H309" si="82">_xlfn.RANK.AVG(D278,$D$278:$D$333,1)</f>
        <v>30</v>
      </c>
      <c r="I278" s="8">
        <f t="shared" si="73"/>
        <v>510</v>
      </c>
      <c r="J278" s="7">
        <f t="shared" si="74"/>
        <v>0.83428270966611173</v>
      </c>
      <c r="K278" s="7">
        <f t="shared" si="75"/>
        <v>-0.18118295364926856</v>
      </c>
      <c r="L278" s="7">
        <f t="shared" si="76"/>
        <v>-0.15115780551582131</v>
      </c>
      <c r="M278" s="7">
        <f t="shared" si="77"/>
        <v>0.18118295364926865</v>
      </c>
      <c r="N278" s="7">
        <f t="shared" si="78"/>
        <v>2.8332133440562162</v>
      </c>
      <c r="O278" s="9">
        <f t="shared" ref="O278:O309" si="83">SUMPRODUCT((1-$E$278:$E$333)*$D$278:$D$333)/(G278-SUM($E$278:$E$333))</f>
        <v>17.862962962962964</v>
      </c>
      <c r="P278" s="7">
        <f t="shared" si="79"/>
        <v>-4.7123984469419303E-2</v>
      </c>
    </row>
    <row r="279" spans="1:16" x14ac:dyDescent="0.25">
      <c r="A279" t="s">
        <v>87</v>
      </c>
      <c r="B279">
        <v>2022</v>
      </c>
      <c r="C279" s="5" t="str">
        <f>'1_Du_lieu'!C321</f>
        <v>ĐNB</v>
      </c>
      <c r="D279" s="8">
        <f>'1_Du_lieu'!E321</f>
        <v>25.3</v>
      </c>
      <c r="E279" s="5">
        <f t="shared" si="72"/>
        <v>0</v>
      </c>
      <c r="F279" s="9">
        <f t="shared" si="80"/>
        <v>20.376785714285713</v>
      </c>
      <c r="G279" s="5">
        <f t="shared" si="81"/>
        <v>56</v>
      </c>
      <c r="H279" s="8">
        <f t="shared" si="82"/>
        <v>48</v>
      </c>
      <c r="I279" s="8">
        <f t="shared" si="73"/>
        <v>1214.4000000000001</v>
      </c>
      <c r="J279" s="7">
        <f t="shared" si="74"/>
        <v>1.2416089737972134</v>
      </c>
      <c r="K279" s="7">
        <f t="shared" si="75"/>
        <v>0.21640809802798991</v>
      </c>
      <c r="L279" s="7">
        <f t="shared" si="76"/>
        <v>0.26869423651393931</v>
      </c>
      <c r="M279" s="7">
        <f t="shared" si="77"/>
        <v>-0.21640809802798988</v>
      </c>
      <c r="N279" s="7">
        <f t="shared" si="78"/>
        <v>3.2308043957334744</v>
      </c>
      <c r="O279" s="9">
        <f t="shared" si="83"/>
        <v>17.862962962962964</v>
      </c>
      <c r="P279" s="7">
        <f t="shared" si="79"/>
        <v>0.49299188859260107</v>
      </c>
    </row>
    <row r="280" spans="1:16" x14ac:dyDescent="0.25">
      <c r="A280" t="s">
        <v>89</v>
      </c>
      <c r="B280">
        <v>2022</v>
      </c>
      <c r="C280" s="5" t="str">
        <f>'1_Du_lieu'!C322</f>
        <v>ĐNB</v>
      </c>
      <c r="D280" s="8">
        <f>'1_Du_lieu'!E322</f>
        <v>36.4</v>
      </c>
      <c r="E280" s="5">
        <f t="shared" si="72"/>
        <v>0</v>
      </c>
      <c r="F280" s="9">
        <f t="shared" si="80"/>
        <v>20.376785714285713</v>
      </c>
      <c r="G280" s="5">
        <f t="shared" si="81"/>
        <v>56</v>
      </c>
      <c r="H280" s="8">
        <f t="shared" si="82"/>
        <v>53</v>
      </c>
      <c r="I280" s="8">
        <f t="shared" si="73"/>
        <v>1929.1999999999998</v>
      </c>
      <c r="J280" s="7">
        <f t="shared" si="74"/>
        <v>1.7863465077556744</v>
      </c>
      <c r="K280" s="7">
        <f t="shared" si="75"/>
        <v>0.58017247693721019</v>
      </c>
      <c r="L280" s="7">
        <f t="shared" si="76"/>
        <v>1.0363890780727449</v>
      </c>
      <c r="M280" s="7">
        <f t="shared" si="77"/>
        <v>-0.58017247693721019</v>
      </c>
      <c r="N280" s="7">
        <f t="shared" si="78"/>
        <v>3.5945687746426951</v>
      </c>
      <c r="O280" s="9">
        <f t="shared" si="83"/>
        <v>17.862962962962964</v>
      </c>
      <c r="P280" s="7">
        <f t="shared" si="79"/>
        <v>1.4505404880337087</v>
      </c>
    </row>
    <row r="281" spans="1:16" x14ac:dyDescent="0.25">
      <c r="A281" t="s">
        <v>90</v>
      </c>
      <c r="B281">
        <v>2022</v>
      </c>
      <c r="C281" s="5" t="str">
        <f>'1_Du_lieu'!C323</f>
        <v>ĐNB</v>
      </c>
      <c r="D281" s="8">
        <f>'1_Du_lieu'!E323</f>
        <v>13.2</v>
      </c>
      <c r="E281" s="5">
        <f t="shared" si="72"/>
        <v>0</v>
      </c>
      <c r="F281" s="9">
        <f t="shared" si="80"/>
        <v>20.376785714285713</v>
      </c>
      <c r="G281" s="5">
        <f t="shared" si="81"/>
        <v>56</v>
      </c>
      <c r="H281" s="8">
        <f t="shared" si="82"/>
        <v>12</v>
      </c>
      <c r="I281" s="8">
        <f t="shared" si="73"/>
        <v>158.39999999999998</v>
      </c>
      <c r="J281" s="7">
        <f t="shared" si="74"/>
        <v>0.64779598632898083</v>
      </c>
      <c r="K281" s="7">
        <f t="shared" si="75"/>
        <v>-0.43417946811315955</v>
      </c>
      <c r="L281" s="7">
        <f t="shared" si="76"/>
        <v>-0.28125971679015649</v>
      </c>
      <c r="M281" s="7">
        <f t="shared" si="77"/>
        <v>0.43417946811315961</v>
      </c>
      <c r="N281" s="7">
        <f t="shared" si="78"/>
        <v>2.5802168295923251</v>
      </c>
      <c r="O281" s="9">
        <f t="shared" si="83"/>
        <v>17.862962962962964</v>
      </c>
      <c r="P281" s="7">
        <f t="shared" si="79"/>
        <v>-0.2235444782476802</v>
      </c>
    </row>
    <row r="282" spans="1:16" x14ac:dyDescent="0.25">
      <c r="A282" t="s">
        <v>91</v>
      </c>
      <c r="B282">
        <v>2022</v>
      </c>
      <c r="C282" s="5" t="str">
        <f>'1_Du_lieu'!C324</f>
        <v>BTB&amp;DHMT</v>
      </c>
      <c r="D282" s="8">
        <f>'1_Du_lieu'!E324</f>
        <v>15.3</v>
      </c>
      <c r="E282" s="5">
        <f t="shared" si="72"/>
        <v>0</v>
      </c>
      <c r="F282" s="9">
        <f t="shared" si="80"/>
        <v>20.376785714285713</v>
      </c>
      <c r="G282" s="5">
        <f t="shared" si="81"/>
        <v>56</v>
      </c>
      <c r="H282" s="8">
        <f t="shared" si="82"/>
        <v>27</v>
      </c>
      <c r="I282" s="8">
        <f t="shared" si="73"/>
        <v>413.1</v>
      </c>
      <c r="J282" s="7">
        <f t="shared" si="74"/>
        <v>0.75085443869950053</v>
      </c>
      <c r="K282" s="7">
        <f t="shared" si="75"/>
        <v>-0.2865434693070949</v>
      </c>
      <c r="L282" s="7">
        <f t="shared" si="76"/>
        <v>-0.21515243580958629</v>
      </c>
      <c r="M282" s="7">
        <f t="shared" si="77"/>
        <v>0.2865434693070949</v>
      </c>
      <c r="N282" s="7">
        <f t="shared" si="78"/>
        <v>2.7278528283983898</v>
      </c>
      <c r="O282" s="9">
        <f t="shared" si="83"/>
        <v>17.862962962962964</v>
      </c>
      <c r="P282" s="7">
        <f t="shared" si="79"/>
        <v>-0.13265506314926159</v>
      </c>
    </row>
    <row r="283" spans="1:16" x14ac:dyDescent="0.25">
      <c r="A283" t="s">
        <v>93</v>
      </c>
      <c r="B283">
        <v>2022</v>
      </c>
      <c r="C283" s="5" t="str">
        <f>'1_Du_lieu'!C325</f>
        <v>BTB&amp;DHMT</v>
      </c>
      <c r="D283" s="8">
        <f>'1_Du_lieu'!E325</f>
        <v>19.100000000000001</v>
      </c>
      <c r="E283" s="5">
        <f t="shared" si="72"/>
        <v>0</v>
      </c>
      <c r="F283" s="9">
        <f t="shared" si="80"/>
        <v>20.376785714285713</v>
      </c>
      <c r="G283" s="5">
        <f t="shared" si="81"/>
        <v>56</v>
      </c>
      <c r="H283" s="8">
        <f t="shared" si="82"/>
        <v>36</v>
      </c>
      <c r="I283" s="8">
        <f t="shared" si="73"/>
        <v>687.6</v>
      </c>
      <c r="J283" s="7">
        <f t="shared" si="74"/>
        <v>0.93734116203663143</v>
      </c>
      <c r="K283" s="7">
        <f t="shared" si="75"/>
        <v>-6.470796265290045E-2</v>
      </c>
      <c r="L283" s="7">
        <f t="shared" si="76"/>
        <v>-6.0653436906092657E-2</v>
      </c>
      <c r="M283" s="7">
        <f t="shared" si="77"/>
        <v>6.4707962652900505E-2</v>
      </c>
      <c r="N283" s="7">
        <f t="shared" si="78"/>
        <v>2.9496883350525844</v>
      </c>
      <c r="O283" s="9">
        <f t="shared" si="83"/>
        <v>17.862962962962964</v>
      </c>
      <c r="P283" s="7">
        <f t="shared" si="79"/>
        <v>7.1595876658740787E-2</v>
      </c>
    </row>
    <row r="284" spans="1:16" x14ac:dyDescent="0.25">
      <c r="A284" t="s">
        <v>95</v>
      </c>
      <c r="B284">
        <v>2022</v>
      </c>
      <c r="C284" s="5" t="str">
        <f>'1_Du_lieu'!C327</f>
        <v>TDMNPB</v>
      </c>
      <c r="D284" s="8">
        <f>'1_Du_lieu'!E327</f>
        <v>17.2</v>
      </c>
      <c r="E284" s="5">
        <f t="shared" si="72"/>
        <v>0</v>
      </c>
      <c r="F284" s="9">
        <f t="shared" si="80"/>
        <v>20.376785714285713</v>
      </c>
      <c r="G284" s="5">
        <f t="shared" si="81"/>
        <v>56</v>
      </c>
      <c r="H284" s="8">
        <f t="shared" si="82"/>
        <v>31</v>
      </c>
      <c r="I284" s="8">
        <f t="shared" si="73"/>
        <v>533.19999999999993</v>
      </c>
      <c r="J284" s="7">
        <f t="shared" si="74"/>
        <v>0.84409780036806592</v>
      </c>
      <c r="K284" s="7">
        <f t="shared" si="75"/>
        <v>-0.16948691388607737</v>
      </c>
      <c r="L284" s="7">
        <f t="shared" si="76"/>
        <v>-0.14306353120240972</v>
      </c>
      <c r="M284" s="7">
        <f t="shared" si="77"/>
        <v>0.16948691388607737</v>
      </c>
      <c r="N284" s="7">
        <f t="shared" si="78"/>
        <v>2.8449093838194073</v>
      </c>
      <c r="O284" s="9">
        <f t="shared" si="83"/>
        <v>17.862962962962964</v>
      </c>
      <c r="P284" s="7">
        <f t="shared" si="79"/>
        <v>-3.6416429349891311E-2</v>
      </c>
    </row>
    <row r="285" spans="1:16" x14ac:dyDescent="0.25">
      <c r="A285" t="s">
        <v>97</v>
      </c>
      <c r="B285">
        <v>2022</v>
      </c>
      <c r="C285" s="5" t="str">
        <f>'1_Du_lieu'!C328</f>
        <v>TDMNPB</v>
      </c>
      <c r="D285" s="8">
        <f>'1_Du_lieu'!E328</f>
        <v>10.9</v>
      </c>
      <c r="E285" s="5">
        <f t="shared" si="72"/>
        <v>0</v>
      </c>
      <c r="F285" s="9">
        <f t="shared" si="80"/>
        <v>20.376785714285713</v>
      </c>
      <c r="G285" s="5">
        <f t="shared" si="81"/>
        <v>56</v>
      </c>
      <c r="H285" s="8">
        <f t="shared" si="82"/>
        <v>5</v>
      </c>
      <c r="I285" s="8">
        <f t="shared" si="73"/>
        <v>54.5</v>
      </c>
      <c r="J285" s="7">
        <f t="shared" si="74"/>
        <v>0.53492244325650695</v>
      </c>
      <c r="K285" s="7">
        <f t="shared" si="75"/>
        <v>-0.62563350847038657</v>
      </c>
      <c r="L285" s="7">
        <f t="shared" si="76"/>
        <v>-0.33466540493411973</v>
      </c>
      <c r="M285" s="7">
        <f t="shared" si="77"/>
        <v>0.62563350847038668</v>
      </c>
      <c r="N285" s="7">
        <f t="shared" si="78"/>
        <v>2.388762789235098</v>
      </c>
      <c r="O285" s="9">
        <f t="shared" si="83"/>
        <v>17.862962962962964</v>
      </c>
      <c r="P285" s="7">
        <f t="shared" si="79"/>
        <v>-0.30141901621643663</v>
      </c>
    </row>
    <row r="286" spans="1:16" x14ac:dyDescent="0.25">
      <c r="A286" t="s">
        <v>98</v>
      </c>
      <c r="B286">
        <v>2022</v>
      </c>
      <c r="C286" s="5" t="str">
        <f>'1_Du_lieu'!C329</f>
        <v>ĐBSH</v>
      </c>
      <c r="D286" s="8">
        <f>'1_Du_lieu'!E329</f>
        <v>26.6</v>
      </c>
      <c r="E286" s="5">
        <f t="shared" si="72"/>
        <v>0</v>
      </c>
      <c r="F286" s="9">
        <f t="shared" si="80"/>
        <v>20.376785714285713</v>
      </c>
      <c r="G286" s="5">
        <f t="shared" si="81"/>
        <v>56</v>
      </c>
      <c r="H286" s="8">
        <f t="shared" si="82"/>
        <v>49</v>
      </c>
      <c r="I286" s="8">
        <f t="shared" si="73"/>
        <v>1303.4000000000001</v>
      </c>
      <c r="J286" s="7">
        <f t="shared" si="74"/>
        <v>1.305407063359916</v>
      </c>
      <c r="K286" s="7">
        <f t="shared" si="75"/>
        <v>0.26651491808216871</v>
      </c>
      <c r="L286" s="7">
        <f t="shared" si="76"/>
        <v>0.34791045655525243</v>
      </c>
      <c r="M286" s="7">
        <f t="shared" si="77"/>
        <v>-0.26651491808216865</v>
      </c>
      <c r="N286" s="7">
        <f t="shared" si="78"/>
        <v>3.2809112157876537</v>
      </c>
      <c r="O286" s="9">
        <f t="shared" si="83"/>
        <v>17.862962962962964</v>
      </c>
      <c r="P286" s="7">
        <f t="shared" si="79"/>
        <v>0.59293828786603731</v>
      </c>
    </row>
    <row r="287" spans="1:16" x14ac:dyDescent="0.25">
      <c r="A287" t="s">
        <v>100</v>
      </c>
      <c r="B287">
        <v>2022</v>
      </c>
      <c r="C287" s="5" t="str">
        <f>'1_Du_lieu'!C330</f>
        <v>ĐBSCL</v>
      </c>
      <c r="D287" s="8">
        <f>'1_Du_lieu'!E330</f>
        <v>17.600000000000001</v>
      </c>
      <c r="E287" s="5">
        <f t="shared" si="72"/>
        <v>0</v>
      </c>
      <c r="F287" s="9">
        <f t="shared" si="80"/>
        <v>20.376785714285713</v>
      </c>
      <c r="G287" s="5">
        <f t="shared" si="81"/>
        <v>56</v>
      </c>
      <c r="H287" s="8">
        <f t="shared" si="82"/>
        <v>32</v>
      </c>
      <c r="I287" s="8">
        <f t="shared" si="73"/>
        <v>563.20000000000005</v>
      </c>
      <c r="J287" s="7">
        <f t="shared" si="74"/>
        <v>0.86372798177197452</v>
      </c>
      <c r="K287" s="7">
        <f t="shared" si="75"/>
        <v>-0.14649739566137854</v>
      </c>
      <c r="L287" s="7">
        <f t="shared" si="76"/>
        <v>-0.12653389988945291</v>
      </c>
      <c r="M287" s="7">
        <f t="shared" si="77"/>
        <v>0.14649739566137859</v>
      </c>
      <c r="N287" s="7">
        <f t="shared" si="78"/>
        <v>2.8678989020441064</v>
      </c>
      <c r="O287" s="9">
        <f t="shared" si="83"/>
        <v>17.862962962962964</v>
      </c>
      <c r="P287" s="7">
        <f t="shared" si="79"/>
        <v>-1.4612236469808261E-2</v>
      </c>
    </row>
    <row r="288" spans="1:16" x14ac:dyDescent="0.25">
      <c r="A288" t="s">
        <v>102</v>
      </c>
      <c r="B288">
        <v>2022</v>
      </c>
      <c r="C288" s="5" t="str">
        <f>'1_Du_lieu'!C332</f>
        <v>ĐBSCL</v>
      </c>
      <c r="D288" s="8">
        <f>'1_Du_lieu'!E332</f>
        <v>12.3</v>
      </c>
      <c r="E288" s="5">
        <f t="shared" si="72"/>
        <v>0</v>
      </c>
      <c r="F288" s="9">
        <f t="shared" si="80"/>
        <v>20.376785714285713</v>
      </c>
      <c r="G288" s="5">
        <f t="shared" si="81"/>
        <v>56</v>
      </c>
      <c r="H288" s="8">
        <f t="shared" si="82"/>
        <v>10</v>
      </c>
      <c r="I288" s="8">
        <f t="shared" si="73"/>
        <v>123</v>
      </c>
      <c r="J288" s="7">
        <f t="shared" si="74"/>
        <v>0.60362807817018671</v>
      </c>
      <c r="K288" s="7">
        <f t="shared" si="75"/>
        <v>-0.50479703532711284</v>
      </c>
      <c r="L288" s="7">
        <f t="shared" si="76"/>
        <v>-0.30470966430051299</v>
      </c>
      <c r="M288" s="7">
        <f t="shared" si="77"/>
        <v>0.50479703532711284</v>
      </c>
      <c r="N288" s="7">
        <f t="shared" si="78"/>
        <v>2.5095992623783721</v>
      </c>
      <c r="O288" s="9">
        <f t="shared" si="83"/>
        <v>17.862962962962964</v>
      </c>
      <c r="P288" s="7">
        <f t="shared" si="79"/>
        <v>-0.25692834125168573</v>
      </c>
    </row>
    <row r="289" spans="1:16" x14ac:dyDescent="0.25">
      <c r="A289" t="s">
        <v>103</v>
      </c>
      <c r="B289">
        <v>2022</v>
      </c>
      <c r="C289" s="5" t="str">
        <f>'1_Du_lieu'!C333</f>
        <v>ĐBSCL</v>
      </c>
      <c r="D289" s="8">
        <f>'1_Du_lieu'!E333</f>
        <v>26.8</v>
      </c>
      <c r="E289" s="5">
        <f t="shared" si="72"/>
        <v>0</v>
      </c>
      <c r="F289" s="9">
        <f t="shared" si="80"/>
        <v>20.376785714285713</v>
      </c>
      <c r="G289" s="5">
        <f t="shared" si="81"/>
        <v>56</v>
      </c>
      <c r="H289" s="8">
        <f t="shared" si="82"/>
        <v>50</v>
      </c>
      <c r="I289" s="8">
        <f t="shared" si="73"/>
        <v>1340</v>
      </c>
      <c r="J289" s="7">
        <f t="shared" si="74"/>
        <v>1.3152221540618703</v>
      </c>
      <c r="K289" s="7">
        <f t="shared" si="75"/>
        <v>0.27400558981132633</v>
      </c>
      <c r="L289" s="7">
        <f t="shared" si="76"/>
        <v>0.36037822205664588</v>
      </c>
      <c r="M289" s="7">
        <f t="shared" si="77"/>
        <v>-0.27400558981132622</v>
      </c>
      <c r="N289" s="7">
        <f t="shared" si="78"/>
        <v>3.2884018875168111</v>
      </c>
      <c r="O289" s="9">
        <f t="shared" si="83"/>
        <v>17.862962962962964</v>
      </c>
      <c r="P289" s="7">
        <f t="shared" si="79"/>
        <v>0.6086348077472119</v>
      </c>
    </row>
    <row r="290" spans="1:16" x14ac:dyDescent="0.25">
      <c r="A290" t="s">
        <v>104</v>
      </c>
      <c r="B290">
        <v>2022</v>
      </c>
      <c r="C290" s="5" t="str">
        <f>'1_Du_lieu'!C334</f>
        <v>TN</v>
      </c>
      <c r="D290" s="8">
        <f>'1_Du_lieu'!E334</f>
        <v>13.9</v>
      </c>
      <c r="E290" s="5">
        <f t="shared" si="72"/>
        <v>0</v>
      </c>
      <c r="F290" s="9">
        <f t="shared" si="80"/>
        <v>20.376785714285713</v>
      </c>
      <c r="G290" s="5">
        <f t="shared" si="81"/>
        <v>56</v>
      </c>
      <c r="H290" s="8">
        <f t="shared" si="82"/>
        <v>16.5</v>
      </c>
      <c r="I290" s="8">
        <f t="shared" si="73"/>
        <v>229.35</v>
      </c>
      <c r="J290" s="7">
        <f t="shared" si="74"/>
        <v>0.68214880378582077</v>
      </c>
      <c r="K290" s="7">
        <f t="shared" si="75"/>
        <v>-0.38250745756883858</v>
      </c>
      <c r="L290" s="7">
        <f t="shared" si="76"/>
        <v>-0.26092700461973883</v>
      </c>
      <c r="M290" s="7">
        <f t="shared" si="77"/>
        <v>0.38250745756883864</v>
      </c>
      <c r="N290" s="7">
        <f t="shared" si="78"/>
        <v>2.631888840136646</v>
      </c>
      <c r="O290" s="9">
        <f t="shared" si="83"/>
        <v>17.862962962962964</v>
      </c>
      <c r="P290" s="7">
        <f t="shared" si="79"/>
        <v>-0.19519072161831191</v>
      </c>
    </row>
    <row r="291" spans="1:16" x14ac:dyDescent="0.25">
      <c r="A291" t="s">
        <v>107</v>
      </c>
      <c r="B291">
        <v>2022</v>
      </c>
      <c r="C291" s="5" t="str">
        <f>'1_Du_lieu'!C336</f>
        <v>ĐBSH</v>
      </c>
      <c r="D291" s="8">
        <f>'1_Du_lieu'!E336</f>
        <v>18</v>
      </c>
      <c r="E291" s="5">
        <f t="shared" si="72"/>
        <v>0</v>
      </c>
      <c r="F291" s="9">
        <f t="shared" si="80"/>
        <v>20.376785714285713</v>
      </c>
      <c r="G291" s="5">
        <f t="shared" si="81"/>
        <v>56</v>
      </c>
      <c r="H291" s="8">
        <f t="shared" si="82"/>
        <v>34</v>
      </c>
      <c r="I291" s="8">
        <f t="shared" si="73"/>
        <v>612</v>
      </c>
      <c r="J291" s="7">
        <f t="shared" si="74"/>
        <v>0.883358163175883</v>
      </c>
      <c r="K291" s="7">
        <f t="shared" si="75"/>
        <v>-0.12402453980931996</v>
      </c>
      <c r="L291" s="7">
        <f t="shared" si="76"/>
        <v>-0.10955808967469506</v>
      </c>
      <c r="M291" s="7">
        <f t="shared" si="77"/>
        <v>0.12402453980931995</v>
      </c>
      <c r="N291" s="7">
        <f t="shared" si="78"/>
        <v>2.8903717578961645</v>
      </c>
      <c r="O291" s="9">
        <f t="shared" si="83"/>
        <v>17.862962962962964</v>
      </c>
      <c r="P291" s="7">
        <f t="shared" si="79"/>
        <v>7.70092526897338E-3</v>
      </c>
    </row>
    <row r="292" spans="1:16" x14ac:dyDescent="0.25">
      <c r="A292" t="s">
        <v>108</v>
      </c>
      <c r="B292">
        <v>2022</v>
      </c>
      <c r="C292" s="5" t="str">
        <f>'1_Du_lieu'!C337</f>
        <v>ĐBSH</v>
      </c>
      <c r="D292" s="8">
        <f>'1_Du_lieu'!E337</f>
        <v>85.9</v>
      </c>
      <c r="E292" s="5">
        <f t="shared" si="72"/>
        <v>1</v>
      </c>
      <c r="F292" s="9">
        <f t="shared" si="80"/>
        <v>20.376785714285713</v>
      </c>
      <c r="G292" s="5">
        <f t="shared" si="81"/>
        <v>56</v>
      </c>
      <c r="H292" s="8">
        <f t="shared" si="82"/>
        <v>55</v>
      </c>
      <c r="I292" s="8">
        <f t="shared" si="73"/>
        <v>4724.5</v>
      </c>
      <c r="J292" s="7">
        <f t="shared" si="74"/>
        <v>4.2155814564893532</v>
      </c>
      <c r="K292" s="7">
        <f t="shared" si="75"/>
        <v>1.4387875312847251</v>
      </c>
      <c r="L292" s="7">
        <f t="shared" si="76"/>
        <v>6.0653260367119826</v>
      </c>
      <c r="M292" s="7">
        <f t="shared" si="77"/>
        <v>-1.4387875312847249</v>
      </c>
      <c r="N292" s="7">
        <f t="shared" si="78"/>
        <v>4.4531838289902099</v>
      </c>
      <c r="O292" s="9">
        <f t="shared" si="83"/>
        <v>17.862962962962964</v>
      </c>
      <c r="P292" s="7">
        <f t="shared" si="79"/>
        <v>0</v>
      </c>
    </row>
    <row r="293" spans="1:16" x14ac:dyDescent="0.25">
      <c r="A293" t="s">
        <v>109</v>
      </c>
      <c r="B293">
        <v>2022</v>
      </c>
      <c r="C293" s="5" t="str">
        <f>'1_Du_lieu'!C338</f>
        <v>BTB&amp;DHMT</v>
      </c>
      <c r="D293" s="8">
        <f>'1_Du_lieu'!E338</f>
        <v>14</v>
      </c>
      <c r="E293" s="5">
        <f t="shared" si="72"/>
        <v>0</v>
      </c>
      <c r="F293" s="9">
        <f t="shared" si="80"/>
        <v>20.376785714285713</v>
      </c>
      <c r="G293" s="5">
        <f t="shared" si="81"/>
        <v>56</v>
      </c>
      <c r="H293" s="8">
        <f t="shared" si="82"/>
        <v>18.5</v>
      </c>
      <c r="I293" s="8">
        <f t="shared" si="73"/>
        <v>259</v>
      </c>
      <c r="J293" s="7">
        <f t="shared" si="74"/>
        <v>0.68705634913679792</v>
      </c>
      <c r="K293" s="7">
        <f t="shared" si="75"/>
        <v>-0.37533896809022599</v>
      </c>
      <c r="L293" s="7">
        <f t="shared" si="76"/>
        <v>-0.25787902110484379</v>
      </c>
      <c r="M293" s="7">
        <f t="shared" si="77"/>
        <v>0.3753389680902261</v>
      </c>
      <c r="N293" s="7">
        <f t="shared" si="78"/>
        <v>2.6390573296152584</v>
      </c>
      <c r="O293" s="9">
        <f t="shared" si="83"/>
        <v>17.862962962962964</v>
      </c>
      <c r="P293" s="7">
        <f t="shared" si="79"/>
        <v>-0.19097670680099105</v>
      </c>
    </row>
    <row r="294" spans="1:16" x14ac:dyDescent="0.25">
      <c r="A294" t="s">
        <v>110</v>
      </c>
      <c r="B294">
        <v>2022</v>
      </c>
      <c r="C294" s="5" t="str">
        <f>'1_Du_lieu'!C339</f>
        <v>TDMNPB</v>
      </c>
      <c r="D294" s="8">
        <f>'1_Du_lieu'!E339</f>
        <v>10.7</v>
      </c>
      <c r="E294" s="5">
        <f t="shared" si="72"/>
        <v>0</v>
      </c>
      <c r="F294" s="9">
        <f t="shared" si="80"/>
        <v>20.376785714285713</v>
      </c>
      <c r="G294" s="5">
        <f t="shared" si="81"/>
        <v>56</v>
      </c>
      <c r="H294" s="8">
        <f t="shared" si="82"/>
        <v>3</v>
      </c>
      <c r="I294" s="8">
        <f t="shared" si="73"/>
        <v>32.099999999999994</v>
      </c>
      <c r="J294" s="7">
        <f t="shared" si="74"/>
        <v>0.52510735255455265</v>
      </c>
      <c r="K294" s="7">
        <f t="shared" si="75"/>
        <v>-0.64415255623762424</v>
      </c>
      <c r="L294" s="7">
        <f t="shared" si="76"/>
        <v>-0.33824924344718643</v>
      </c>
      <c r="M294" s="7">
        <f t="shared" si="77"/>
        <v>0.64415255623762435</v>
      </c>
      <c r="N294" s="7">
        <f t="shared" si="78"/>
        <v>2.3702437414678603</v>
      </c>
      <c r="O294" s="9">
        <f t="shared" si="83"/>
        <v>17.862962962962964</v>
      </c>
      <c r="P294" s="7">
        <f t="shared" si="79"/>
        <v>-0.30698138999218461</v>
      </c>
    </row>
    <row r="295" spans="1:16" x14ac:dyDescent="0.25">
      <c r="A295" t="s">
        <v>111</v>
      </c>
      <c r="B295">
        <v>2022</v>
      </c>
      <c r="C295" s="5" t="str">
        <f>'1_Du_lieu'!C340</f>
        <v>ĐBSH</v>
      </c>
      <c r="D295" s="8">
        <f>'1_Du_lieu'!E340</f>
        <v>23.4</v>
      </c>
      <c r="E295" s="5">
        <f t="shared" si="72"/>
        <v>0</v>
      </c>
      <c r="F295" s="9">
        <f t="shared" si="80"/>
        <v>20.376785714285713</v>
      </c>
      <c r="G295" s="5">
        <f t="shared" si="81"/>
        <v>56</v>
      </c>
      <c r="H295" s="8">
        <f t="shared" si="82"/>
        <v>45</v>
      </c>
      <c r="I295" s="8">
        <f t="shared" si="73"/>
        <v>1053</v>
      </c>
      <c r="J295" s="7">
        <f t="shared" si="74"/>
        <v>1.1483656121286479</v>
      </c>
      <c r="K295" s="7">
        <f t="shared" si="75"/>
        <v>0.13833972465817104</v>
      </c>
      <c r="L295" s="7">
        <f t="shared" si="76"/>
        <v>0.15886458258878919</v>
      </c>
      <c r="M295" s="7">
        <f t="shared" si="77"/>
        <v>-0.13833972465817096</v>
      </c>
      <c r="N295" s="7">
        <f t="shared" si="78"/>
        <v>3.1527360223636558</v>
      </c>
      <c r="O295" s="9">
        <f t="shared" si="83"/>
        <v>17.862962962962964</v>
      </c>
      <c r="P295" s="7">
        <f t="shared" si="79"/>
        <v>0.3537013174890199</v>
      </c>
    </row>
    <row r="296" spans="1:16" x14ac:dyDescent="0.25">
      <c r="A296" t="s">
        <v>112</v>
      </c>
      <c r="B296">
        <v>2022</v>
      </c>
      <c r="C296" s="5" t="str">
        <f>'1_Du_lieu'!C341</f>
        <v>ĐBSH</v>
      </c>
      <c r="D296" s="8">
        <f>'1_Du_lieu'!E341</f>
        <v>22.4</v>
      </c>
      <c r="E296" s="5">
        <f t="shared" si="72"/>
        <v>0</v>
      </c>
      <c r="F296" s="9">
        <f t="shared" si="80"/>
        <v>20.376785714285713</v>
      </c>
      <c r="G296" s="5">
        <f t="shared" si="81"/>
        <v>56</v>
      </c>
      <c r="H296" s="8">
        <f t="shared" si="82"/>
        <v>43</v>
      </c>
      <c r="I296" s="8">
        <f t="shared" si="73"/>
        <v>963.19999999999993</v>
      </c>
      <c r="J296" s="7">
        <f t="shared" si="74"/>
        <v>1.0992901586188766</v>
      </c>
      <c r="K296" s="7">
        <f t="shared" si="75"/>
        <v>9.4664661155509464E-2</v>
      </c>
      <c r="L296" s="7">
        <f t="shared" si="76"/>
        <v>0.10406393037724221</v>
      </c>
      <c r="M296" s="7">
        <f t="shared" si="77"/>
        <v>-9.4664661155509422E-2</v>
      </c>
      <c r="N296" s="7">
        <f t="shared" si="78"/>
        <v>3.1090609588609941</v>
      </c>
      <c r="O296" s="9">
        <f t="shared" si="83"/>
        <v>17.862962962962964</v>
      </c>
      <c r="P296" s="7">
        <f t="shared" si="79"/>
        <v>0.2838177272727182</v>
      </c>
    </row>
    <row r="297" spans="1:16" x14ac:dyDescent="0.25">
      <c r="A297" t="s">
        <v>113</v>
      </c>
      <c r="B297">
        <v>2022</v>
      </c>
      <c r="C297" s="5" t="str">
        <f>'1_Du_lieu'!C342</f>
        <v>ĐBSH</v>
      </c>
      <c r="D297" s="8">
        <f>'1_Du_lieu'!E342</f>
        <v>32.1</v>
      </c>
      <c r="E297" s="5">
        <f t="shared" si="72"/>
        <v>0</v>
      </c>
      <c r="F297" s="9">
        <f t="shared" si="80"/>
        <v>20.376785714285713</v>
      </c>
      <c r="G297" s="5">
        <f t="shared" si="81"/>
        <v>56</v>
      </c>
      <c r="H297" s="8">
        <f t="shared" si="82"/>
        <v>51</v>
      </c>
      <c r="I297" s="8">
        <f t="shared" si="73"/>
        <v>1637.1000000000001</v>
      </c>
      <c r="J297" s="7">
        <f t="shared" si="74"/>
        <v>1.575322057663658</v>
      </c>
      <c r="K297" s="7">
        <f t="shared" si="75"/>
        <v>0.45445973243048549</v>
      </c>
      <c r="L297" s="7">
        <f t="shared" si="76"/>
        <v>0.71592044081766781</v>
      </c>
      <c r="M297" s="7">
        <f t="shared" si="77"/>
        <v>-0.45445973243048549</v>
      </c>
      <c r="N297" s="7">
        <f t="shared" si="78"/>
        <v>3.4688560301359703</v>
      </c>
      <c r="O297" s="9">
        <f t="shared" si="83"/>
        <v>17.862962962962964</v>
      </c>
      <c r="P297" s="7">
        <f t="shared" si="79"/>
        <v>1.0532778299999146</v>
      </c>
    </row>
    <row r="298" spans="1:16" x14ac:dyDescent="0.25">
      <c r="A298" t="s">
        <v>114</v>
      </c>
      <c r="B298">
        <v>2022</v>
      </c>
      <c r="C298" s="5" t="str">
        <f>'1_Du_lieu'!C343</f>
        <v>ĐBSCL</v>
      </c>
      <c r="D298" s="8">
        <f>'1_Du_lieu'!E343</f>
        <v>11.3</v>
      </c>
      <c r="E298" s="5">
        <f t="shared" si="72"/>
        <v>0</v>
      </c>
      <c r="F298" s="9">
        <f t="shared" si="80"/>
        <v>20.376785714285713</v>
      </c>
      <c r="G298" s="5">
        <f t="shared" si="81"/>
        <v>56</v>
      </c>
      <c r="H298" s="8">
        <f t="shared" si="82"/>
        <v>6</v>
      </c>
      <c r="I298" s="8">
        <f t="shared" si="73"/>
        <v>67.800000000000011</v>
      </c>
      <c r="J298" s="7">
        <f t="shared" si="74"/>
        <v>0.55455262466041544</v>
      </c>
      <c r="K298" s="7">
        <f t="shared" si="75"/>
        <v>-0.58959357198718976</v>
      </c>
      <c r="L298" s="7">
        <f t="shared" si="76"/>
        <v>-0.32696066282840569</v>
      </c>
      <c r="M298" s="7">
        <f t="shared" si="77"/>
        <v>0.58959357198718976</v>
      </c>
      <c r="N298" s="7">
        <f t="shared" si="78"/>
        <v>2.4248027257182949</v>
      </c>
      <c r="O298" s="9">
        <f t="shared" si="83"/>
        <v>17.862962962962964</v>
      </c>
      <c r="P298" s="7">
        <f t="shared" si="79"/>
        <v>-0.28968162337961312</v>
      </c>
    </row>
    <row r="299" spans="1:16" x14ac:dyDescent="0.25">
      <c r="A299" t="s">
        <v>115</v>
      </c>
      <c r="B299">
        <v>2022</v>
      </c>
      <c r="C299" s="5" t="str">
        <f>'1_Du_lieu'!C344</f>
        <v>BTB&amp;DHMT</v>
      </c>
      <c r="D299" s="8">
        <f>'1_Du_lieu'!E344</f>
        <v>23</v>
      </c>
      <c r="E299" s="5">
        <f t="shared" si="72"/>
        <v>0</v>
      </c>
      <c r="F299" s="9">
        <f t="shared" si="80"/>
        <v>20.376785714285713</v>
      </c>
      <c r="G299" s="5">
        <f t="shared" si="81"/>
        <v>56</v>
      </c>
      <c r="H299" s="8">
        <f t="shared" si="82"/>
        <v>44</v>
      </c>
      <c r="I299" s="8">
        <f t="shared" si="73"/>
        <v>1012</v>
      </c>
      <c r="J299" s="7">
        <f t="shared" si="74"/>
        <v>1.1287354307247393</v>
      </c>
      <c r="K299" s="7">
        <f t="shared" si="75"/>
        <v>0.1210979182236649</v>
      </c>
      <c r="L299" s="7">
        <f t="shared" si="76"/>
        <v>0.13668751088605766</v>
      </c>
      <c r="M299" s="7">
        <f t="shared" si="77"/>
        <v>-0.12109791822366496</v>
      </c>
      <c r="N299" s="7">
        <f t="shared" si="78"/>
        <v>3.1354942159291497</v>
      </c>
      <c r="O299" s="9">
        <f t="shared" si="83"/>
        <v>17.862962962962964</v>
      </c>
      <c r="P299" s="7">
        <f t="shared" si="79"/>
        <v>0.32545493005838905</v>
      </c>
    </row>
    <row r="300" spans="1:16" x14ac:dyDescent="0.25">
      <c r="A300" t="s">
        <v>116</v>
      </c>
      <c r="B300">
        <v>2022</v>
      </c>
      <c r="C300" s="5" t="str">
        <f>'1_Du_lieu'!C345</f>
        <v>ĐBSCL</v>
      </c>
      <c r="D300" s="8">
        <f>'1_Du_lieu'!E345</f>
        <v>14.1</v>
      </c>
      <c r="E300" s="5">
        <f t="shared" si="72"/>
        <v>0</v>
      </c>
      <c r="F300" s="9">
        <f t="shared" si="80"/>
        <v>20.376785714285713</v>
      </c>
      <c r="G300" s="5">
        <f t="shared" si="81"/>
        <v>56</v>
      </c>
      <c r="H300" s="8">
        <f t="shared" si="82"/>
        <v>21.5</v>
      </c>
      <c r="I300" s="8">
        <f t="shared" si="73"/>
        <v>303.14999999999998</v>
      </c>
      <c r="J300" s="7">
        <f t="shared" si="74"/>
        <v>0.69196389448777496</v>
      </c>
      <c r="K300" s="7">
        <f t="shared" si="75"/>
        <v>-0.36822150032136214</v>
      </c>
      <c r="L300" s="7">
        <f t="shared" si="76"/>
        <v>-0.25479598339650122</v>
      </c>
      <c r="M300" s="7">
        <f t="shared" si="77"/>
        <v>0.36822150032136208</v>
      </c>
      <c r="N300" s="7">
        <f t="shared" si="78"/>
        <v>2.6461747973841225</v>
      </c>
      <c r="O300" s="9">
        <f t="shared" si="83"/>
        <v>17.862962962962964</v>
      </c>
      <c r="P300" s="7">
        <f t="shared" si="79"/>
        <v>-0.18672270467642729</v>
      </c>
    </row>
    <row r="301" spans="1:16" x14ac:dyDescent="0.25">
      <c r="A301" t="s">
        <v>117</v>
      </c>
      <c r="B301">
        <v>2022</v>
      </c>
      <c r="C301" s="5" t="str">
        <f>'1_Du_lieu'!C346</f>
        <v>TN</v>
      </c>
      <c r="D301" s="8">
        <f>'1_Du_lieu'!E346</f>
        <v>10.7</v>
      </c>
      <c r="E301" s="5">
        <f t="shared" si="72"/>
        <v>0</v>
      </c>
      <c r="F301" s="9">
        <f t="shared" si="80"/>
        <v>20.376785714285713</v>
      </c>
      <c r="G301" s="5">
        <f t="shared" si="81"/>
        <v>56</v>
      </c>
      <c r="H301" s="8">
        <f t="shared" si="82"/>
        <v>3</v>
      </c>
      <c r="I301" s="8">
        <f t="shared" si="73"/>
        <v>32.099999999999994</v>
      </c>
      <c r="J301" s="7">
        <f t="shared" si="74"/>
        <v>0.52510735255455265</v>
      </c>
      <c r="K301" s="7">
        <f t="shared" si="75"/>
        <v>-0.64415255623762424</v>
      </c>
      <c r="L301" s="7">
        <f t="shared" si="76"/>
        <v>-0.33824924344718643</v>
      </c>
      <c r="M301" s="7">
        <f t="shared" si="77"/>
        <v>0.64415255623762435</v>
      </c>
      <c r="N301" s="7">
        <f t="shared" si="78"/>
        <v>2.3702437414678603</v>
      </c>
      <c r="O301" s="9">
        <f t="shared" si="83"/>
        <v>17.862962962962964</v>
      </c>
      <c r="P301" s="7">
        <f t="shared" si="79"/>
        <v>-0.30698138999218461</v>
      </c>
    </row>
    <row r="302" spans="1:16" x14ac:dyDescent="0.25">
      <c r="A302" t="s">
        <v>119</v>
      </c>
      <c r="B302">
        <v>2022</v>
      </c>
      <c r="C302" s="5" t="str">
        <f>'1_Du_lieu'!C348</f>
        <v>ĐBSCL</v>
      </c>
      <c r="D302" s="8">
        <f>'1_Du_lieu'!E348</f>
        <v>20.100000000000001</v>
      </c>
      <c r="E302" s="5">
        <f t="shared" si="72"/>
        <v>0</v>
      </c>
      <c r="F302" s="9">
        <f t="shared" si="80"/>
        <v>20.376785714285713</v>
      </c>
      <c r="G302" s="5">
        <f t="shared" si="81"/>
        <v>56</v>
      </c>
      <c r="H302" s="8">
        <f t="shared" si="82"/>
        <v>38</v>
      </c>
      <c r="I302" s="8">
        <f t="shared" si="73"/>
        <v>763.80000000000007</v>
      </c>
      <c r="J302" s="7">
        <f t="shared" si="74"/>
        <v>0.9864166155464027</v>
      </c>
      <c r="K302" s="7">
        <f t="shared" si="75"/>
        <v>-1.3676482640454584E-2</v>
      </c>
      <c r="L302" s="7">
        <f t="shared" si="76"/>
        <v>-1.3490709718776339E-2</v>
      </c>
      <c r="M302" s="7">
        <f t="shared" si="77"/>
        <v>1.3676482640454461E-2</v>
      </c>
      <c r="N302" s="7">
        <f t="shared" si="78"/>
        <v>3.0007198150650303</v>
      </c>
      <c r="O302" s="9">
        <f t="shared" si="83"/>
        <v>17.862962962962964</v>
      </c>
      <c r="P302" s="7">
        <f t="shared" si="79"/>
        <v>0.13276667035616571</v>
      </c>
    </row>
    <row r="303" spans="1:16" x14ac:dyDescent="0.25">
      <c r="A303" t="s">
        <v>120</v>
      </c>
      <c r="B303">
        <v>2022</v>
      </c>
      <c r="C303" s="5" t="str">
        <f>'1_Du_lieu'!C349</f>
        <v>TDMNPB</v>
      </c>
      <c r="D303" s="8">
        <f>'1_Du_lieu'!E349</f>
        <v>13</v>
      </c>
      <c r="E303" s="5">
        <f t="shared" si="72"/>
        <v>0</v>
      </c>
      <c r="F303" s="9">
        <f t="shared" si="80"/>
        <v>20.376785714285713</v>
      </c>
      <c r="G303" s="5">
        <f t="shared" si="81"/>
        <v>56</v>
      </c>
      <c r="H303" s="8">
        <f t="shared" si="82"/>
        <v>11</v>
      </c>
      <c r="I303" s="8">
        <f t="shared" si="73"/>
        <v>143</v>
      </c>
      <c r="J303" s="7">
        <f t="shared" si="74"/>
        <v>0.63798089562702653</v>
      </c>
      <c r="K303" s="7">
        <f t="shared" si="75"/>
        <v>-0.44944694024394805</v>
      </c>
      <c r="L303" s="7">
        <f t="shared" si="76"/>
        <v>-0.28673856147366067</v>
      </c>
      <c r="M303" s="7">
        <f t="shared" si="77"/>
        <v>0.44944694024394799</v>
      </c>
      <c r="N303" s="7">
        <f t="shared" si="78"/>
        <v>2.5649493574615367</v>
      </c>
      <c r="O303" s="9">
        <f t="shared" si="83"/>
        <v>17.862962962962964</v>
      </c>
      <c r="P303" s="7">
        <f t="shared" si="79"/>
        <v>-0.23126853901468011</v>
      </c>
    </row>
    <row r="304" spans="1:16" x14ac:dyDescent="0.25">
      <c r="A304" t="s">
        <v>121</v>
      </c>
      <c r="B304">
        <v>2022</v>
      </c>
      <c r="C304" s="5" t="str">
        <f>'1_Du_lieu'!C350</f>
        <v>TN</v>
      </c>
      <c r="D304" s="8">
        <f>'1_Du_lieu'!E350</f>
        <v>19.600000000000001</v>
      </c>
      <c r="E304" s="5">
        <f t="shared" si="72"/>
        <v>0</v>
      </c>
      <c r="F304" s="9">
        <f t="shared" si="80"/>
        <v>20.376785714285713</v>
      </c>
      <c r="G304" s="5">
        <f t="shared" si="81"/>
        <v>56</v>
      </c>
      <c r="H304" s="8">
        <f t="shared" si="82"/>
        <v>37</v>
      </c>
      <c r="I304" s="8">
        <f t="shared" si="73"/>
        <v>725.2</v>
      </c>
      <c r="J304" s="7">
        <f t="shared" si="74"/>
        <v>0.96187888879151706</v>
      </c>
      <c r="K304" s="7">
        <f t="shared" si="75"/>
        <v>-3.8866731469013101E-2</v>
      </c>
      <c r="L304" s="7">
        <f t="shared" si="76"/>
        <v>-3.7385088476372612E-2</v>
      </c>
      <c r="M304" s="7">
        <f t="shared" si="77"/>
        <v>3.8866731469013052E-2</v>
      </c>
      <c r="N304" s="7">
        <f t="shared" si="78"/>
        <v>2.9755295662364718</v>
      </c>
      <c r="O304" s="9">
        <f t="shared" si="83"/>
        <v>17.862962962962964</v>
      </c>
      <c r="P304" s="7">
        <f t="shared" si="79"/>
        <v>0.10182420828069812</v>
      </c>
    </row>
    <row r="305" spans="1:16" x14ac:dyDescent="0.25">
      <c r="A305" t="s">
        <v>122</v>
      </c>
      <c r="B305">
        <v>2022</v>
      </c>
      <c r="C305" s="5" t="str">
        <f>'1_Du_lieu'!C351</f>
        <v>TDMNPB</v>
      </c>
      <c r="D305" s="8">
        <f>'1_Du_lieu'!E351</f>
        <v>11.5</v>
      </c>
      <c r="E305" s="5">
        <f t="shared" si="72"/>
        <v>0</v>
      </c>
      <c r="F305" s="9">
        <f t="shared" si="80"/>
        <v>20.376785714285713</v>
      </c>
      <c r="G305" s="5">
        <f t="shared" si="81"/>
        <v>56</v>
      </c>
      <c r="H305" s="8">
        <f t="shared" si="82"/>
        <v>7</v>
      </c>
      <c r="I305" s="8">
        <f t="shared" si="73"/>
        <v>80.5</v>
      </c>
      <c r="J305" s="7">
        <f t="shared" si="74"/>
        <v>0.56436771536236963</v>
      </c>
      <c r="K305" s="7">
        <f t="shared" si="75"/>
        <v>-0.5720492623362804</v>
      </c>
      <c r="L305" s="7">
        <f t="shared" si="76"/>
        <v>-0.32284613525945538</v>
      </c>
      <c r="M305" s="7">
        <f t="shared" si="77"/>
        <v>0.5720492623362804</v>
      </c>
      <c r="N305" s="7">
        <f t="shared" si="78"/>
        <v>2.4423470353692043</v>
      </c>
      <c r="O305" s="9">
        <f t="shared" si="83"/>
        <v>17.862962962962964</v>
      </c>
      <c r="P305" s="7">
        <f t="shared" si="79"/>
        <v>-0.28351387762861802</v>
      </c>
    </row>
    <row r="306" spans="1:16" x14ac:dyDescent="0.25">
      <c r="A306" t="s">
        <v>123</v>
      </c>
      <c r="B306">
        <v>2022</v>
      </c>
      <c r="C306" s="5" t="str">
        <f>'1_Du_lieu'!C352</f>
        <v>ĐBSH</v>
      </c>
      <c r="D306" s="8">
        <f>'1_Du_lieu'!E352</f>
        <v>24.3</v>
      </c>
      <c r="E306" s="5">
        <f t="shared" si="72"/>
        <v>0</v>
      </c>
      <c r="F306" s="9">
        <f t="shared" si="80"/>
        <v>20.376785714285713</v>
      </c>
      <c r="G306" s="5">
        <f t="shared" si="81"/>
        <v>56</v>
      </c>
      <c r="H306" s="8">
        <f t="shared" si="82"/>
        <v>47</v>
      </c>
      <c r="I306" s="8">
        <f t="shared" si="73"/>
        <v>1142.1000000000001</v>
      </c>
      <c r="J306" s="7">
        <f t="shared" si="74"/>
        <v>1.1925335202874421</v>
      </c>
      <c r="K306" s="7">
        <f t="shared" si="75"/>
        <v>0.17608005264101814</v>
      </c>
      <c r="L306" s="7">
        <f t="shared" si="76"/>
        <v>0.20998136502839149</v>
      </c>
      <c r="M306" s="7">
        <f t="shared" si="77"/>
        <v>-0.17608005264101811</v>
      </c>
      <c r="N306" s="7">
        <f t="shared" si="78"/>
        <v>3.1904763503465028</v>
      </c>
      <c r="O306" s="9">
        <f t="shared" si="83"/>
        <v>17.862962962962964</v>
      </c>
      <c r="P306" s="7">
        <f t="shared" si="79"/>
        <v>0.4186455194980751</v>
      </c>
    </row>
    <row r="307" spans="1:16" x14ac:dyDescent="0.25">
      <c r="A307" t="s">
        <v>124</v>
      </c>
      <c r="B307">
        <v>2022</v>
      </c>
      <c r="C307" s="5" t="str">
        <f>'1_Du_lieu'!C353</f>
        <v>BTB&amp;DHMT</v>
      </c>
      <c r="D307" s="8">
        <f>'1_Du_lieu'!E353</f>
        <v>21.3</v>
      </c>
      <c r="E307" s="5">
        <f t="shared" si="72"/>
        <v>0</v>
      </c>
      <c r="F307" s="9">
        <f t="shared" si="80"/>
        <v>20.376785714285713</v>
      </c>
      <c r="G307" s="5">
        <f t="shared" si="81"/>
        <v>56</v>
      </c>
      <c r="H307" s="8">
        <f t="shared" si="82"/>
        <v>41</v>
      </c>
      <c r="I307" s="8">
        <f t="shared" si="73"/>
        <v>873.30000000000007</v>
      </c>
      <c r="J307" s="7">
        <f t="shared" si="74"/>
        <v>1.0453071597581283</v>
      </c>
      <c r="K307" s="7">
        <f t="shared" si="75"/>
        <v>4.4310775009894811E-2</v>
      </c>
      <c r="L307" s="7">
        <f t="shared" si="76"/>
        <v>4.6318370372274591E-2</v>
      </c>
      <c r="M307" s="7">
        <f t="shared" si="77"/>
        <v>-4.4310775009894741E-2</v>
      </c>
      <c r="N307" s="7">
        <f t="shared" si="78"/>
        <v>3.0587070727153796</v>
      </c>
      <c r="O307" s="9">
        <f t="shared" si="83"/>
        <v>17.862962962962964</v>
      </c>
      <c r="P307" s="7">
        <f t="shared" si="79"/>
        <v>0.20983770362204901</v>
      </c>
    </row>
    <row r="308" spans="1:16" x14ac:dyDescent="0.25">
      <c r="A308" t="s">
        <v>125</v>
      </c>
      <c r="B308">
        <v>2022</v>
      </c>
      <c r="C308" s="5" t="str">
        <f>'1_Du_lieu'!C354</f>
        <v>ĐBSH</v>
      </c>
      <c r="D308" s="8">
        <f>'1_Du_lieu'!E354</f>
        <v>17.899999999999999</v>
      </c>
      <c r="E308" s="5">
        <f t="shared" si="72"/>
        <v>0</v>
      </c>
      <c r="F308" s="9">
        <f t="shared" si="80"/>
        <v>20.376785714285713</v>
      </c>
      <c r="G308" s="5">
        <f t="shared" si="81"/>
        <v>56</v>
      </c>
      <c r="H308" s="8">
        <f t="shared" si="82"/>
        <v>33</v>
      </c>
      <c r="I308" s="8">
        <f t="shared" si="73"/>
        <v>590.69999999999993</v>
      </c>
      <c r="J308" s="7">
        <f t="shared" si="74"/>
        <v>0.87845061782490574</v>
      </c>
      <c r="K308" s="7">
        <f t="shared" si="75"/>
        <v>-0.12959558485877551</v>
      </c>
      <c r="L308" s="7">
        <f t="shared" si="76"/>
        <v>-0.11384332158657134</v>
      </c>
      <c r="M308" s="7">
        <f t="shared" si="77"/>
        <v>0.12959558485877554</v>
      </c>
      <c r="N308" s="7">
        <f t="shared" si="78"/>
        <v>2.884800712846709</v>
      </c>
      <c r="O308" s="9">
        <f t="shared" si="83"/>
        <v>17.862962962962964</v>
      </c>
      <c r="P308" s="7">
        <f t="shared" si="79"/>
        <v>2.0755463060232221E-3</v>
      </c>
    </row>
    <row r="309" spans="1:16" x14ac:dyDescent="0.25">
      <c r="A309" t="s">
        <v>126</v>
      </c>
      <c r="B309">
        <v>2022</v>
      </c>
      <c r="C309" s="5" t="str">
        <f>'1_Du_lieu'!C355</f>
        <v>BTB&amp;DHMT</v>
      </c>
      <c r="D309" s="8">
        <f>'1_Du_lieu'!E355</f>
        <v>13.6</v>
      </c>
      <c r="E309" s="5">
        <f t="shared" si="72"/>
        <v>0</v>
      </c>
      <c r="F309" s="9">
        <f t="shared" si="80"/>
        <v>20.376785714285713</v>
      </c>
      <c r="G309" s="5">
        <f t="shared" si="81"/>
        <v>56</v>
      </c>
      <c r="H309" s="8">
        <f t="shared" si="82"/>
        <v>13</v>
      </c>
      <c r="I309" s="8">
        <f t="shared" si="73"/>
        <v>176.79999999999998</v>
      </c>
      <c r="J309" s="7">
        <f t="shared" si="74"/>
        <v>0.66742616773288932</v>
      </c>
      <c r="K309" s="7">
        <f t="shared" si="75"/>
        <v>-0.40432650496347844</v>
      </c>
      <c r="L309" s="7">
        <f t="shared" si="76"/>
        <v>-0.26985808972060749</v>
      </c>
      <c r="M309" s="7">
        <f t="shared" si="77"/>
        <v>0.40432650496347849</v>
      </c>
      <c r="N309" s="7">
        <f t="shared" si="78"/>
        <v>2.6100697927420065</v>
      </c>
      <c r="O309" s="9">
        <f t="shared" si="83"/>
        <v>17.862962962962964</v>
      </c>
      <c r="P309" s="7">
        <f t="shared" si="79"/>
        <v>-0.20758994445419571</v>
      </c>
    </row>
    <row r="310" spans="1:16" x14ac:dyDescent="0.25">
      <c r="A310" t="s">
        <v>127</v>
      </c>
      <c r="B310">
        <v>2022</v>
      </c>
      <c r="C310" s="5" t="str">
        <f>'1_Du_lieu'!C356</f>
        <v>TDMNPB</v>
      </c>
      <c r="D310" s="8">
        <f>'1_Du_lieu'!E356</f>
        <v>14.1</v>
      </c>
      <c r="E310" s="5">
        <f t="shared" si="72"/>
        <v>0</v>
      </c>
      <c r="F310" s="9">
        <f t="shared" ref="F310:F333" si="84">AVERAGE($D$278:$D$333)</f>
        <v>20.376785714285713</v>
      </c>
      <c r="G310" s="5">
        <f t="shared" ref="G310:G333" si="85">COUNT($D$278:$D$333)</f>
        <v>56</v>
      </c>
      <c r="H310" s="8">
        <f t="shared" ref="H310:H333" si="86">_xlfn.RANK.AVG(D310,$D$278:$D$333,1)</f>
        <v>21.5</v>
      </c>
      <c r="I310" s="8">
        <f t="shared" si="73"/>
        <v>303.14999999999998</v>
      </c>
      <c r="J310" s="7">
        <f t="shared" si="74"/>
        <v>0.69196389448777496</v>
      </c>
      <c r="K310" s="7">
        <f t="shared" si="75"/>
        <v>-0.36822150032136214</v>
      </c>
      <c r="L310" s="7">
        <f t="shared" si="76"/>
        <v>-0.25479598339650122</v>
      </c>
      <c r="M310" s="7">
        <f t="shared" si="77"/>
        <v>0.36822150032136208</v>
      </c>
      <c r="N310" s="7">
        <f t="shared" si="78"/>
        <v>2.6461747973841225</v>
      </c>
      <c r="O310" s="9">
        <f t="shared" ref="O310:O333" si="87">SUMPRODUCT((1-$E$278:$E$333)*$D$278:$D$333)/(G310-SUM($E$278:$E$333))</f>
        <v>17.862962962962964</v>
      </c>
      <c r="P310" s="7">
        <f t="shared" si="79"/>
        <v>-0.18672270467642729</v>
      </c>
    </row>
    <row r="311" spans="1:16" x14ac:dyDescent="0.25">
      <c r="A311" t="s">
        <v>128</v>
      </c>
      <c r="B311">
        <v>2022</v>
      </c>
      <c r="C311" s="5" t="str">
        <f>'1_Du_lieu'!C357</f>
        <v>BTB&amp;DHMT</v>
      </c>
      <c r="D311" s="8">
        <f>'1_Du_lieu'!E357</f>
        <v>14</v>
      </c>
      <c r="E311" s="5">
        <f t="shared" si="72"/>
        <v>0</v>
      </c>
      <c r="F311" s="9">
        <f t="shared" si="84"/>
        <v>20.376785714285713</v>
      </c>
      <c r="G311" s="5">
        <f t="shared" si="85"/>
        <v>56</v>
      </c>
      <c r="H311" s="8">
        <f t="shared" si="86"/>
        <v>18.5</v>
      </c>
      <c r="I311" s="8">
        <f t="shared" si="73"/>
        <v>259</v>
      </c>
      <c r="J311" s="7">
        <f t="shared" si="74"/>
        <v>0.68705634913679792</v>
      </c>
      <c r="K311" s="7">
        <f t="shared" si="75"/>
        <v>-0.37533896809022599</v>
      </c>
      <c r="L311" s="7">
        <f t="shared" si="76"/>
        <v>-0.25787902110484379</v>
      </c>
      <c r="M311" s="7">
        <f t="shared" si="77"/>
        <v>0.3753389680902261</v>
      </c>
      <c r="N311" s="7">
        <f t="shared" si="78"/>
        <v>2.6390573296152584</v>
      </c>
      <c r="O311" s="9">
        <f t="shared" si="87"/>
        <v>17.862962962962964</v>
      </c>
      <c r="P311" s="7">
        <f t="shared" si="79"/>
        <v>-0.19097670680099105</v>
      </c>
    </row>
    <row r="312" spans="1:16" x14ac:dyDescent="0.25">
      <c r="A312" t="s">
        <v>129</v>
      </c>
      <c r="B312">
        <v>2022</v>
      </c>
      <c r="C312" s="5" t="str">
        <f>'1_Du_lieu'!C358</f>
        <v>BTB&amp;DHMT</v>
      </c>
      <c r="D312" s="8">
        <f>'1_Du_lieu'!E358</f>
        <v>14.2</v>
      </c>
      <c r="E312" s="5">
        <f t="shared" si="72"/>
        <v>0</v>
      </c>
      <c r="F312" s="9">
        <f t="shared" si="84"/>
        <v>20.376785714285713</v>
      </c>
      <c r="G312" s="5">
        <f t="shared" si="85"/>
        <v>56</v>
      </c>
      <c r="H312" s="8">
        <f t="shared" si="86"/>
        <v>24</v>
      </c>
      <c r="I312" s="8">
        <f t="shared" si="73"/>
        <v>340.79999999999995</v>
      </c>
      <c r="J312" s="7">
        <f t="shared" si="74"/>
        <v>0.6968714398387521</v>
      </c>
      <c r="K312" s="7">
        <f t="shared" si="75"/>
        <v>-0.36115433309826966</v>
      </c>
      <c r="L312" s="7">
        <f t="shared" si="76"/>
        <v>-0.25167814011019546</v>
      </c>
      <c r="M312" s="7">
        <f t="shared" si="77"/>
        <v>0.36115433309826966</v>
      </c>
      <c r="N312" s="7">
        <f t="shared" si="78"/>
        <v>2.653241964607215</v>
      </c>
      <c r="O312" s="9">
        <f t="shared" si="87"/>
        <v>17.862962962962964</v>
      </c>
      <c r="P312" s="7">
        <f t="shared" si="79"/>
        <v>-0.18242899884731648</v>
      </c>
    </row>
    <row r="313" spans="1:16" x14ac:dyDescent="0.25">
      <c r="A313" t="s">
        <v>130</v>
      </c>
      <c r="B313">
        <v>2022</v>
      </c>
      <c r="C313" s="5" t="str">
        <f>'1_Du_lieu'!C359</f>
        <v>BTB&amp;DHMT</v>
      </c>
      <c r="D313" s="8">
        <f>'1_Du_lieu'!E359</f>
        <v>16</v>
      </c>
      <c r="E313" s="5">
        <f t="shared" si="72"/>
        <v>0</v>
      </c>
      <c r="F313" s="9">
        <f t="shared" si="84"/>
        <v>20.376785714285713</v>
      </c>
      <c r="G313" s="5">
        <f t="shared" si="85"/>
        <v>56</v>
      </c>
      <c r="H313" s="8">
        <f t="shared" si="86"/>
        <v>28</v>
      </c>
      <c r="I313" s="8">
        <f t="shared" si="73"/>
        <v>448</v>
      </c>
      <c r="J313" s="7">
        <f t="shared" si="74"/>
        <v>0.78520725615634046</v>
      </c>
      <c r="K313" s="7">
        <f t="shared" si="75"/>
        <v>-0.24180757546570342</v>
      </c>
      <c r="L313" s="7">
        <f t="shared" si="76"/>
        <v>-0.18986906284924221</v>
      </c>
      <c r="M313" s="7">
        <f t="shared" si="77"/>
        <v>0.24180757546570347</v>
      </c>
      <c r="N313" s="7">
        <f t="shared" si="78"/>
        <v>2.7725887222397811</v>
      </c>
      <c r="O313" s="9">
        <f t="shared" si="87"/>
        <v>17.862962962962964</v>
      </c>
      <c r="P313" s="7">
        <f t="shared" si="79"/>
        <v>-9.8653948113026108E-2</v>
      </c>
    </row>
    <row r="314" spans="1:16" x14ac:dyDescent="0.25">
      <c r="A314" t="s">
        <v>131</v>
      </c>
      <c r="B314">
        <v>2022</v>
      </c>
      <c r="C314" s="5" t="str">
        <f>'1_Du_lieu'!C360</f>
        <v>BTB&amp;DHMT</v>
      </c>
      <c r="D314" s="8">
        <f>'1_Du_lieu'!E360</f>
        <v>14.1</v>
      </c>
      <c r="E314" s="5">
        <f t="shared" si="72"/>
        <v>0</v>
      </c>
      <c r="F314" s="9">
        <f t="shared" si="84"/>
        <v>20.376785714285713</v>
      </c>
      <c r="G314" s="5">
        <f t="shared" si="85"/>
        <v>56</v>
      </c>
      <c r="H314" s="8">
        <f t="shared" si="86"/>
        <v>21.5</v>
      </c>
      <c r="I314" s="8">
        <f t="shared" si="73"/>
        <v>303.14999999999998</v>
      </c>
      <c r="J314" s="7">
        <f t="shared" si="74"/>
        <v>0.69196389448777496</v>
      </c>
      <c r="K314" s="7">
        <f t="shared" si="75"/>
        <v>-0.36822150032136214</v>
      </c>
      <c r="L314" s="7">
        <f t="shared" si="76"/>
        <v>-0.25479598339650122</v>
      </c>
      <c r="M314" s="7">
        <f t="shared" si="77"/>
        <v>0.36822150032136208</v>
      </c>
      <c r="N314" s="7">
        <f t="shared" si="78"/>
        <v>2.6461747973841225</v>
      </c>
      <c r="O314" s="9">
        <f t="shared" si="87"/>
        <v>17.862962962962964</v>
      </c>
      <c r="P314" s="7">
        <f t="shared" si="79"/>
        <v>-0.18672270467642729</v>
      </c>
    </row>
    <row r="315" spans="1:16" x14ac:dyDescent="0.25">
      <c r="A315" t="s">
        <v>132</v>
      </c>
      <c r="B315">
        <v>2022</v>
      </c>
      <c r="C315" s="5" t="str">
        <f>'1_Du_lieu'!C361</f>
        <v>ĐBSH</v>
      </c>
      <c r="D315" s="8">
        <f>'1_Du_lieu'!E361</f>
        <v>21.3</v>
      </c>
      <c r="E315" s="5">
        <f t="shared" si="72"/>
        <v>0</v>
      </c>
      <c r="F315" s="9">
        <f t="shared" si="84"/>
        <v>20.376785714285713</v>
      </c>
      <c r="G315" s="5">
        <f t="shared" si="85"/>
        <v>56</v>
      </c>
      <c r="H315" s="8">
        <f t="shared" si="86"/>
        <v>41</v>
      </c>
      <c r="I315" s="8">
        <f t="shared" si="73"/>
        <v>873.30000000000007</v>
      </c>
      <c r="J315" s="7">
        <f t="shared" si="74"/>
        <v>1.0453071597581283</v>
      </c>
      <c r="K315" s="7">
        <f t="shared" si="75"/>
        <v>4.4310775009894811E-2</v>
      </c>
      <c r="L315" s="7">
        <f t="shared" si="76"/>
        <v>4.6318370372274591E-2</v>
      </c>
      <c r="M315" s="7">
        <f t="shared" si="77"/>
        <v>-4.4310775009894741E-2</v>
      </c>
      <c r="N315" s="7">
        <f t="shared" si="78"/>
        <v>3.0587070727153796</v>
      </c>
      <c r="O315" s="9">
        <f t="shared" si="87"/>
        <v>17.862962962962964</v>
      </c>
      <c r="P315" s="7">
        <f t="shared" si="79"/>
        <v>0.20983770362204901</v>
      </c>
    </row>
    <row r="316" spans="1:16" x14ac:dyDescent="0.25">
      <c r="A316" t="s">
        <v>133</v>
      </c>
      <c r="B316">
        <v>2022</v>
      </c>
      <c r="C316" s="5" t="str">
        <f>'1_Du_lieu'!C362</f>
        <v>BTB&amp;DHMT</v>
      </c>
      <c r="D316" s="8">
        <f>'1_Du_lieu'!E362</f>
        <v>13.9</v>
      </c>
      <c r="E316" s="5">
        <f t="shared" si="72"/>
        <v>0</v>
      </c>
      <c r="F316" s="9">
        <f t="shared" si="84"/>
        <v>20.376785714285713</v>
      </c>
      <c r="G316" s="5">
        <f t="shared" si="85"/>
        <v>56</v>
      </c>
      <c r="H316" s="8">
        <f t="shared" si="86"/>
        <v>16.5</v>
      </c>
      <c r="I316" s="8">
        <f t="shared" si="73"/>
        <v>229.35</v>
      </c>
      <c r="J316" s="7">
        <f t="shared" si="74"/>
        <v>0.68214880378582077</v>
      </c>
      <c r="K316" s="7">
        <f t="shared" si="75"/>
        <v>-0.38250745756883858</v>
      </c>
      <c r="L316" s="7">
        <f t="shared" si="76"/>
        <v>-0.26092700461973883</v>
      </c>
      <c r="M316" s="7">
        <f t="shared" si="77"/>
        <v>0.38250745756883864</v>
      </c>
      <c r="N316" s="7">
        <f t="shared" si="78"/>
        <v>2.631888840136646</v>
      </c>
      <c r="O316" s="9">
        <f t="shared" si="87"/>
        <v>17.862962962962964</v>
      </c>
      <c r="P316" s="7">
        <f t="shared" si="79"/>
        <v>-0.19519072161831191</v>
      </c>
    </row>
    <row r="317" spans="1:16" x14ac:dyDescent="0.25">
      <c r="A317" t="s">
        <v>136</v>
      </c>
      <c r="B317">
        <v>2022</v>
      </c>
      <c r="C317" s="5" t="str">
        <f>'1_Du_lieu'!C365</f>
        <v>ĐNB</v>
      </c>
      <c r="D317" s="8">
        <f>'1_Du_lieu'!E365</f>
        <v>90.6</v>
      </c>
      <c r="E317" s="5">
        <f t="shared" si="72"/>
        <v>1</v>
      </c>
      <c r="F317" s="9">
        <f t="shared" si="84"/>
        <v>20.376785714285713</v>
      </c>
      <c r="G317" s="5">
        <f t="shared" si="85"/>
        <v>56</v>
      </c>
      <c r="H317" s="8">
        <f t="shared" si="86"/>
        <v>56</v>
      </c>
      <c r="I317" s="8">
        <f t="shared" si="73"/>
        <v>5073.5999999999995</v>
      </c>
      <c r="J317" s="7">
        <f t="shared" si="74"/>
        <v>4.4462360879852776</v>
      </c>
      <c r="K317" s="7">
        <f t="shared" si="75"/>
        <v>1.492057915343449</v>
      </c>
      <c r="L317" s="7">
        <f t="shared" si="76"/>
        <v>6.6340417485641252</v>
      </c>
      <c r="M317" s="7">
        <f t="shared" si="77"/>
        <v>-1.4920579153434488</v>
      </c>
      <c r="N317" s="7">
        <f t="shared" si="78"/>
        <v>4.5064542130489338</v>
      </c>
      <c r="O317" s="9">
        <f t="shared" si="87"/>
        <v>17.862962962962964</v>
      </c>
      <c r="P317" s="7">
        <f t="shared" si="79"/>
        <v>0</v>
      </c>
    </row>
    <row r="318" spans="1:16" x14ac:dyDescent="0.25">
      <c r="A318" t="s">
        <v>137</v>
      </c>
      <c r="B318">
        <v>2022</v>
      </c>
      <c r="C318" s="5" t="str">
        <f>'1_Du_lieu'!C366</f>
        <v>BTB&amp;DHMT</v>
      </c>
      <c r="D318" s="8">
        <f>'1_Du_lieu'!E366</f>
        <v>21.3</v>
      </c>
      <c r="E318" s="5">
        <f t="shared" si="72"/>
        <v>0</v>
      </c>
      <c r="F318" s="9">
        <f t="shared" si="84"/>
        <v>20.376785714285713</v>
      </c>
      <c r="G318" s="5">
        <f t="shared" si="85"/>
        <v>56</v>
      </c>
      <c r="H318" s="8">
        <f t="shared" si="86"/>
        <v>41</v>
      </c>
      <c r="I318" s="8">
        <f t="shared" si="73"/>
        <v>873.30000000000007</v>
      </c>
      <c r="J318" s="7">
        <f t="shared" si="74"/>
        <v>1.0453071597581283</v>
      </c>
      <c r="K318" s="7">
        <f t="shared" si="75"/>
        <v>4.4310775009894811E-2</v>
      </c>
      <c r="L318" s="7">
        <f t="shared" si="76"/>
        <v>4.6318370372274591E-2</v>
      </c>
      <c r="M318" s="7">
        <f t="shared" si="77"/>
        <v>-4.4310775009894741E-2</v>
      </c>
      <c r="N318" s="7">
        <f t="shared" si="78"/>
        <v>3.0587070727153796</v>
      </c>
      <c r="O318" s="9">
        <f t="shared" si="87"/>
        <v>17.862962962962964</v>
      </c>
      <c r="P318" s="7">
        <f t="shared" si="79"/>
        <v>0.20983770362204901</v>
      </c>
    </row>
    <row r="319" spans="1:16" x14ac:dyDescent="0.25">
      <c r="A319" t="s">
        <v>138</v>
      </c>
      <c r="B319">
        <v>2022</v>
      </c>
      <c r="C319" s="5" t="str">
        <f>'1_Du_lieu'!C367</f>
        <v>ĐBSH</v>
      </c>
      <c r="D319" s="8">
        <f>'1_Du_lieu'!E367</f>
        <v>16.600000000000001</v>
      </c>
      <c r="E319" s="5">
        <f t="shared" si="72"/>
        <v>0</v>
      </c>
      <c r="F319" s="9">
        <f t="shared" si="84"/>
        <v>20.376785714285713</v>
      </c>
      <c r="G319" s="5">
        <f t="shared" si="85"/>
        <v>56</v>
      </c>
      <c r="H319" s="8">
        <f t="shared" si="86"/>
        <v>29</v>
      </c>
      <c r="I319" s="8">
        <f t="shared" si="73"/>
        <v>481.40000000000003</v>
      </c>
      <c r="J319" s="7">
        <f t="shared" si="74"/>
        <v>0.81465252826220325</v>
      </c>
      <c r="K319" s="7">
        <f t="shared" si="75"/>
        <v>-0.20499360234298708</v>
      </c>
      <c r="L319" s="7">
        <f t="shared" si="76"/>
        <v>-0.16699855642629113</v>
      </c>
      <c r="M319" s="7">
        <f t="shared" si="77"/>
        <v>0.20499360234298711</v>
      </c>
      <c r="N319" s="7">
        <f t="shared" si="78"/>
        <v>2.8094026953624978</v>
      </c>
      <c r="O319" s="9">
        <f t="shared" si="87"/>
        <v>17.862962962962964</v>
      </c>
      <c r="P319" s="7">
        <f t="shared" si="79"/>
        <v>-6.8142352043064944E-2</v>
      </c>
    </row>
    <row r="320" spans="1:16" x14ac:dyDescent="0.25">
      <c r="A320" t="s">
        <v>139</v>
      </c>
      <c r="B320">
        <v>2022</v>
      </c>
      <c r="C320" s="5" t="str">
        <f>'1_Du_lieu'!C368</f>
        <v>TDMNPB</v>
      </c>
      <c r="D320" s="8">
        <f>'1_Du_lieu'!E368</f>
        <v>20.399999999999999</v>
      </c>
      <c r="E320" s="5">
        <f t="shared" si="72"/>
        <v>0</v>
      </c>
      <c r="F320" s="9">
        <f t="shared" si="84"/>
        <v>20.376785714285713</v>
      </c>
      <c r="G320" s="5">
        <f t="shared" si="85"/>
        <v>56</v>
      </c>
      <c r="H320" s="8">
        <f t="shared" si="86"/>
        <v>39</v>
      </c>
      <c r="I320" s="8">
        <f t="shared" si="73"/>
        <v>795.59999999999991</v>
      </c>
      <c r="J320" s="7">
        <f t="shared" si="74"/>
        <v>1.001139251599334</v>
      </c>
      <c r="K320" s="7">
        <f t="shared" si="75"/>
        <v>1.1386031446860101E-3</v>
      </c>
      <c r="L320" s="7">
        <f t="shared" si="76"/>
        <v>1.1399003001396004E-3</v>
      </c>
      <c r="M320" s="7">
        <f t="shared" si="77"/>
        <v>-1.1386031446859474E-3</v>
      </c>
      <c r="N320" s="7">
        <f t="shared" si="78"/>
        <v>3.0155349008501706</v>
      </c>
      <c r="O320" s="9">
        <f t="shared" si="87"/>
        <v>17.862962962962964</v>
      </c>
      <c r="P320" s="7">
        <f t="shared" si="79"/>
        <v>0.15166750203315177</v>
      </c>
    </row>
    <row r="321" spans="1:16" x14ac:dyDescent="0.25">
      <c r="A321" t="s">
        <v>140</v>
      </c>
      <c r="B321">
        <v>2022</v>
      </c>
      <c r="C321" s="5" t="str">
        <f>'1_Du_lieu'!C369</f>
        <v>BTB&amp;DHMT</v>
      </c>
      <c r="D321" s="8">
        <f>'1_Du_lieu'!E369</f>
        <v>14.1</v>
      </c>
      <c r="E321" s="5">
        <f t="shared" si="72"/>
        <v>0</v>
      </c>
      <c r="F321" s="9">
        <f t="shared" si="84"/>
        <v>20.376785714285713</v>
      </c>
      <c r="G321" s="5">
        <f t="shared" si="85"/>
        <v>56</v>
      </c>
      <c r="H321" s="8">
        <f t="shared" si="86"/>
        <v>21.5</v>
      </c>
      <c r="I321" s="8">
        <f t="shared" si="73"/>
        <v>303.14999999999998</v>
      </c>
      <c r="J321" s="7">
        <f t="shared" si="74"/>
        <v>0.69196389448777496</v>
      </c>
      <c r="K321" s="7">
        <f t="shared" si="75"/>
        <v>-0.36822150032136214</v>
      </c>
      <c r="L321" s="7">
        <f t="shared" si="76"/>
        <v>-0.25479598339650122</v>
      </c>
      <c r="M321" s="7">
        <f t="shared" si="77"/>
        <v>0.36822150032136208</v>
      </c>
      <c r="N321" s="7">
        <f t="shared" si="78"/>
        <v>2.6461747973841225</v>
      </c>
      <c r="O321" s="9">
        <f t="shared" si="87"/>
        <v>17.862962962962964</v>
      </c>
      <c r="P321" s="7">
        <f t="shared" si="79"/>
        <v>-0.18672270467642729</v>
      </c>
    </row>
    <row r="322" spans="1:16" x14ac:dyDescent="0.25">
      <c r="A322" t="s">
        <v>141</v>
      </c>
      <c r="B322">
        <v>2022</v>
      </c>
      <c r="C322" s="5" t="str">
        <f>'1_Du_lieu'!C370</f>
        <v>ĐBSCL</v>
      </c>
      <c r="D322" s="8">
        <f>'1_Du_lieu'!E370</f>
        <v>13.7</v>
      </c>
      <c r="E322" s="5">
        <f t="shared" si="72"/>
        <v>0</v>
      </c>
      <c r="F322" s="9">
        <f t="shared" si="84"/>
        <v>20.376785714285713</v>
      </c>
      <c r="G322" s="5">
        <f t="shared" si="85"/>
        <v>56</v>
      </c>
      <c r="H322" s="8">
        <f t="shared" si="86"/>
        <v>14</v>
      </c>
      <c r="I322" s="8">
        <f t="shared" si="73"/>
        <v>191.79999999999998</v>
      </c>
      <c r="J322" s="7">
        <f t="shared" si="74"/>
        <v>0.67233371308386647</v>
      </c>
      <c r="K322" s="7">
        <f t="shared" si="75"/>
        <v>-0.3970004648714055</v>
      </c>
      <c r="L322" s="7">
        <f t="shared" si="76"/>
        <v>-0.26691679664301315</v>
      </c>
      <c r="M322" s="7">
        <f t="shared" si="77"/>
        <v>0.3970004648714055</v>
      </c>
      <c r="N322" s="7">
        <f t="shared" si="78"/>
        <v>2.6173958328340792</v>
      </c>
      <c r="O322" s="9">
        <f t="shared" si="87"/>
        <v>17.862962962962964</v>
      </c>
      <c r="P322" s="7">
        <f t="shared" si="79"/>
        <v>-0.2034976344281319</v>
      </c>
    </row>
    <row r="323" spans="1:16" x14ac:dyDescent="0.25">
      <c r="A323" t="s">
        <v>142</v>
      </c>
      <c r="B323">
        <v>2022</v>
      </c>
      <c r="C323" s="5" t="str">
        <f>'1_Du_lieu'!C371</f>
        <v>ĐBSCL</v>
      </c>
      <c r="D323" s="8">
        <f>'1_Du_lieu'!E371</f>
        <v>10.7</v>
      </c>
      <c r="E323" s="5">
        <f t="shared" si="72"/>
        <v>0</v>
      </c>
      <c r="F323" s="9">
        <f t="shared" si="84"/>
        <v>20.376785714285713</v>
      </c>
      <c r="G323" s="5">
        <f t="shared" si="85"/>
        <v>56</v>
      </c>
      <c r="H323" s="8">
        <f t="shared" si="86"/>
        <v>3</v>
      </c>
      <c r="I323" s="8">
        <f t="shared" si="73"/>
        <v>32.099999999999994</v>
      </c>
      <c r="J323" s="7">
        <f t="shared" si="74"/>
        <v>0.52510735255455265</v>
      </c>
      <c r="K323" s="7">
        <f t="shared" si="75"/>
        <v>-0.64415255623762424</v>
      </c>
      <c r="L323" s="7">
        <f t="shared" si="76"/>
        <v>-0.33824924344718643</v>
      </c>
      <c r="M323" s="7">
        <f t="shared" si="77"/>
        <v>0.64415255623762435</v>
      </c>
      <c r="N323" s="7">
        <f t="shared" si="78"/>
        <v>2.3702437414678603</v>
      </c>
      <c r="O323" s="9">
        <f t="shared" si="87"/>
        <v>17.862962962962964</v>
      </c>
      <c r="P323" s="7">
        <f t="shared" si="79"/>
        <v>-0.30698138999218461</v>
      </c>
    </row>
    <row r="324" spans="1:16" x14ac:dyDescent="0.25">
      <c r="A324" t="s">
        <v>143</v>
      </c>
      <c r="B324">
        <v>2022</v>
      </c>
      <c r="C324" s="5" t="str">
        <f>'1_Du_lieu'!C372</f>
        <v>TDMNPB</v>
      </c>
      <c r="D324" s="8">
        <f>'1_Du_lieu'!E372</f>
        <v>9.3000000000000007</v>
      </c>
      <c r="E324" s="5">
        <f t="shared" si="72"/>
        <v>0</v>
      </c>
      <c r="F324" s="9">
        <f t="shared" si="84"/>
        <v>20.376785714285713</v>
      </c>
      <c r="G324" s="5">
        <f t="shared" si="85"/>
        <v>56</v>
      </c>
      <c r="H324" s="8">
        <f t="shared" si="86"/>
        <v>1</v>
      </c>
      <c r="I324" s="8">
        <f t="shared" si="73"/>
        <v>9.3000000000000007</v>
      </c>
      <c r="J324" s="7">
        <f t="shared" si="74"/>
        <v>0.45640171764087289</v>
      </c>
      <c r="K324" s="7">
        <f t="shared" si="75"/>
        <v>-0.78438189754627441</v>
      </c>
      <c r="L324" s="7">
        <f t="shared" si="76"/>
        <v>-0.35799324532652682</v>
      </c>
      <c r="M324" s="7">
        <f t="shared" si="77"/>
        <v>0.78438189754627441</v>
      </c>
      <c r="N324" s="7">
        <f t="shared" si="78"/>
        <v>2.2300144001592104</v>
      </c>
      <c r="O324" s="9">
        <f t="shared" si="87"/>
        <v>17.862962962962964</v>
      </c>
      <c r="P324" s="7">
        <f t="shared" si="79"/>
        <v>-0.3398232465163783</v>
      </c>
    </row>
    <row r="325" spans="1:16" x14ac:dyDescent="0.25">
      <c r="A325" t="s">
        <v>144</v>
      </c>
      <c r="B325">
        <v>2022</v>
      </c>
      <c r="C325" s="5" t="str">
        <f>'1_Du_lieu'!C373</f>
        <v>ĐNB</v>
      </c>
      <c r="D325" s="8">
        <f>'1_Du_lieu'!E373</f>
        <v>14.6</v>
      </c>
      <c r="E325" s="5">
        <f t="shared" ref="E325:E388" si="88">IF(OR(A325="Hà Nội",A325="TP. Hồ Chí Minh"),1,0)</f>
        <v>0</v>
      </c>
      <c r="F325" s="9">
        <f t="shared" si="84"/>
        <v>20.376785714285713</v>
      </c>
      <c r="G325" s="5">
        <f t="shared" si="85"/>
        <v>56</v>
      </c>
      <c r="H325" s="8">
        <f t="shared" si="86"/>
        <v>25</v>
      </c>
      <c r="I325" s="8">
        <f t="shared" ref="I325:I388" si="89">H325*D325</f>
        <v>365</v>
      </c>
      <c r="J325" s="7">
        <f t="shared" ref="J325:J388" si="90">D325/F325</f>
        <v>0.71650162124266059</v>
      </c>
      <c r="K325" s="7">
        <f t="shared" ref="K325:K388" si="91">LN(J325)</f>
        <v>-0.333374768991194</v>
      </c>
      <c r="L325" s="7">
        <f t="shared" ref="L325:L388" si="92">J325*K325</f>
        <v>-0.23886356246358795</v>
      </c>
      <c r="M325" s="7">
        <f t="shared" ref="M325:M388" si="93">LN(F325/D325)</f>
        <v>0.33337476899119389</v>
      </c>
      <c r="N325" s="7">
        <f t="shared" ref="N325:N388" si="94">LN(D325)</f>
        <v>2.6810215287142909</v>
      </c>
      <c r="O325" s="9">
        <f t="shared" si="87"/>
        <v>17.862962962962964</v>
      </c>
      <c r="P325" s="7">
        <f t="shared" ref="P325:P388" si="95">(1-E325)*(D325/O325)*LN(D325/O325)</f>
        <v>-0.16486267247533901</v>
      </c>
    </row>
    <row r="326" spans="1:16" x14ac:dyDescent="0.25">
      <c r="A326" t="s">
        <v>145</v>
      </c>
      <c r="B326">
        <v>2022</v>
      </c>
      <c r="C326" s="5" t="str">
        <f>'1_Du_lieu'!C374</f>
        <v>ĐBSCL</v>
      </c>
      <c r="D326" s="8">
        <f>'1_Du_lieu'!E374</f>
        <v>11.8</v>
      </c>
      <c r="E326" s="5">
        <f t="shared" si="88"/>
        <v>0</v>
      </c>
      <c r="F326" s="9">
        <f t="shared" si="84"/>
        <v>20.376785714285713</v>
      </c>
      <c r="G326" s="5">
        <f t="shared" si="85"/>
        <v>56</v>
      </c>
      <c r="H326" s="8">
        <f t="shared" si="86"/>
        <v>8.5</v>
      </c>
      <c r="I326" s="8">
        <f t="shared" si="89"/>
        <v>100.30000000000001</v>
      </c>
      <c r="J326" s="7">
        <f t="shared" si="90"/>
        <v>0.57909035141530107</v>
      </c>
      <c r="K326" s="7">
        <f t="shared" si="91"/>
        <v>-0.54629676623386558</v>
      </c>
      <c r="L326" s="7">
        <f t="shared" si="92"/>
        <v>-0.31635518633541182</v>
      </c>
      <c r="M326" s="7">
        <f t="shared" si="93"/>
        <v>0.54629676623386558</v>
      </c>
      <c r="N326" s="7">
        <f t="shared" si="94"/>
        <v>2.4680995314716192</v>
      </c>
      <c r="O326" s="9">
        <f t="shared" si="87"/>
        <v>17.862962962962964</v>
      </c>
      <c r="P326" s="7">
        <f t="shared" si="95"/>
        <v>-0.27389818695881074</v>
      </c>
    </row>
    <row r="327" spans="1:16" x14ac:dyDescent="0.25">
      <c r="A327" t="s">
        <v>146</v>
      </c>
      <c r="B327">
        <v>2022</v>
      </c>
      <c r="C327" s="5" t="str">
        <f>'1_Du_lieu'!C375</f>
        <v>ĐBSH</v>
      </c>
      <c r="D327" s="8">
        <f>'1_Du_lieu'!E375</f>
        <v>23.9</v>
      </c>
      <c r="E327" s="5">
        <f t="shared" si="88"/>
        <v>0</v>
      </c>
      <c r="F327" s="9">
        <f t="shared" si="84"/>
        <v>20.376785714285713</v>
      </c>
      <c r="G327" s="5">
        <f t="shared" si="85"/>
        <v>56</v>
      </c>
      <c r="H327" s="8">
        <f t="shared" si="86"/>
        <v>46</v>
      </c>
      <c r="I327" s="8">
        <f t="shared" si="89"/>
        <v>1099.3999999999999</v>
      </c>
      <c r="J327" s="7">
        <f t="shared" si="90"/>
        <v>1.1729033388835335</v>
      </c>
      <c r="K327" s="7">
        <f t="shared" si="91"/>
        <v>0.15948216123198028</v>
      </c>
      <c r="L327" s="7">
        <f t="shared" si="92"/>
        <v>0.1870571594013517</v>
      </c>
      <c r="M327" s="7">
        <f t="shared" si="93"/>
        <v>-0.1594821612319802</v>
      </c>
      <c r="N327" s="7">
        <f t="shared" si="94"/>
        <v>3.1738784589374651</v>
      </c>
      <c r="O327" s="9">
        <f t="shared" si="87"/>
        <v>17.862962962962964</v>
      </c>
      <c r="P327" s="7">
        <f t="shared" si="95"/>
        <v>0.38954685532550209</v>
      </c>
    </row>
    <row r="328" spans="1:16" x14ac:dyDescent="0.25">
      <c r="A328" t="s">
        <v>147</v>
      </c>
      <c r="B328">
        <v>2022</v>
      </c>
      <c r="C328" s="5" t="str">
        <f>'1_Du_lieu'!C376</f>
        <v>TDMNPB</v>
      </c>
      <c r="D328" s="8">
        <f>'1_Du_lieu'!E376</f>
        <v>13.8</v>
      </c>
      <c r="E328" s="5">
        <f t="shared" si="88"/>
        <v>0</v>
      </c>
      <c r="F328" s="9">
        <f t="shared" si="84"/>
        <v>20.376785714285713</v>
      </c>
      <c r="G328" s="5">
        <f t="shared" si="85"/>
        <v>56</v>
      </c>
      <c r="H328" s="8">
        <f t="shared" si="86"/>
        <v>15</v>
      </c>
      <c r="I328" s="8">
        <f t="shared" si="89"/>
        <v>207</v>
      </c>
      <c r="J328" s="7">
        <f t="shared" si="90"/>
        <v>0.67724125843484362</v>
      </c>
      <c r="K328" s="7">
        <f t="shared" si="91"/>
        <v>-0.38972770554232566</v>
      </c>
      <c r="L328" s="7">
        <f t="shared" si="92"/>
        <v>-0.26393968174840882</v>
      </c>
      <c r="M328" s="7">
        <f t="shared" si="93"/>
        <v>0.38972770554232555</v>
      </c>
      <c r="N328" s="7">
        <f t="shared" si="94"/>
        <v>2.6246685921631592</v>
      </c>
      <c r="O328" s="9">
        <f t="shared" si="87"/>
        <v>17.862962962962964</v>
      </c>
      <c r="P328" s="7">
        <f t="shared" si="95"/>
        <v>-0.19936446144497505</v>
      </c>
    </row>
    <row r="329" spans="1:16" x14ac:dyDescent="0.25">
      <c r="A329" t="s">
        <v>149</v>
      </c>
      <c r="B329">
        <v>2022</v>
      </c>
      <c r="C329" s="5" t="str">
        <f>'1_Du_lieu'!C378</f>
        <v>BTB&amp;DHMT</v>
      </c>
      <c r="D329" s="8">
        <f>'1_Du_lieu'!E378</f>
        <v>36.6</v>
      </c>
      <c r="E329" s="5">
        <f t="shared" si="88"/>
        <v>0</v>
      </c>
      <c r="F329" s="9">
        <f t="shared" si="84"/>
        <v>20.376785714285713</v>
      </c>
      <c r="G329" s="5">
        <f t="shared" si="85"/>
        <v>56</v>
      </c>
      <c r="H329" s="8">
        <f t="shared" si="86"/>
        <v>54</v>
      </c>
      <c r="I329" s="8">
        <f t="shared" si="89"/>
        <v>1976.4</v>
      </c>
      <c r="J329" s="7">
        <f t="shared" si="90"/>
        <v>1.7961615984576287</v>
      </c>
      <c r="K329" s="7">
        <f t="shared" si="91"/>
        <v>0.58565194270183585</v>
      </c>
      <c r="L329" s="7">
        <f t="shared" si="92"/>
        <v>1.0519255295431451</v>
      </c>
      <c r="M329" s="7">
        <f t="shared" si="93"/>
        <v>-0.58565194270183585</v>
      </c>
      <c r="N329" s="7">
        <f t="shared" si="94"/>
        <v>3.6000482404073204</v>
      </c>
      <c r="O329" s="9">
        <f t="shared" si="87"/>
        <v>17.862962962962964</v>
      </c>
      <c r="P329" s="7">
        <f t="shared" si="95"/>
        <v>1.4697375445584704</v>
      </c>
    </row>
    <row r="330" spans="1:16" x14ac:dyDescent="0.25">
      <c r="A330" t="s">
        <v>150</v>
      </c>
      <c r="B330">
        <v>2022</v>
      </c>
      <c r="C330" s="5" t="str">
        <f>'1_Du_lieu'!C379</f>
        <v>TN</v>
      </c>
      <c r="D330" s="8">
        <f>'1_Du_lieu'!E379</f>
        <v>18.100000000000001</v>
      </c>
      <c r="E330" s="5">
        <f t="shared" si="88"/>
        <v>0</v>
      </c>
      <c r="F330" s="9">
        <f t="shared" si="84"/>
        <v>20.376785714285713</v>
      </c>
      <c r="G330" s="5">
        <f t="shared" si="85"/>
        <v>56</v>
      </c>
      <c r="H330" s="8">
        <f t="shared" si="86"/>
        <v>35</v>
      </c>
      <c r="I330" s="8">
        <f t="shared" si="89"/>
        <v>633.5</v>
      </c>
      <c r="J330" s="7">
        <f t="shared" si="90"/>
        <v>0.88826570852686015</v>
      </c>
      <c r="K330" s="7">
        <f t="shared" si="91"/>
        <v>-0.11848435943370457</v>
      </c>
      <c r="L330" s="7">
        <f t="shared" si="92"/>
        <v>-0.10524559348173075</v>
      </c>
      <c r="M330" s="7">
        <f t="shared" si="93"/>
        <v>0.11848435943370463</v>
      </c>
      <c r="N330" s="7">
        <f t="shared" si="94"/>
        <v>2.8959119382717802</v>
      </c>
      <c r="O330" s="9">
        <f t="shared" si="87"/>
        <v>17.862962962962964</v>
      </c>
      <c r="P330" s="7">
        <f t="shared" si="95"/>
        <v>1.335740536640715E-2</v>
      </c>
    </row>
    <row r="331" spans="1:16" x14ac:dyDescent="0.25">
      <c r="A331" t="s">
        <v>151</v>
      </c>
      <c r="B331">
        <v>2022</v>
      </c>
      <c r="C331" s="5" t="str">
        <f>'1_Du_lieu'!C380</f>
        <v>TN</v>
      </c>
      <c r="D331" s="8">
        <f>'1_Du_lieu'!E380</f>
        <v>11.8</v>
      </c>
      <c r="E331" s="5">
        <f t="shared" si="88"/>
        <v>0</v>
      </c>
      <c r="F331" s="9">
        <f t="shared" si="84"/>
        <v>20.376785714285713</v>
      </c>
      <c r="G331" s="5">
        <f t="shared" si="85"/>
        <v>56</v>
      </c>
      <c r="H331" s="8">
        <f t="shared" si="86"/>
        <v>8.5</v>
      </c>
      <c r="I331" s="8">
        <f t="shared" si="89"/>
        <v>100.30000000000001</v>
      </c>
      <c r="J331" s="7">
        <f t="shared" si="90"/>
        <v>0.57909035141530107</v>
      </c>
      <c r="K331" s="7">
        <f t="shared" si="91"/>
        <v>-0.54629676623386558</v>
      </c>
      <c r="L331" s="7">
        <f t="shared" si="92"/>
        <v>-0.31635518633541182</v>
      </c>
      <c r="M331" s="7">
        <f t="shared" si="93"/>
        <v>0.54629676623386558</v>
      </c>
      <c r="N331" s="7">
        <f t="shared" si="94"/>
        <v>2.4680995314716192</v>
      </c>
      <c r="O331" s="9">
        <f t="shared" si="87"/>
        <v>17.862962962962964</v>
      </c>
      <c r="P331" s="7">
        <f t="shared" si="95"/>
        <v>-0.27389818695881074</v>
      </c>
    </row>
    <row r="332" spans="1:16" x14ac:dyDescent="0.25">
      <c r="A332" t="s">
        <v>152</v>
      </c>
      <c r="B332">
        <v>2022</v>
      </c>
      <c r="C332" s="5" t="str">
        <f>'1_Du_lieu'!C381</f>
        <v>ĐNB</v>
      </c>
      <c r="D332" s="8">
        <f>'1_Du_lieu'!E381</f>
        <v>33</v>
      </c>
      <c r="E332" s="5">
        <f t="shared" si="88"/>
        <v>0</v>
      </c>
      <c r="F332" s="9">
        <f t="shared" si="84"/>
        <v>20.376785714285713</v>
      </c>
      <c r="G332" s="5">
        <f t="shared" si="85"/>
        <v>56</v>
      </c>
      <c r="H332" s="8">
        <f t="shared" si="86"/>
        <v>52</v>
      </c>
      <c r="I332" s="8">
        <f t="shared" si="89"/>
        <v>1716</v>
      </c>
      <c r="J332" s="7">
        <f t="shared" si="90"/>
        <v>1.6194899658224522</v>
      </c>
      <c r="K332" s="7">
        <f t="shared" si="91"/>
        <v>0.48211126376099561</v>
      </c>
      <c r="L332" s="7">
        <f t="shared" si="92"/>
        <v>0.780774354070914</v>
      </c>
      <c r="M332" s="7">
        <f t="shared" si="93"/>
        <v>-0.48211126376099561</v>
      </c>
      <c r="N332" s="7">
        <f t="shared" si="94"/>
        <v>3.4965075614664802</v>
      </c>
      <c r="O332" s="9">
        <f t="shared" si="87"/>
        <v>17.862962962962964</v>
      </c>
      <c r="P332" s="7">
        <f t="shared" si="95"/>
        <v>1.133892364612755</v>
      </c>
    </row>
    <row r="333" spans="1:16" x14ac:dyDescent="0.25">
      <c r="A333" t="s">
        <v>153</v>
      </c>
      <c r="B333">
        <v>2022</v>
      </c>
      <c r="C333" s="5" t="str">
        <f>'1_Du_lieu'!C382</f>
        <v>ĐBSCL</v>
      </c>
      <c r="D333" s="8">
        <f>'1_Du_lieu'!E382</f>
        <v>14.7</v>
      </c>
      <c r="E333" s="5">
        <f t="shared" si="88"/>
        <v>0</v>
      </c>
      <c r="F333" s="9">
        <f t="shared" si="84"/>
        <v>20.376785714285713</v>
      </c>
      <c r="G333" s="5">
        <f t="shared" si="85"/>
        <v>56</v>
      </c>
      <c r="H333" s="8">
        <f t="shared" si="86"/>
        <v>26</v>
      </c>
      <c r="I333" s="8">
        <f t="shared" si="89"/>
        <v>382.2</v>
      </c>
      <c r="J333" s="7">
        <f t="shared" si="90"/>
        <v>0.72140916659363774</v>
      </c>
      <c r="K333" s="7">
        <f t="shared" si="91"/>
        <v>-0.32654880392079411</v>
      </c>
      <c r="L333" s="7">
        <f t="shared" si="92"/>
        <v>-0.2355753004886493</v>
      </c>
      <c r="M333" s="7">
        <f t="shared" si="93"/>
        <v>0.32654880392079411</v>
      </c>
      <c r="N333" s="7">
        <f t="shared" si="94"/>
        <v>2.6878474937846906</v>
      </c>
      <c r="O333" s="9">
        <f t="shared" si="87"/>
        <v>17.862962962962964</v>
      </c>
      <c r="P333" s="7">
        <f t="shared" si="95"/>
        <v>-0.16037456524108715</v>
      </c>
    </row>
    <row r="334" spans="1:16" x14ac:dyDescent="0.25">
      <c r="A334" t="s">
        <v>85</v>
      </c>
      <c r="B334">
        <v>2023</v>
      </c>
      <c r="C334" s="5" t="str">
        <f>'1_Du_lieu'!C383</f>
        <v>ĐBSCL</v>
      </c>
      <c r="D334" s="8">
        <f>'1_Du_lieu'!E383</f>
        <v>14</v>
      </c>
      <c r="E334" s="5">
        <f t="shared" si="88"/>
        <v>0</v>
      </c>
      <c r="F334" s="9">
        <f t="shared" ref="F334:F365" si="96">AVERAGE($D$334:$D$391)</f>
        <v>19.241379310344833</v>
      </c>
      <c r="G334" s="5">
        <f t="shared" ref="G334:G365" si="97">COUNT($D$334:$D$391)</f>
        <v>58</v>
      </c>
      <c r="H334" s="8">
        <f t="shared" ref="H334:H365" si="98">_xlfn.RANK.AVG(D334,$D$334:$D$391,1)</f>
        <v>24</v>
      </c>
      <c r="I334" s="8">
        <f t="shared" si="89"/>
        <v>336</v>
      </c>
      <c r="J334" s="7">
        <f t="shared" si="90"/>
        <v>0.72759856630824349</v>
      </c>
      <c r="K334" s="7">
        <f t="shared" si="91"/>
        <v>-0.31800580277957863</v>
      </c>
      <c r="L334" s="7">
        <f t="shared" si="92"/>
        <v>-0.23138056618012345</v>
      </c>
      <c r="M334" s="7">
        <f t="shared" si="93"/>
        <v>0.31800580277957863</v>
      </c>
      <c r="N334" s="7">
        <f t="shared" si="94"/>
        <v>2.6390573296152584</v>
      </c>
      <c r="O334" s="9">
        <f t="shared" ref="O334:O365" si="99">SUMPRODUCT((1-$E$334:$E$391)*$D$334:$D$391)/(G334-SUM($E$334:$E$391))</f>
        <v>16.805357142857144</v>
      </c>
      <c r="P334" s="7">
        <f t="shared" si="95"/>
        <v>-0.15215180180133689</v>
      </c>
    </row>
    <row r="335" spans="1:16" x14ac:dyDescent="0.25">
      <c r="A335" t="s">
        <v>87</v>
      </c>
      <c r="B335">
        <v>2023</v>
      </c>
      <c r="C335" s="5" t="str">
        <f>'1_Du_lieu'!C384</f>
        <v>ĐNB</v>
      </c>
      <c r="D335" s="8">
        <f>'1_Du_lieu'!E384</f>
        <v>23.6</v>
      </c>
      <c r="E335" s="5">
        <f t="shared" si="88"/>
        <v>0</v>
      </c>
      <c r="F335" s="9">
        <f t="shared" si="96"/>
        <v>19.241379310344833</v>
      </c>
      <c r="G335" s="5">
        <f t="shared" si="97"/>
        <v>58</v>
      </c>
      <c r="H335" s="8">
        <f t="shared" si="98"/>
        <v>52</v>
      </c>
      <c r="I335" s="8">
        <f t="shared" si="89"/>
        <v>1227.2</v>
      </c>
      <c r="J335" s="7">
        <f t="shared" si="90"/>
        <v>1.2265232974910392</v>
      </c>
      <c r="K335" s="7">
        <f t="shared" si="91"/>
        <v>0.20418357963672726</v>
      </c>
      <c r="L335" s="7">
        <f t="shared" si="92"/>
        <v>0.25043591738956289</v>
      </c>
      <c r="M335" s="7">
        <f t="shared" si="93"/>
        <v>-0.20418357963672723</v>
      </c>
      <c r="N335" s="7">
        <f t="shared" si="94"/>
        <v>3.1612467120315646</v>
      </c>
      <c r="O335" s="9">
        <f t="shared" si="99"/>
        <v>16.805357142857144</v>
      </c>
      <c r="P335" s="7">
        <f t="shared" si="95"/>
        <v>0.47683344697571528</v>
      </c>
    </row>
    <row r="336" spans="1:16" x14ac:dyDescent="0.25">
      <c r="A336" t="s">
        <v>89</v>
      </c>
      <c r="B336">
        <v>2023</v>
      </c>
      <c r="C336" s="5" t="str">
        <f>'1_Du_lieu'!C385</f>
        <v>ĐNB</v>
      </c>
      <c r="D336" s="8">
        <f>'1_Du_lieu'!E385</f>
        <v>35.700000000000003</v>
      </c>
      <c r="E336" s="5">
        <f t="shared" si="88"/>
        <v>0</v>
      </c>
      <c r="F336" s="9">
        <f t="shared" si="96"/>
        <v>19.241379310344833</v>
      </c>
      <c r="G336" s="5">
        <f t="shared" si="97"/>
        <v>58</v>
      </c>
      <c r="H336" s="8">
        <f t="shared" si="98"/>
        <v>55</v>
      </c>
      <c r="I336" s="8">
        <f t="shared" si="89"/>
        <v>1963.5000000000002</v>
      </c>
      <c r="J336" s="7">
        <f t="shared" si="90"/>
        <v>1.8553763440860211</v>
      </c>
      <c r="K336" s="7">
        <f t="shared" si="91"/>
        <v>0.6180875563907563</v>
      </c>
      <c r="L336" s="7">
        <f t="shared" si="92"/>
        <v>1.1467850307013439</v>
      </c>
      <c r="M336" s="7">
        <f t="shared" si="93"/>
        <v>-0.6180875563907563</v>
      </c>
      <c r="N336" s="7">
        <f t="shared" si="94"/>
        <v>3.5751506887855933</v>
      </c>
      <c r="O336" s="9">
        <f t="shared" si="99"/>
        <v>16.805357142857144</v>
      </c>
      <c r="P336" s="7">
        <f t="shared" si="95"/>
        <v>1.600577185135986</v>
      </c>
    </row>
    <row r="337" spans="1:16" x14ac:dyDescent="0.25">
      <c r="A337" t="s">
        <v>90</v>
      </c>
      <c r="B337">
        <v>2023</v>
      </c>
      <c r="C337" s="5" t="str">
        <f>'1_Du_lieu'!C386</f>
        <v>ĐNB</v>
      </c>
      <c r="D337" s="8">
        <f>'1_Du_lieu'!E386</f>
        <v>12.9</v>
      </c>
      <c r="E337" s="5">
        <f t="shared" si="88"/>
        <v>0</v>
      </c>
      <c r="F337" s="9">
        <f t="shared" si="96"/>
        <v>19.241379310344833</v>
      </c>
      <c r="G337" s="5">
        <f t="shared" si="97"/>
        <v>58</v>
      </c>
      <c r="H337" s="8">
        <f t="shared" si="98"/>
        <v>15</v>
      </c>
      <c r="I337" s="8">
        <f t="shared" si="89"/>
        <v>193.5</v>
      </c>
      <c r="J337" s="7">
        <f t="shared" si="90"/>
        <v>0.67043010752688159</v>
      </c>
      <c r="K337" s="7">
        <f t="shared" si="91"/>
        <v>-0.39983582102721066</v>
      </c>
      <c r="L337" s="7">
        <f t="shared" si="92"/>
        <v>-0.2680619724843718</v>
      </c>
      <c r="M337" s="7">
        <f t="shared" si="93"/>
        <v>0.39983582102721071</v>
      </c>
      <c r="N337" s="7">
        <f t="shared" si="94"/>
        <v>2.5572273113676265</v>
      </c>
      <c r="O337" s="9">
        <f t="shared" si="99"/>
        <v>16.805357142857144</v>
      </c>
      <c r="P337" s="7">
        <f t="shared" si="95"/>
        <v>-0.20301075149595646</v>
      </c>
    </row>
    <row r="338" spans="1:16" x14ac:dyDescent="0.25">
      <c r="A338" t="s">
        <v>91</v>
      </c>
      <c r="B338">
        <v>2023</v>
      </c>
      <c r="C338" s="5" t="str">
        <f>'1_Du_lieu'!C387</f>
        <v>BTB&amp;DHMT</v>
      </c>
      <c r="D338" s="8">
        <f>'1_Du_lieu'!E387</f>
        <v>15.2</v>
      </c>
      <c r="E338" s="5">
        <f t="shared" si="88"/>
        <v>0</v>
      </c>
      <c r="F338" s="9">
        <f t="shared" si="96"/>
        <v>19.241379310344833</v>
      </c>
      <c r="G338" s="5">
        <f t="shared" si="97"/>
        <v>58</v>
      </c>
      <c r="H338" s="8">
        <f t="shared" si="98"/>
        <v>27</v>
      </c>
      <c r="I338" s="8">
        <f t="shared" si="89"/>
        <v>410.4</v>
      </c>
      <c r="J338" s="7">
        <f t="shared" si="90"/>
        <v>0.78996415770609296</v>
      </c>
      <c r="K338" s="7">
        <f t="shared" si="91"/>
        <v>-0.23576770454260648</v>
      </c>
      <c r="L338" s="7">
        <f t="shared" si="92"/>
        <v>-0.18624803613329913</v>
      </c>
      <c r="M338" s="7">
        <f t="shared" si="93"/>
        <v>0.23576770454260657</v>
      </c>
      <c r="N338" s="7">
        <f t="shared" si="94"/>
        <v>2.7212954278522306</v>
      </c>
      <c r="O338" s="9">
        <f t="shared" si="99"/>
        <v>16.805357142857144</v>
      </c>
      <c r="P338" s="7">
        <f t="shared" si="95"/>
        <v>-9.0811205215270169E-2</v>
      </c>
    </row>
    <row r="339" spans="1:16" x14ac:dyDescent="0.25">
      <c r="A339" t="s">
        <v>93</v>
      </c>
      <c r="B339">
        <v>2023</v>
      </c>
      <c r="C339" s="5" t="str">
        <f>'1_Du_lieu'!C388</f>
        <v>BTB&amp;DHMT</v>
      </c>
      <c r="D339" s="8">
        <f>'1_Du_lieu'!E388</f>
        <v>16.600000000000001</v>
      </c>
      <c r="E339" s="5">
        <f t="shared" si="88"/>
        <v>0</v>
      </c>
      <c r="F339" s="9">
        <f t="shared" si="96"/>
        <v>19.241379310344833</v>
      </c>
      <c r="G339" s="5">
        <f t="shared" si="97"/>
        <v>58</v>
      </c>
      <c r="H339" s="8">
        <f t="shared" si="98"/>
        <v>31.5</v>
      </c>
      <c r="I339" s="8">
        <f t="shared" si="89"/>
        <v>522.90000000000009</v>
      </c>
      <c r="J339" s="7">
        <f t="shared" si="90"/>
        <v>0.86272401433691737</v>
      </c>
      <c r="K339" s="7">
        <f t="shared" si="91"/>
        <v>-0.14766043703233958</v>
      </c>
      <c r="L339" s="7">
        <f t="shared" si="92"/>
        <v>-0.12739020499528361</v>
      </c>
      <c r="M339" s="7">
        <f t="shared" si="93"/>
        <v>0.14766043703233953</v>
      </c>
      <c r="N339" s="7">
        <f t="shared" si="94"/>
        <v>2.8094026953624978</v>
      </c>
      <c r="O339" s="9">
        <f t="shared" si="99"/>
        <v>16.805357142857144</v>
      </c>
      <c r="P339" s="7">
        <f t="shared" si="95"/>
        <v>-1.2144775811594772E-2</v>
      </c>
    </row>
    <row r="340" spans="1:16" x14ac:dyDescent="0.25">
      <c r="A340" t="s">
        <v>94</v>
      </c>
      <c r="B340">
        <v>2023</v>
      </c>
      <c r="C340" s="5" t="str">
        <f>'1_Du_lieu'!C389</f>
        <v>ĐBSCL</v>
      </c>
      <c r="D340" s="8">
        <f>'1_Du_lieu'!E389</f>
        <v>10.7</v>
      </c>
      <c r="E340" s="5">
        <f t="shared" si="88"/>
        <v>0</v>
      </c>
      <c r="F340" s="9">
        <f t="shared" si="96"/>
        <v>19.241379310344833</v>
      </c>
      <c r="G340" s="5">
        <f t="shared" si="97"/>
        <v>58</v>
      </c>
      <c r="H340" s="8">
        <f t="shared" si="98"/>
        <v>3.5</v>
      </c>
      <c r="I340" s="8">
        <f t="shared" si="89"/>
        <v>37.449999999999996</v>
      </c>
      <c r="J340" s="7">
        <f t="shared" si="90"/>
        <v>0.55609318996415757</v>
      </c>
      <c r="K340" s="7">
        <f t="shared" si="91"/>
        <v>-0.58681939092697666</v>
      </c>
      <c r="L340" s="7">
        <f t="shared" si="92"/>
        <v>-0.3263262670334065</v>
      </c>
      <c r="M340" s="7">
        <f t="shared" si="93"/>
        <v>0.58681939092697677</v>
      </c>
      <c r="N340" s="7">
        <f t="shared" si="94"/>
        <v>2.3702437414678603</v>
      </c>
      <c r="O340" s="9">
        <f t="shared" si="99"/>
        <v>16.805357142857144</v>
      </c>
      <c r="P340" s="7">
        <f t="shared" si="95"/>
        <v>-0.28744152568240366</v>
      </c>
    </row>
    <row r="341" spans="1:16" x14ac:dyDescent="0.25">
      <c r="A341" t="s">
        <v>95</v>
      </c>
      <c r="B341">
        <v>2023</v>
      </c>
      <c r="C341" s="5" t="str">
        <f>'1_Du_lieu'!C390</f>
        <v>TDMNPB</v>
      </c>
      <c r="D341" s="8">
        <f>'1_Du_lieu'!E390</f>
        <v>19</v>
      </c>
      <c r="E341" s="5">
        <f t="shared" si="88"/>
        <v>0</v>
      </c>
      <c r="F341" s="9">
        <f t="shared" si="96"/>
        <v>19.241379310344833</v>
      </c>
      <c r="G341" s="5">
        <f t="shared" si="97"/>
        <v>58</v>
      </c>
      <c r="H341" s="8">
        <f t="shared" si="98"/>
        <v>42</v>
      </c>
      <c r="I341" s="8">
        <f t="shared" si="89"/>
        <v>798</v>
      </c>
      <c r="J341" s="7">
        <f t="shared" si="90"/>
        <v>0.9874551971326162</v>
      </c>
      <c r="K341" s="7">
        <f t="shared" si="91"/>
        <v>-1.262415322839674E-2</v>
      </c>
      <c r="L341" s="7">
        <f t="shared" si="92"/>
        <v>-1.2465785714778856E-2</v>
      </c>
      <c r="M341" s="7">
        <f t="shared" si="93"/>
        <v>1.2624153228396625E-2</v>
      </c>
      <c r="N341" s="7">
        <f t="shared" si="94"/>
        <v>2.9444389791664403</v>
      </c>
      <c r="O341" s="9">
        <f t="shared" si="99"/>
        <v>16.805357142857144</v>
      </c>
      <c r="P341" s="7">
        <f t="shared" si="95"/>
        <v>0.13877027633960856</v>
      </c>
    </row>
    <row r="342" spans="1:16" x14ac:dyDescent="0.25">
      <c r="A342" t="s">
        <v>97</v>
      </c>
      <c r="B342">
        <v>2023</v>
      </c>
      <c r="C342" s="5" t="str">
        <f>'1_Du_lieu'!C391</f>
        <v>TDMNPB</v>
      </c>
      <c r="D342" s="8">
        <f>'1_Du_lieu'!E391</f>
        <v>10.8</v>
      </c>
      <c r="E342" s="5">
        <f t="shared" si="88"/>
        <v>0</v>
      </c>
      <c r="F342" s="9">
        <f t="shared" si="96"/>
        <v>19.241379310344833</v>
      </c>
      <c r="G342" s="5">
        <f t="shared" si="97"/>
        <v>58</v>
      </c>
      <c r="H342" s="8">
        <f t="shared" si="98"/>
        <v>5</v>
      </c>
      <c r="I342" s="8">
        <f t="shared" si="89"/>
        <v>54</v>
      </c>
      <c r="J342" s="7">
        <f t="shared" si="90"/>
        <v>0.56129032258064504</v>
      </c>
      <c r="K342" s="7">
        <f t="shared" si="91"/>
        <v>-0.57751699826466307</v>
      </c>
      <c r="L342" s="7">
        <f t="shared" si="92"/>
        <v>-0.32415470225177856</v>
      </c>
      <c r="M342" s="7">
        <f t="shared" si="93"/>
        <v>0.57751699826466307</v>
      </c>
      <c r="N342" s="7">
        <f t="shared" si="94"/>
        <v>2.379546134130174</v>
      </c>
      <c r="O342" s="9">
        <f t="shared" si="99"/>
        <v>16.805357142857144</v>
      </c>
      <c r="P342" s="7">
        <f t="shared" si="95"/>
        <v>-0.28414969182748762</v>
      </c>
    </row>
    <row r="343" spans="1:16" x14ac:dyDescent="0.25">
      <c r="A343" t="s">
        <v>98</v>
      </c>
      <c r="B343">
        <v>2023</v>
      </c>
      <c r="C343" s="5" t="str">
        <f>'1_Du_lieu'!C392</f>
        <v>ĐBSH</v>
      </c>
      <c r="D343" s="8">
        <f>'1_Du_lieu'!E392</f>
        <v>21.5</v>
      </c>
      <c r="E343" s="5">
        <f t="shared" si="88"/>
        <v>0</v>
      </c>
      <c r="F343" s="9">
        <f t="shared" si="96"/>
        <v>19.241379310344833</v>
      </c>
      <c r="G343" s="5">
        <f t="shared" si="97"/>
        <v>58</v>
      </c>
      <c r="H343" s="8">
        <f t="shared" si="98"/>
        <v>49</v>
      </c>
      <c r="I343" s="8">
        <f t="shared" si="89"/>
        <v>1053.5</v>
      </c>
      <c r="J343" s="7">
        <f t="shared" si="90"/>
        <v>1.1173835125448026</v>
      </c>
      <c r="K343" s="7">
        <f t="shared" si="91"/>
        <v>0.11098980273877998</v>
      </c>
      <c r="L343" s="7">
        <f t="shared" si="92"/>
        <v>0.12401817564091273</v>
      </c>
      <c r="M343" s="7">
        <f t="shared" si="93"/>
        <v>-0.11098980273877991</v>
      </c>
      <c r="N343" s="7">
        <f t="shared" si="94"/>
        <v>3.068052935133617</v>
      </c>
      <c r="O343" s="9">
        <f t="shared" si="99"/>
        <v>16.805357142857144</v>
      </c>
      <c r="P343" s="7">
        <f t="shared" si="95"/>
        <v>0.31517552576011587</v>
      </c>
    </row>
    <row r="344" spans="1:16" x14ac:dyDescent="0.25">
      <c r="A344" t="s">
        <v>100</v>
      </c>
      <c r="B344">
        <v>2023</v>
      </c>
      <c r="C344" s="5" t="str">
        <f>'1_Du_lieu'!C393</f>
        <v>ĐBSCL</v>
      </c>
      <c r="D344" s="8">
        <f>'1_Du_lieu'!E393</f>
        <v>14.5</v>
      </c>
      <c r="E344" s="5">
        <f t="shared" si="88"/>
        <v>0</v>
      </c>
      <c r="F344" s="9">
        <f t="shared" si="96"/>
        <v>19.241379310344833</v>
      </c>
      <c r="G344" s="5">
        <f t="shared" si="97"/>
        <v>58</v>
      </c>
      <c r="H344" s="8">
        <f t="shared" si="98"/>
        <v>25</v>
      </c>
      <c r="I344" s="8">
        <f t="shared" si="89"/>
        <v>362.5</v>
      </c>
      <c r="J344" s="7">
        <f t="shared" si="90"/>
        <v>0.75358422939068082</v>
      </c>
      <c r="K344" s="7">
        <f t="shared" si="91"/>
        <v>-0.28291448296830846</v>
      </c>
      <c r="L344" s="7">
        <f t="shared" si="92"/>
        <v>-0.21319989263113562</v>
      </c>
      <c r="M344" s="7">
        <f t="shared" si="93"/>
        <v>0.2829144829683084</v>
      </c>
      <c r="N344" s="7">
        <f t="shared" si="94"/>
        <v>2.6741486494265287</v>
      </c>
      <c r="O344" s="9">
        <f t="shared" si="99"/>
        <v>16.805357142857144</v>
      </c>
      <c r="P344" s="7">
        <f t="shared" si="95"/>
        <v>-0.12730829850907255</v>
      </c>
    </row>
    <row r="345" spans="1:16" x14ac:dyDescent="0.25">
      <c r="A345" t="s">
        <v>102</v>
      </c>
      <c r="B345">
        <v>2023</v>
      </c>
      <c r="C345" s="5" t="str">
        <f>'1_Du_lieu'!C395</f>
        <v>ĐBSCL</v>
      </c>
      <c r="D345" s="8">
        <f>'1_Du_lieu'!E395</f>
        <v>13.4</v>
      </c>
      <c r="E345" s="5">
        <f t="shared" si="88"/>
        <v>0</v>
      </c>
      <c r="F345" s="9">
        <f t="shared" si="96"/>
        <v>19.241379310344833</v>
      </c>
      <c r="G345" s="5">
        <f t="shared" si="97"/>
        <v>58</v>
      </c>
      <c r="H345" s="8">
        <f t="shared" si="98"/>
        <v>19</v>
      </c>
      <c r="I345" s="8">
        <f t="shared" si="89"/>
        <v>254.6</v>
      </c>
      <c r="J345" s="7">
        <f t="shared" si="90"/>
        <v>0.69641577060931881</v>
      </c>
      <c r="K345" s="7">
        <f t="shared" si="91"/>
        <v>-0.36180842543797148</v>
      </c>
      <c r="L345" s="7">
        <f t="shared" si="92"/>
        <v>-0.25196909341432916</v>
      </c>
      <c r="M345" s="7">
        <f t="shared" si="93"/>
        <v>0.36180842543797154</v>
      </c>
      <c r="N345" s="7">
        <f t="shared" si="94"/>
        <v>2.5952547069568657</v>
      </c>
      <c r="O345" s="9">
        <f t="shared" si="99"/>
        <v>16.805357142857144</v>
      </c>
      <c r="P345" s="7">
        <f t="shared" si="95"/>
        <v>-0.18055767913294504</v>
      </c>
    </row>
    <row r="346" spans="1:16" x14ac:dyDescent="0.25">
      <c r="A346" t="s">
        <v>103</v>
      </c>
      <c r="B346">
        <v>2023</v>
      </c>
      <c r="C346" s="5" t="str">
        <f>'1_Du_lieu'!C396</f>
        <v>ĐBSCL</v>
      </c>
      <c r="D346" s="8">
        <f>'1_Du_lieu'!E396</f>
        <v>21.7</v>
      </c>
      <c r="E346" s="5">
        <f t="shared" si="88"/>
        <v>0</v>
      </c>
      <c r="F346" s="9">
        <f t="shared" si="96"/>
        <v>19.241379310344833</v>
      </c>
      <c r="G346" s="5">
        <f t="shared" si="97"/>
        <v>58</v>
      </c>
      <c r="H346" s="8">
        <f t="shared" si="98"/>
        <v>50</v>
      </c>
      <c r="I346" s="8">
        <f t="shared" si="89"/>
        <v>1085</v>
      </c>
      <c r="J346" s="7">
        <f t="shared" si="90"/>
        <v>1.1277777777777775</v>
      </c>
      <c r="K346" s="7">
        <f t="shared" si="91"/>
        <v>0.12024912815157675</v>
      </c>
      <c r="L346" s="7">
        <f t="shared" si="92"/>
        <v>0.13561429452650042</v>
      </c>
      <c r="M346" s="7">
        <f t="shared" si="93"/>
        <v>-0.12024912815157668</v>
      </c>
      <c r="N346" s="7">
        <f t="shared" si="94"/>
        <v>3.0773122605464138</v>
      </c>
      <c r="O346" s="9">
        <f t="shared" si="99"/>
        <v>16.805357142857144</v>
      </c>
      <c r="P346" s="7">
        <f t="shared" si="95"/>
        <v>0.33006354055989878</v>
      </c>
    </row>
    <row r="347" spans="1:16" x14ac:dyDescent="0.25">
      <c r="A347" t="s">
        <v>104</v>
      </c>
      <c r="B347">
        <v>2023</v>
      </c>
      <c r="C347" s="5" t="str">
        <f>'1_Du_lieu'!C397</f>
        <v>TN</v>
      </c>
      <c r="D347" s="8">
        <f>'1_Du_lieu'!E397</f>
        <v>13.6</v>
      </c>
      <c r="E347" s="5">
        <f t="shared" si="88"/>
        <v>0</v>
      </c>
      <c r="F347" s="9">
        <f t="shared" si="96"/>
        <v>19.241379310344833</v>
      </c>
      <c r="G347" s="5">
        <f t="shared" si="97"/>
        <v>58</v>
      </c>
      <c r="H347" s="8">
        <f t="shared" si="98"/>
        <v>21.5</v>
      </c>
      <c r="I347" s="8">
        <f t="shared" si="89"/>
        <v>292.39999999999998</v>
      </c>
      <c r="J347" s="7">
        <f t="shared" si="90"/>
        <v>0.70681003584229374</v>
      </c>
      <c r="K347" s="7">
        <f t="shared" si="91"/>
        <v>-0.3469933396528308</v>
      </c>
      <c r="L347" s="7">
        <f t="shared" si="92"/>
        <v>-0.24525837483705454</v>
      </c>
      <c r="M347" s="7">
        <f t="shared" si="93"/>
        <v>0.34699333965283086</v>
      </c>
      <c r="N347" s="7">
        <f t="shared" si="94"/>
        <v>2.6100697927420065</v>
      </c>
      <c r="O347" s="9">
        <f t="shared" si="99"/>
        <v>16.805357142857144</v>
      </c>
      <c r="P347" s="7">
        <f t="shared" si="95"/>
        <v>-0.17126322831493568</v>
      </c>
    </row>
    <row r="348" spans="1:16" x14ac:dyDescent="0.25">
      <c r="A348" t="s">
        <v>107</v>
      </c>
      <c r="B348">
        <v>2023</v>
      </c>
      <c r="C348" s="5" t="str">
        <f>'1_Du_lieu'!C399</f>
        <v>ĐBSH</v>
      </c>
      <c r="D348" s="8">
        <f>'1_Du_lieu'!E399</f>
        <v>17.8</v>
      </c>
      <c r="E348" s="5">
        <f t="shared" si="88"/>
        <v>0</v>
      </c>
      <c r="F348" s="9">
        <f t="shared" si="96"/>
        <v>19.241379310344833</v>
      </c>
      <c r="G348" s="5">
        <f t="shared" si="97"/>
        <v>58</v>
      </c>
      <c r="H348" s="8">
        <f t="shared" si="98"/>
        <v>35.5</v>
      </c>
      <c r="I348" s="8">
        <f t="shared" si="89"/>
        <v>631.9</v>
      </c>
      <c r="J348" s="7">
        <f t="shared" si="90"/>
        <v>0.92508960573476684</v>
      </c>
      <c r="K348" s="7">
        <f t="shared" si="91"/>
        <v>-7.7864675096797648E-2</v>
      </c>
      <c r="L348" s="7">
        <f t="shared" si="92"/>
        <v>-7.2031801585962257E-2</v>
      </c>
      <c r="M348" s="7">
        <f t="shared" si="93"/>
        <v>7.7864675096797592E-2</v>
      </c>
      <c r="N348" s="7">
        <f t="shared" si="94"/>
        <v>2.8791984572980396</v>
      </c>
      <c r="O348" s="9">
        <f t="shared" si="99"/>
        <v>16.805357142857144</v>
      </c>
      <c r="P348" s="7">
        <f t="shared" si="95"/>
        <v>6.0903986597712845E-2</v>
      </c>
    </row>
    <row r="349" spans="1:16" x14ac:dyDescent="0.25">
      <c r="A349" t="s">
        <v>108</v>
      </c>
      <c r="B349">
        <v>2023</v>
      </c>
      <c r="C349" s="5" t="str">
        <f>'1_Du_lieu'!C400</f>
        <v>ĐBSH</v>
      </c>
      <c r="D349" s="8">
        <f>'1_Du_lieu'!E400</f>
        <v>85.7</v>
      </c>
      <c r="E349" s="5">
        <f t="shared" si="88"/>
        <v>1</v>
      </c>
      <c r="F349" s="9">
        <f t="shared" si="96"/>
        <v>19.241379310344833</v>
      </c>
      <c r="G349" s="5">
        <f t="shared" si="97"/>
        <v>58</v>
      </c>
      <c r="H349" s="8">
        <f t="shared" si="98"/>
        <v>57</v>
      </c>
      <c r="I349" s="8">
        <f t="shared" si="89"/>
        <v>4884.9000000000005</v>
      </c>
      <c r="J349" s="7">
        <f t="shared" si="90"/>
        <v>4.4539426523297481</v>
      </c>
      <c r="K349" s="7">
        <f t="shared" si="91"/>
        <v>1.493789693208897</v>
      </c>
      <c r="L349" s="7">
        <f t="shared" si="92"/>
        <v>6.6532536281936752</v>
      </c>
      <c r="M349" s="7">
        <f t="shared" si="93"/>
        <v>-1.493789693208897</v>
      </c>
      <c r="N349" s="7">
        <f t="shared" si="94"/>
        <v>4.4508528256037341</v>
      </c>
      <c r="O349" s="9">
        <f t="shared" si="99"/>
        <v>16.805357142857144</v>
      </c>
      <c r="P349" s="7">
        <f t="shared" si="95"/>
        <v>0</v>
      </c>
    </row>
    <row r="350" spans="1:16" x14ac:dyDescent="0.25">
      <c r="A350" t="s">
        <v>109</v>
      </c>
      <c r="B350">
        <v>2023</v>
      </c>
      <c r="C350" s="5" t="str">
        <f>'1_Du_lieu'!C401</f>
        <v>BTB&amp;DHMT</v>
      </c>
      <c r="D350" s="8">
        <f>'1_Du_lieu'!E401</f>
        <v>13.3</v>
      </c>
      <c r="E350" s="5">
        <f t="shared" si="88"/>
        <v>0</v>
      </c>
      <c r="F350" s="9">
        <f t="shared" si="96"/>
        <v>19.241379310344833</v>
      </c>
      <c r="G350" s="5">
        <f t="shared" si="97"/>
        <v>58</v>
      </c>
      <c r="H350" s="8">
        <f t="shared" si="98"/>
        <v>17.5</v>
      </c>
      <c r="I350" s="8">
        <f t="shared" si="89"/>
        <v>232.75</v>
      </c>
      <c r="J350" s="7">
        <f t="shared" si="90"/>
        <v>0.69121863799283134</v>
      </c>
      <c r="K350" s="7">
        <f t="shared" si="91"/>
        <v>-0.36929909716712911</v>
      </c>
      <c r="L350" s="7">
        <f t="shared" si="92"/>
        <v>-0.25526641895584529</v>
      </c>
      <c r="M350" s="7">
        <f t="shared" si="93"/>
        <v>0.36929909716712905</v>
      </c>
      <c r="N350" s="7">
        <f t="shared" si="94"/>
        <v>2.5877640352277083</v>
      </c>
      <c r="O350" s="9">
        <f t="shared" si="99"/>
        <v>16.805357142857144</v>
      </c>
      <c r="P350" s="7">
        <f t="shared" si="95"/>
        <v>-0.18513845850741029</v>
      </c>
    </row>
    <row r="351" spans="1:16" x14ac:dyDescent="0.25">
      <c r="A351" t="s">
        <v>110</v>
      </c>
      <c r="B351">
        <v>2023</v>
      </c>
      <c r="C351" s="5" t="str">
        <f>'1_Du_lieu'!C402</f>
        <v>TDMNPB</v>
      </c>
      <c r="D351" s="8">
        <f>'1_Du_lieu'!E402</f>
        <v>12.2</v>
      </c>
      <c r="E351" s="5">
        <f t="shared" si="88"/>
        <v>0</v>
      </c>
      <c r="F351" s="9">
        <f t="shared" si="96"/>
        <v>19.241379310344833</v>
      </c>
      <c r="G351" s="5">
        <f t="shared" si="97"/>
        <v>58</v>
      </c>
      <c r="H351" s="8">
        <f t="shared" si="98"/>
        <v>10</v>
      </c>
      <c r="I351" s="8">
        <f t="shared" si="89"/>
        <v>122</v>
      </c>
      <c r="J351" s="7">
        <f t="shared" si="90"/>
        <v>0.63405017921146933</v>
      </c>
      <c r="K351" s="7">
        <f t="shared" si="91"/>
        <v>-0.45562718065562635</v>
      </c>
      <c r="L351" s="7">
        <f t="shared" si="92"/>
        <v>-0.28889049554831642</v>
      </c>
      <c r="M351" s="7">
        <f t="shared" si="93"/>
        <v>0.45562718065562635</v>
      </c>
      <c r="N351" s="7">
        <f t="shared" si="94"/>
        <v>2.5014359517392109</v>
      </c>
      <c r="O351" s="9">
        <f t="shared" si="99"/>
        <v>16.805357142857144</v>
      </c>
      <c r="P351" s="7">
        <f t="shared" si="95"/>
        <v>-0.23249690296664441</v>
      </c>
    </row>
    <row r="352" spans="1:16" x14ac:dyDescent="0.25">
      <c r="A352" t="s">
        <v>111</v>
      </c>
      <c r="B352">
        <v>2023</v>
      </c>
      <c r="C352" s="5" t="str">
        <f>'1_Du_lieu'!C403</f>
        <v>ĐBSH</v>
      </c>
      <c r="D352" s="8">
        <f>'1_Du_lieu'!E403</f>
        <v>20.5</v>
      </c>
      <c r="E352" s="5">
        <f t="shared" si="88"/>
        <v>0</v>
      </c>
      <c r="F352" s="9">
        <f t="shared" si="96"/>
        <v>19.241379310344833</v>
      </c>
      <c r="G352" s="5">
        <f t="shared" si="97"/>
        <v>58</v>
      </c>
      <c r="H352" s="8">
        <f t="shared" si="98"/>
        <v>47</v>
      </c>
      <c r="I352" s="8">
        <f t="shared" si="89"/>
        <v>963.5</v>
      </c>
      <c r="J352" s="7">
        <f t="shared" si="90"/>
        <v>1.065412186379928</v>
      </c>
      <c r="K352" s="7">
        <f t="shared" si="91"/>
        <v>6.3361753749525254E-2</v>
      </c>
      <c r="L352" s="7">
        <f t="shared" si="92"/>
        <v>6.7506384595148294E-2</v>
      </c>
      <c r="M352" s="7">
        <f t="shared" si="93"/>
        <v>-6.3361753749525282E-2</v>
      </c>
      <c r="N352" s="7">
        <f t="shared" si="94"/>
        <v>3.0204248861443626</v>
      </c>
      <c r="O352" s="9">
        <f t="shared" si="99"/>
        <v>16.805357142857144</v>
      </c>
      <c r="P352" s="7">
        <f t="shared" si="95"/>
        <v>0.24241716567947655</v>
      </c>
    </row>
    <row r="353" spans="1:16" x14ac:dyDescent="0.25">
      <c r="A353" t="s">
        <v>112</v>
      </c>
      <c r="B353">
        <v>2023</v>
      </c>
      <c r="C353" s="5" t="str">
        <f>'1_Du_lieu'!C404</f>
        <v>ĐBSH</v>
      </c>
      <c r="D353" s="8">
        <f>'1_Du_lieu'!E404</f>
        <v>18.7</v>
      </c>
      <c r="E353" s="5">
        <f t="shared" si="88"/>
        <v>0</v>
      </c>
      <c r="F353" s="9">
        <f t="shared" si="96"/>
        <v>19.241379310344833</v>
      </c>
      <c r="G353" s="5">
        <f t="shared" si="97"/>
        <v>58</v>
      </c>
      <c r="H353" s="8">
        <f t="shared" si="98"/>
        <v>40</v>
      </c>
      <c r="I353" s="8">
        <f t="shared" si="89"/>
        <v>748</v>
      </c>
      <c r="J353" s="7">
        <f t="shared" si="90"/>
        <v>0.97186379928315381</v>
      </c>
      <c r="K353" s="7">
        <f t="shared" si="91"/>
        <v>-2.8539608534296296E-2</v>
      </c>
      <c r="L353" s="7">
        <f t="shared" si="92"/>
        <v>-2.7736612380195119E-2</v>
      </c>
      <c r="M353" s="7">
        <f t="shared" si="93"/>
        <v>2.8539608534296188E-2</v>
      </c>
      <c r="N353" s="7">
        <f t="shared" si="94"/>
        <v>2.9285235238605409</v>
      </c>
      <c r="O353" s="9">
        <f t="shared" si="99"/>
        <v>16.805357142857144</v>
      </c>
      <c r="P353" s="7">
        <f t="shared" si="95"/>
        <v>0.11886939644825073</v>
      </c>
    </row>
    <row r="354" spans="1:16" x14ac:dyDescent="0.25">
      <c r="A354" t="s">
        <v>113</v>
      </c>
      <c r="B354">
        <v>2023</v>
      </c>
      <c r="C354" s="5" t="str">
        <f>'1_Du_lieu'!C405</f>
        <v>ĐBSH</v>
      </c>
      <c r="D354" s="8">
        <f>'1_Du_lieu'!E405</f>
        <v>28.6</v>
      </c>
      <c r="E354" s="5">
        <f t="shared" si="88"/>
        <v>0</v>
      </c>
      <c r="F354" s="9">
        <f t="shared" si="96"/>
        <v>19.241379310344833</v>
      </c>
      <c r="G354" s="5">
        <f t="shared" si="97"/>
        <v>58</v>
      </c>
      <c r="H354" s="8">
        <f t="shared" si="98"/>
        <v>54</v>
      </c>
      <c r="I354" s="8">
        <f t="shared" si="89"/>
        <v>1544.4</v>
      </c>
      <c r="J354" s="7">
        <f t="shared" si="90"/>
        <v>1.4863799283154118</v>
      </c>
      <c r="K354" s="7">
        <f t="shared" si="91"/>
        <v>0.3963435854309697</v>
      </c>
      <c r="L354" s="7">
        <f t="shared" si="92"/>
        <v>0.58911715010115806</v>
      </c>
      <c r="M354" s="7">
        <f t="shared" si="93"/>
        <v>-0.39634358543096976</v>
      </c>
      <c r="N354" s="7">
        <f t="shared" si="94"/>
        <v>3.3534067178258069</v>
      </c>
      <c r="O354" s="9">
        <f t="shared" si="99"/>
        <v>16.805357142857144</v>
      </c>
      <c r="P354" s="7">
        <f t="shared" si="95"/>
        <v>0.90488273501376715</v>
      </c>
    </row>
    <row r="355" spans="1:16" x14ac:dyDescent="0.25">
      <c r="A355" t="s">
        <v>114</v>
      </c>
      <c r="B355">
        <v>2023</v>
      </c>
      <c r="C355" s="5" t="str">
        <f>'1_Du_lieu'!C406</f>
        <v>ĐBSCL</v>
      </c>
      <c r="D355" s="8">
        <f>'1_Du_lieu'!E406</f>
        <v>11.8</v>
      </c>
      <c r="E355" s="5">
        <f t="shared" si="88"/>
        <v>0</v>
      </c>
      <c r="F355" s="9">
        <f t="shared" si="96"/>
        <v>19.241379310344833</v>
      </c>
      <c r="G355" s="5">
        <f t="shared" si="97"/>
        <v>58</v>
      </c>
      <c r="H355" s="8">
        <f t="shared" si="98"/>
        <v>8</v>
      </c>
      <c r="I355" s="8">
        <f t="shared" si="89"/>
        <v>94.4</v>
      </c>
      <c r="J355" s="7">
        <f t="shared" si="90"/>
        <v>0.61326164874551958</v>
      </c>
      <c r="K355" s="7">
        <f t="shared" si="91"/>
        <v>-0.48896360092321806</v>
      </c>
      <c r="L355" s="7">
        <f t="shared" si="92"/>
        <v>-0.29986262407871894</v>
      </c>
      <c r="M355" s="7">
        <f t="shared" si="93"/>
        <v>0.48896360092321806</v>
      </c>
      <c r="N355" s="7">
        <f t="shared" si="94"/>
        <v>2.4680995314716192</v>
      </c>
      <c r="O355" s="9">
        <f t="shared" si="99"/>
        <v>16.805357142857144</v>
      </c>
      <c r="P355" s="7">
        <f t="shared" si="95"/>
        <v>-0.2482814562103805</v>
      </c>
    </row>
    <row r="356" spans="1:16" x14ac:dyDescent="0.25">
      <c r="A356" t="s">
        <v>115</v>
      </c>
      <c r="B356">
        <v>2023</v>
      </c>
      <c r="C356" s="5" t="str">
        <f>'1_Du_lieu'!C407</f>
        <v>BTB&amp;DHMT</v>
      </c>
      <c r="D356" s="8">
        <f>'1_Du_lieu'!E407</f>
        <v>23.3</v>
      </c>
      <c r="E356" s="5">
        <f t="shared" si="88"/>
        <v>0</v>
      </c>
      <c r="F356" s="9">
        <f t="shared" si="96"/>
        <v>19.241379310344833</v>
      </c>
      <c r="G356" s="5">
        <f t="shared" si="97"/>
        <v>58</v>
      </c>
      <c r="H356" s="8">
        <f t="shared" si="98"/>
        <v>51</v>
      </c>
      <c r="I356" s="8">
        <f t="shared" si="89"/>
        <v>1188.3</v>
      </c>
      <c r="J356" s="7">
        <f t="shared" si="90"/>
        <v>1.2109318996415768</v>
      </c>
      <c r="K356" s="7">
        <f t="shared" si="91"/>
        <v>0.19139022817681772</v>
      </c>
      <c r="L356" s="7">
        <f t="shared" si="92"/>
        <v>0.23176053257898871</v>
      </c>
      <c r="M356" s="7">
        <f t="shared" si="93"/>
        <v>-0.19139022817681778</v>
      </c>
      <c r="N356" s="7">
        <f t="shared" si="94"/>
        <v>3.1484533605716547</v>
      </c>
      <c r="O356" s="9">
        <f t="shared" si="99"/>
        <v>16.805357142857144</v>
      </c>
      <c r="P356" s="7">
        <f t="shared" si="95"/>
        <v>0.45303450088449948</v>
      </c>
    </row>
    <row r="357" spans="1:16" x14ac:dyDescent="0.25">
      <c r="A357" t="s">
        <v>116</v>
      </c>
      <c r="B357">
        <v>2023</v>
      </c>
      <c r="C357" s="5" t="str">
        <f>'1_Du_lieu'!C408</f>
        <v>ĐBSCL</v>
      </c>
      <c r="D357" s="8">
        <f>'1_Du_lieu'!E408</f>
        <v>13.2</v>
      </c>
      <c r="E357" s="5">
        <f t="shared" si="88"/>
        <v>0</v>
      </c>
      <c r="F357" s="9">
        <f t="shared" si="96"/>
        <v>19.241379310344833</v>
      </c>
      <c r="G357" s="5">
        <f t="shared" si="97"/>
        <v>58</v>
      </c>
      <c r="H357" s="8">
        <f t="shared" si="98"/>
        <v>16</v>
      </c>
      <c r="I357" s="8">
        <f t="shared" si="89"/>
        <v>211.2</v>
      </c>
      <c r="J357" s="7">
        <f t="shared" si="90"/>
        <v>0.68602150537634388</v>
      </c>
      <c r="K357" s="7">
        <f t="shared" si="91"/>
        <v>-0.37684630280251202</v>
      </c>
      <c r="L357" s="7">
        <f t="shared" si="92"/>
        <v>-0.25852466794408879</v>
      </c>
      <c r="M357" s="7">
        <f t="shared" si="93"/>
        <v>0.37684630280251202</v>
      </c>
      <c r="N357" s="7">
        <f t="shared" si="94"/>
        <v>2.5802168295923251</v>
      </c>
      <c r="O357" s="9">
        <f t="shared" si="99"/>
        <v>16.805357142857144</v>
      </c>
      <c r="P357" s="7">
        <f t="shared" si="95"/>
        <v>-0.18967449698305006</v>
      </c>
    </row>
    <row r="358" spans="1:16" x14ac:dyDescent="0.25">
      <c r="A358" t="s">
        <v>117</v>
      </c>
      <c r="B358">
        <v>2023</v>
      </c>
      <c r="C358" s="5" t="str">
        <f>'1_Du_lieu'!C409</f>
        <v>TN</v>
      </c>
      <c r="D358" s="8">
        <f>'1_Du_lieu'!E409</f>
        <v>10.199999999999999</v>
      </c>
      <c r="E358" s="5">
        <f t="shared" si="88"/>
        <v>0</v>
      </c>
      <c r="F358" s="9">
        <f t="shared" si="96"/>
        <v>19.241379310344833</v>
      </c>
      <c r="G358" s="5">
        <f t="shared" si="97"/>
        <v>58</v>
      </c>
      <c r="H358" s="8">
        <f t="shared" si="98"/>
        <v>1</v>
      </c>
      <c r="I358" s="8">
        <f t="shared" si="89"/>
        <v>10.199999999999999</v>
      </c>
      <c r="J358" s="7">
        <f t="shared" si="90"/>
        <v>0.53010752688172025</v>
      </c>
      <c r="K358" s="7">
        <f t="shared" si="91"/>
        <v>-0.63467541210461187</v>
      </c>
      <c r="L358" s="7">
        <f t="shared" si="92"/>
        <v>-0.33644621308341244</v>
      </c>
      <c r="M358" s="7">
        <f t="shared" si="93"/>
        <v>0.63467541210461176</v>
      </c>
      <c r="N358" s="7">
        <f t="shared" si="94"/>
        <v>2.3223877202902252</v>
      </c>
      <c r="O358" s="9">
        <f t="shared" si="99"/>
        <v>16.805357142857144</v>
      </c>
      <c r="P358" s="7">
        <f t="shared" si="95"/>
        <v>-0.30305585794267004</v>
      </c>
    </row>
    <row r="359" spans="1:16" x14ac:dyDescent="0.25">
      <c r="A359" t="s">
        <v>119</v>
      </c>
      <c r="B359">
        <v>2023</v>
      </c>
      <c r="C359" s="5" t="str">
        <f>'1_Du_lieu'!C411</f>
        <v>ĐBSCL</v>
      </c>
      <c r="D359" s="8">
        <f>'1_Du_lieu'!E411</f>
        <v>17.600000000000001</v>
      </c>
      <c r="E359" s="5">
        <f t="shared" si="88"/>
        <v>0</v>
      </c>
      <c r="F359" s="9">
        <f t="shared" si="96"/>
        <v>19.241379310344833</v>
      </c>
      <c r="G359" s="5">
        <f t="shared" si="97"/>
        <v>58</v>
      </c>
      <c r="H359" s="8">
        <f t="shared" si="98"/>
        <v>34</v>
      </c>
      <c r="I359" s="8">
        <f t="shared" si="89"/>
        <v>598.40000000000009</v>
      </c>
      <c r="J359" s="7">
        <f t="shared" si="90"/>
        <v>0.91469534050179191</v>
      </c>
      <c r="K359" s="7">
        <f t="shared" si="91"/>
        <v>-8.9164230350731039E-2</v>
      </c>
      <c r="L359" s="7">
        <f t="shared" si="92"/>
        <v>-8.155810604124214E-2</v>
      </c>
      <c r="M359" s="7">
        <f t="shared" si="93"/>
        <v>8.916423035073108E-2</v>
      </c>
      <c r="N359" s="7">
        <f t="shared" si="94"/>
        <v>2.8678989020441064</v>
      </c>
      <c r="O359" s="9">
        <f t="shared" si="99"/>
        <v>16.805357142857144</v>
      </c>
      <c r="P359" s="7">
        <f t="shared" si="95"/>
        <v>4.8385816378858984E-2</v>
      </c>
    </row>
    <row r="360" spans="1:16" x14ac:dyDescent="0.25">
      <c r="A360" t="s">
        <v>120</v>
      </c>
      <c r="B360">
        <v>2023</v>
      </c>
      <c r="C360" s="5" t="str">
        <f>'1_Du_lieu'!C412</f>
        <v>TDMNPB</v>
      </c>
      <c r="D360" s="8">
        <f>'1_Du_lieu'!E412</f>
        <v>18</v>
      </c>
      <c r="E360" s="5">
        <f t="shared" si="88"/>
        <v>0</v>
      </c>
      <c r="F360" s="9">
        <f t="shared" si="96"/>
        <v>19.241379310344833</v>
      </c>
      <c r="G360" s="5">
        <f t="shared" si="97"/>
        <v>58</v>
      </c>
      <c r="H360" s="8">
        <f t="shared" si="98"/>
        <v>37.5</v>
      </c>
      <c r="I360" s="8">
        <f t="shared" si="89"/>
        <v>675</v>
      </c>
      <c r="J360" s="7">
        <f t="shared" si="90"/>
        <v>0.93548387096774166</v>
      </c>
      <c r="K360" s="7">
        <f t="shared" si="91"/>
        <v>-6.6691374498672518E-2</v>
      </c>
      <c r="L360" s="7">
        <f t="shared" si="92"/>
        <v>-6.2388705176177499E-2</v>
      </c>
      <c r="M360" s="7">
        <f t="shared" si="93"/>
        <v>6.6691374498672559E-2</v>
      </c>
      <c r="N360" s="7">
        <f t="shared" si="94"/>
        <v>2.8903717578961645</v>
      </c>
      <c r="O360" s="9">
        <f t="shared" si="99"/>
        <v>16.805357142857144</v>
      </c>
      <c r="P360" s="7">
        <f t="shared" si="95"/>
        <v>7.3555878360114985E-2</v>
      </c>
    </row>
    <row r="361" spans="1:16" x14ac:dyDescent="0.25">
      <c r="A361" t="s">
        <v>121</v>
      </c>
      <c r="B361">
        <v>2023</v>
      </c>
      <c r="C361" s="5" t="str">
        <f>'1_Du_lieu'!C413</f>
        <v>TN</v>
      </c>
      <c r="D361" s="8">
        <f>'1_Du_lieu'!E413</f>
        <v>19.8</v>
      </c>
      <c r="E361" s="5">
        <f t="shared" si="88"/>
        <v>0</v>
      </c>
      <c r="F361" s="9">
        <f t="shared" si="96"/>
        <v>19.241379310344833</v>
      </c>
      <c r="G361" s="5">
        <f t="shared" si="97"/>
        <v>58</v>
      </c>
      <c r="H361" s="8">
        <f t="shared" si="98"/>
        <v>46</v>
      </c>
      <c r="I361" s="8">
        <f t="shared" si="89"/>
        <v>910.80000000000007</v>
      </c>
      <c r="J361" s="7">
        <f t="shared" si="90"/>
        <v>1.0290322580645159</v>
      </c>
      <c r="K361" s="7">
        <f t="shared" si="91"/>
        <v>2.8618805305652445E-2</v>
      </c>
      <c r="L361" s="7">
        <f t="shared" si="92"/>
        <v>2.9449673846784284E-2</v>
      </c>
      <c r="M361" s="7">
        <f t="shared" si="93"/>
        <v>-2.8618805305652448E-2</v>
      </c>
      <c r="N361" s="7">
        <f t="shared" si="94"/>
        <v>2.9856819377004897</v>
      </c>
      <c r="O361" s="9">
        <f t="shared" si="99"/>
        <v>16.805357142857144</v>
      </c>
      <c r="P361" s="7">
        <f t="shared" si="95"/>
        <v>0.19320551291489765</v>
      </c>
    </row>
    <row r="362" spans="1:16" x14ac:dyDescent="0.25">
      <c r="A362" t="s">
        <v>122</v>
      </c>
      <c r="B362">
        <v>2023</v>
      </c>
      <c r="C362" s="5" t="str">
        <f>'1_Du_lieu'!C414</f>
        <v>TDMNPB</v>
      </c>
      <c r="D362" s="8">
        <f>'1_Du_lieu'!E414</f>
        <v>11.9</v>
      </c>
      <c r="E362" s="5">
        <f t="shared" si="88"/>
        <v>0</v>
      </c>
      <c r="F362" s="9">
        <f t="shared" si="96"/>
        <v>19.241379310344833</v>
      </c>
      <c r="G362" s="5">
        <f t="shared" si="97"/>
        <v>58</v>
      </c>
      <c r="H362" s="8">
        <f t="shared" si="98"/>
        <v>9</v>
      </c>
      <c r="I362" s="8">
        <f t="shared" si="89"/>
        <v>107.10000000000001</v>
      </c>
      <c r="J362" s="7">
        <f t="shared" si="90"/>
        <v>0.61845878136200705</v>
      </c>
      <c r="K362" s="7">
        <f t="shared" si="91"/>
        <v>-0.48052473227735343</v>
      </c>
      <c r="L362" s="7">
        <f t="shared" si="92"/>
        <v>-0.29718474033855669</v>
      </c>
      <c r="M362" s="7">
        <f t="shared" si="93"/>
        <v>0.48052473227735343</v>
      </c>
      <c r="N362" s="7">
        <f t="shared" si="94"/>
        <v>2.4765384001174837</v>
      </c>
      <c r="O362" s="9">
        <f t="shared" si="99"/>
        <v>16.805357142857144</v>
      </c>
      <c r="P362" s="7">
        <f t="shared" si="95"/>
        <v>-0.244409909883402</v>
      </c>
    </row>
    <row r="363" spans="1:16" x14ac:dyDescent="0.25">
      <c r="A363" t="s">
        <v>123</v>
      </c>
      <c r="B363">
        <v>2023</v>
      </c>
      <c r="C363" s="5" t="str">
        <f>'1_Du_lieu'!C415</f>
        <v>ĐBSH</v>
      </c>
      <c r="D363" s="8">
        <f>'1_Du_lieu'!E415</f>
        <v>19.2</v>
      </c>
      <c r="E363" s="5">
        <f t="shared" si="88"/>
        <v>0</v>
      </c>
      <c r="F363" s="9">
        <f t="shared" si="96"/>
        <v>19.241379310344833</v>
      </c>
      <c r="G363" s="5">
        <f t="shared" si="97"/>
        <v>58</v>
      </c>
      <c r="H363" s="8">
        <f t="shared" si="98"/>
        <v>43</v>
      </c>
      <c r="I363" s="8">
        <f t="shared" si="89"/>
        <v>825.6</v>
      </c>
      <c r="J363" s="7">
        <f t="shared" si="90"/>
        <v>0.99784946236559113</v>
      </c>
      <c r="K363" s="7">
        <f t="shared" si="91"/>
        <v>-2.1528533611013122E-3</v>
      </c>
      <c r="L363" s="7">
        <f t="shared" si="92"/>
        <v>-2.1482235689269003E-3</v>
      </c>
      <c r="M363" s="7">
        <f t="shared" si="93"/>
        <v>2.1528533611013144E-3</v>
      </c>
      <c r="N363" s="7">
        <f t="shared" si="94"/>
        <v>2.954910279033736</v>
      </c>
      <c r="O363" s="9">
        <f t="shared" si="99"/>
        <v>16.805357142857144</v>
      </c>
      <c r="P363" s="7">
        <f t="shared" si="95"/>
        <v>0.15219440108398086</v>
      </c>
    </row>
    <row r="364" spans="1:16" x14ac:dyDescent="0.25">
      <c r="A364" t="s">
        <v>124</v>
      </c>
      <c r="B364">
        <v>2023</v>
      </c>
      <c r="C364" s="5" t="str">
        <f>'1_Du_lieu'!C416</f>
        <v>BTB&amp;DHMT</v>
      </c>
      <c r="D364" s="8">
        <f>'1_Du_lieu'!E416</f>
        <v>19.600000000000001</v>
      </c>
      <c r="E364" s="5">
        <f t="shared" si="88"/>
        <v>0</v>
      </c>
      <c r="F364" s="9">
        <f t="shared" si="96"/>
        <v>19.241379310344833</v>
      </c>
      <c r="G364" s="5">
        <f t="shared" si="97"/>
        <v>58</v>
      </c>
      <c r="H364" s="8">
        <f t="shared" si="98"/>
        <v>44.5</v>
      </c>
      <c r="I364" s="8">
        <f t="shared" si="89"/>
        <v>872.2</v>
      </c>
      <c r="J364" s="7">
        <f t="shared" si="90"/>
        <v>1.018637992831541</v>
      </c>
      <c r="K364" s="7">
        <f t="shared" si="91"/>
        <v>1.8466433841634416E-2</v>
      </c>
      <c r="L364" s="7">
        <f t="shared" si="92"/>
        <v>1.8810611103198923E-2</v>
      </c>
      <c r="M364" s="7">
        <f t="shared" si="93"/>
        <v>-1.8466433841634402E-2</v>
      </c>
      <c r="N364" s="7">
        <f t="shared" si="94"/>
        <v>2.9755295662364718</v>
      </c>
      <c r="O364" s="9">
        <f t="shared" si="99"/>
        <v>16.805357142857144</v>
      </c>
      <c r="P364" s="7">
        <f t="shared" si="95"/>
        <v>0.17941328442260113</v>
      </c>
    </row>
    <row r="365" spans="1:16" x14ac:dyDescent="0.25">
      <c r="A365" t="s">
        <v>125</v>
      </c>
      <c r="B365">
        <v>2023</v>
      </c>
      <c r="C365" s="5" t="str">
        <f>'1_Du_lieu'!C417</f>
        <v>ĐBSH</v>
      </c>
      <c r="D365" s="8">
        <f>'1_Du_lieu'!E417</f>
        <v>18</v>
      </c>
      <c r="E365" s="5">
        <f t="shared" si="88"/>
        <v>0</v>
      </c>
      <c r="F365" s="9">
        <f t="shared" si="96"/>
        <v>19.241379310344833</v>
      </c>
      <c r="G365" s="5">
        <f t="shared" si="97"/>
        <v>58</v>
      </c>
      <c r="H365" s="8">
        <f t="shared" si="98"/>
        <v>37.5</v>
      </c>
      <c r="I365" s="8">
        <f t="shared" si="89"/>
        <v>675</v>
      </c>
      <c r="J365" s="7">
        <f t="shared" si="90"/>
        <v>0.93548387096774166</v>
      </c>
      <c r="K365" s="7">
        <f t="shared" si="91"/>
        <v>-6.6691374498672518E-2</v>
      </c>
      <c r="L365" s="7">
        <f t="shared" si="92"/>
        <v>-6.2388705176177499E-2</v>
      </c>
      <c r="M365" s="7">
        <f t="shared" si="93"/>
        <v>6.6691374498672559E-2</v>
      </c>
      <c r="N365" s="7">
        <f t="shared" si="94"/>
        <v>2.8903717578961645</v>
      </c>
      <c r="O365" s="9">
        <f t="shared" si="99"/>
        <v>16.805357142857144</v>
      </c>
      <c r="P365" s="7">
        <f t="shared" si="95"/>
        <v>7.3555878360114985E-2</v>
      </c>
    </row>
    <row r="366" spans="1:16" x14ac:dyDescent="0.25">
      <c r="A366" t="s">
        <v>126</v>
      </c>
      <c r="B366">
        <v>2023</v>
      </c>
      <c r="C366" s="5" t="str">
        <f>'1_Du_lieu'!C418</f>
        <v>BTB&amp;DHMT</v>
      </c>
      <c r="D366" s="8">
        <f>'1_Du_lieu'!E418</f>
        <v>13.7</v>
      </c>
      <c r="E366" s="5">
        <f t="shared" si="88"/>
        <v>0</v>
      </c>
      <c r="F366" s="9">
        <f t="shared" ref="F366:F391" si="100">AVERAGE($D$334:$D$391)</f>
        <v>19.241379310344833</v>
      </c>
      <c r="G366" s="5">
        <f t="shared" ref="G366:G391" si="101">COUNT($D$334:$D$391)</f>
        <v>58</v>
      </c>
      <c r="H366" s="8">
        <f t="shared" ref="H366:H391" si="102">_xlfn.RANK.AVG(D366,$D$334:$D$391,1)</f>
        <v>23</v>
      </c>
      <c r="I366" s="8">
        <f t="shared" si="89"/>
        <v>315.09999999999997</v>
      </c>
      <c r="J366" s="7">
        <f t="shared" si="90"/>
        <v>0.71200716845878109</v>
      </c>
      <c r="K366" s="7">
        <f t="shared" si="91"/>
        <v>-0.33966729956075808</v>
      </c>
      <c r="L366" s="7">
        <f t="shared" si="92"/>
        <v>-0.24184555217829595</v>
      </c>
      <c r="M366" s="7">
        <f t="shared" si="93"/>
        <v>0.33966729956075803</v>
      </c>
      <c r="N366" s="7">
        <f t="shared" si="94"/>
        <v>2.6173958328340792</v>
      </c>
      <c r="O366" s="9">
        <f t="shared" ref="O366:O391" si="103">SUMPRODUCT((1-$E$334:$E$391)*$D$334:$D$391)/(G366-SUM($E$334:$E$391))</f>
        <v>16.805357142857144</v>
      </c>
      <c r="P366" s="7">
        <f t="shared" si="95"/>
        <v>-0.16655020992744468</v>
      </c>
    </row>
    <row r="367" spans="1:16" x14ac:dyDescent="0.25">
      <c r="A367" t="s">
        <v>127</v>
      </c>
      <c r="B367">
        <v>2023</v>
      </c>
      <c r="C367" s="5" t="str">
        <f>'1_Du_lieu'!C419</f>
        <v>TDMNPB</v>
      </c>
      <c r="D367" s="8">
        <f>'1_Du_lieu'!E419</f>
        <v>17.8</v>
      </c>
      <c r="E367" s="5">
        <f t="shared" si="88"/>
        <v>0</v>
      </c>
      <c r="F367" s="9">
        <f t="shared" si="100"/>
        <v>19.241379310344833</v>
      </c>
      <c r="G367" s="5">
        <f t="shared" si="101"/>
        <v>58</v>
      </c>
      <c r="H367" s="8">
        <f t="shared" si="102"/>
        <v>35.5</v>
      </c>
      <c r="I367" s="8">
        <f t="shared" si="89"/>
        <v>631.9</v>
      </c>
      <c r="J367" s="7">
        <f t="shared" si="90"/>
        <v>0.92508960573476684</v>
      </c>
      <c r="K367" s="7">
        <f t="shared" si="91"/>
        <v>-7.7864675096797648E-2</v>
      </c>
      <c r="L367" s="7">
        <f t="shared" si="92"/>
        <v>-7.2031801585962257E-2</v>
      </c>
      <c r="M367" s="7">
        <f t="shared" si="93"/>
        <v>7.7864675096797592E-2</v>
      </c>
      <c r="N367" s="7">
        <f t="shared" si="94"/>
        <v>2.8791984572980396</v>
      </c>
      <c r="O367" s="9">
        <f t="shared" si="103"/>
        <v>16.805357142857144</v>
      </c>
      <c r="P367" s="7">
        <f t="shared" si="95"/>
        <v>6.0903986597712845E-2</v>
      </c>
    </row>
    <row r="368" spans="1:16" x14ac:dyDescent="0.25">
      <c r="A368" t="s">
        <v>128</v>
      </c>
      <c r="B368">
        <v>2023</v>
      </c>
      <c r="C368" s="5" t="str">
        <f>'1_Du_lieu'!C420</f>
        <v>BTB&amp;DHMT</v>
      </c>
      <c r="D368" s="8">
        <f>'1_Du_lieu'!E420</f>
        <v>12.7</v>
      </c>
      <c r="E368" s="5">
        <f t="shared" si="88"/>
        <v>0</v>
      </c>
      <c r="F368" s="9">
        <f t="shared" si="100"/>
        <v>19.241379310344833</v>
      </c>
      <c r="G368" s="5">
        <f t="shared" si="101"/>
        <v>58</v>
      </c>
      <c r="H368" s="8">
        <f t="shared" si="102"/>
        <v>12.5</v>
      </c>
      <c r="I368" s="8">
        <f t="shared" si="89"/>
        <v>158.75</v>
      </c>
      <c r="J368" s="7">
        <f t="shared" si="90"/>
        <v>0.66003584229390655</v>
      </c>
      <c r="K368" s="7">
        <f t="shared" si="91"/>
        <v>-0.41546113893029174</v>
      </c>
      <c r="L368" s="7">
        <f t="shared" si="92"/>
        <v>-0.27421924277424081</v>
      </c>
      <c r="M368" s="7">
        <f t="shared" si="93"/>
        <v>0.41546113893029163</v>
      </c>
      <c r="N368" s="7">
        <f t="shared" si="94"/>
        <v>2.5416019934645457</v>
      </c>
      <c r="O368" s="9">
        <f t="shared" si="103"/>
        <v>16.805357142857144</v>
      </c>
      <c r="P368" s="7">
        <f t="shared" si="95"/>
        <v>-0.21167152887661433</v>
      </c>
    </row>
    <row r="369" spans="1:16" x14ac:dyDescent="0.25">
      <c r="A369" t="s">
        <v>129</v>
      </c>
      <c r="B369">
        <v>2023</v>
      </c>
      <c r="C369" s="5" t="str">
        <f>'1_Du_lieu'!C421</f>
        <v>BTB&amp;DHMT</v>
      </c>
      <c r="D369" s="8">
        <f>'1_Du_lieu'!E421</f>
        <v>12.8</v>
      </c>
      <c r="E369" s="5">
        <f t="shared" si="88"/>
        <v>0</v>
      </c>
      <c r="F369" s="9">
        <f t="shared" si="100"/>
        <v>19.241379310344833</v>
      </c>
      <c r="G369" s="5">
        <f t="shared" si="101"/>
        <v>58</v>
      </c>
      <c r="H369" s="8">
        <f t="shared" si="102"/>
        <v>14</v>
      </c>
      <c r="I369" s="8">
        <f t="shared" si="89"/>
        <v>179.20000000000002</v>
      </c>
      <c r="J369" s="7">
        <f t="shared" si="90"/>
        <v>0.66523297491039413</v>
      </c>
      <c r="K369" s="7">
        <f t="shared" si="91"/>
        <v>-0.40761796146926565</v>
      </c>
      <c r="L369" s="7">
        <f t="shared" si="92"/>
        <v>-0.27116090913510998</v>
      </c>
      <c r="M369" s="7">
        <f t="shared" si="93"/>
        <v>0.4076179614692656</v>
      </c>
      <c r="N369" s="7">
        <f t="shared" si="94"/>
        <v>2.5494451709255714</v>
      </c>
      <c r="O369" s="9">
        <f t="shared" si="103"/>
        <v>16.805357142857144</v>
      </c>
      <c r="P369" s="7">
        <f t="shared" si="95"/>
        <v>-0.20736438449882325</v>
      </c>
    </row>
    <row r="370" spans="1:16" x14ac:dyDescent="0.25">
      <c r="A370" t="s">
        <v>130</v>
      </c>
      <c r="B370">
        <v>2023</v>
      </c>
      <c r="C370" s="5" t="str">
        <f>'1_Du_lieu'!C422</f>
        <v>BTB&amp;DHMT</v>
      </c>
      <c r="D370" s="8">
        <f>'1_Du_lieu'!E422</f>
        <v>16.600000000000001</v>
      </c>
      <c r="E370" s="5">
        <f t="shared" si="88"/>
        <v>0</v>
      </c>
      <c r="F370" s="9">
        <f t="shared" si="100"/>
        <v>19.241379310344833</v>
      </c>
      <c r="G370" s="5">
        <f t="shared" si="101"/>
        <v>58</v>
      </c>
      <c r="H370" s="8">
        <f t="shared" si="102"/>
        <v>31.5</v>
      </c>
      <c r="I370" s="8">
        <f t="shared" si="89"/>
        <v>522.90000000000009</v>
      </c>
      <c r="J370" s="7">
        <f t="shared" si="90"/>
        <v>0.86272401433691737</v>
      </c>
      <c r="K370" s="7">
        <f t="shared" si="91"/>
        <v>-0.14766043703233958</v>
      </c>
      <c r="L370" s="7">
        <f t="shared" si="92"/>
        <v>-0.12739020499528361</v>
      </c>
      <c r="M370" s="7">
        <f t="shared" si="93"/>
        <v>0.14766043703233953</v>
      </c>
      <c r="N370" s="7">
        <f t="shared" si="94"/>
        <v>2.8094026953624978</v>
      </c>
      <c r="O370" s="9">
        <f t="shared" si="103"/>
        <v>16.805357142857144</v>
      </c>
      <c r="P370" s="7">
        <f t="shared" si="95"/>
        <v>-1.2144775811594772E-2</v>
      </c>
    </row>
    <row r="371" spans="1:16" x14ac:dyDescent="0.25">
      <c r="A371" t="s">
        <v>131</v>
      </c>
      <c r="B371">
        <v>2023</v>
      </c>
      <c r="C371" s="5" t="str">
        <f>'1_Du_lieu'!C423</f>
        <v>BTB&amp;DHMT</v>
      </c>
      <c r="D371" s="8">
        <f>'1_Du_lieu'!E423</f>
        <v>13.5</v>
      </c>
      <c r="E371" s="5">
        <f t="shared" si="88"/>
        <v>0</v>
      </c>
      <c r="F371" s="9">
        <f t="shared" si="100"/>
        <v>19.241379310344833</v>
      </c>
      <c r="G371" s="5">
        <f t="shared" si="101"/>
        <v>58</v>
      </c>
      <c r="H371" s="8">
        <f t="shared" si="102"/>
        <v>20</v>
      </c>
      <c r="I371" s="8">
        <f t="shared" si="89"/>
        <v>270</v>
      </c>
      <c r="J371" s="7">
        <f t="shared" si="90"/>
        <v>0.70161290322580627</v>
      </c>
      <c r="K371" s="7">
        <f t="shared" si="91"/>
        <v>-0.35437344695045342</v>
      </c>
      <c r="L371" s="7">
        <f t="shared" si="92"/>
        <v>-0.24863298294104386</v>
      </c>
      <c r="M371" s="7">
        <f t="shared" si="93"/>
        <v>0.35437344695045347</v>
      </c>
      <c r="N371" s="7">
        <f t="shared" si="94"/>
        <v>2.6026896854443837</v>
      </c>
      <c r="O371" s="9">
        <f t="shared" si="103"/>
        <v>16.805357142857144</v>
      </c>
      <c r="P371" s="7">
        <f t="shared" si="95"/>
        <v>-0.17593249275318049</v>
      </c>
    </row>
    <row r="372" spans="1:16" x14ac:dyDescent="0.25">
      <c r="A372" t="s">
        <v>132</v>
      </c>
      <c r="B372">
        <v>2023</v>
      </c>
      <c r="C372" s="5" t="str">
        <f>'1_Du_lieu'!C424</f>
        <v>ĐBSH</v>
      </c>
      <c r="D372" s="8">
        <f>'1_Du_lieu'!E424</f>
        <v>20.6</v>
      </c>
      <c r="E372" s="5">
        <f t="shared" si="88"/>
        <v>0</v>
      </c>
      <c r="F372" s="9">
        <f t="shared" si="100"/>
        <v>19.241379310344833</v>
      </c>
      <c r="G372" s="5">
        <f t="shared" si="101"/>
        <v>58</v>
      </c>
      <c r="H372" s="8">
        <f t="shared" si="102"/>
        <v>48</v>
      </c>
      <c r="I372" s="8">
        <f t="shared" si="89"/>
        <v>988.80000000000007</v>
      </c>
      <c r="J372" s="7">
        <f t="shared" si="90"/>
        <v>1.0706093189964156</v>
      </c>
      <c r="K372" s="7">
        <f t="shared" si="91"/>
        <v>6.8227943400698376E-2</v>
      </c>
      <c r="L372" s="7">
        <f t="shared" si="92"/>
        <v>7.3045472020747682E-2</v>
      </c>
      <c r="M372" s="7">
        <f t="shared" si="93"/>
        <v>-6.8227943400698335E-2</v>
      </c>
      <c r="N372" s="7">
        <f t="shared" si="94"/>
        <v>3.0252910757955354</v>
      </c>
      <c r="O372" s="9">
        <f t="shared" si="103"/>
        <v>16.805357142857144</v>
      </c>
      <c r="P372" s="7">
        <f t="shared" si="95"/>
        <v>0.24956466174841266</v>
      </c>
    </row>
    <row r="373" spans="1:16" x14ac:dyDescent="0.25">
      <c r="A373" t="s">
        <v>133</v>
      </c>
      <c r="B373">
        <v>2023</v>
      </c>
      <c r="C373" s="5" t="str">
        <f>'1_Du_lieu'!C425</f>
        <v>BTB&amp;DHMT</v>
      </c>
      <c r="D373" s="8">
        <f>'1_Du_lieu'!E425</f>
        <v>13.6</v>
      </c>
      <c r="E373" s="5">
        <f t="shared" si="88"/>
        <v>0</v>
      </c>
      <c r="F373" s="9">
        <f t="shared" si="100"/>
        <v>19.241379310344833</v>
      </c>
      <c r="G373" s="5">
        <f t="shared" si="101"/>
        <v>58</v>
      </c>
      <c r="H373" s="8">
        <f t="shared" si="102"/>
        <v>21.5</v>
      </c>
      <c r="I373" s="8">
        <f t="shared" si="89"/>
        <v>292.39999999999998</v>
      </c>
      <c r="J373" s="7">
        <f t="shared" si="90"/>
        <v>0.70681003584229374</v>
      </c>
      <c r="K373" s="7">
        <f t="shared" si="91"/>
        <v>-0.3469933396528308</v>
      </c>
      <c r="L373" s="7">
        <f t="shared" si="92"/>
        <v>-0.24525837483705454</v>
      </c>
      <c r="M373" s="7">
        <f t="shared" si="93"/>
        <v>0.34699333965283086</v>
      </c>
      <c r="N373" s="7">
        <f t="shared" si="94"/>
        <v>2.6100697927420065</v>
      </c>
      <c r="O373" s="9">
        <f t="shared" si="103"/>
        <v>16.805357142857144</v>
      </c>
      <c r="P373" s="7">
        <f t="shared" si="95"/>
        <v>-0.17126322831493568</v>
      </c>
    </row>
    <row r="374" spans="1:16" x14ac:dyDescent="0.25">
      <c r="A374" t="s">
        <v>134</v>
      </c>
      <c r="B374">
        <v>2023</v>
      </c>
      <c r="C374" s="5" t="str">
        <f>'1_Du_lieu'!C426</f>
        <v>ĐBSCL</v>
      </c>
      <c r="D374" s="8">
        <f>'1_Du_lieu'!E426</f>
        <v>10.9</v>
      </c>
      <c r="E374" s="5">
        <f t="shared" si="88"/>
        <v>0</v>
      </c>
      <c r="F374" s="9">
        <f t="shared" si="100"/>
        <v>19.241379310344833</v>
      </c>
      <c r="G374" s="5">
        <f t="shared" si="101"/>
        <v>58</v>
      </c>
      <c r="H374" s="8">
        <f t="shared" si="102"/>
        <v>6</v>
      </c>
      <c r="I374" s="8">
        <f t="shared" si="89"/>
        <v>65.400000000000006</v>
      </c>
      <c r="J374" s="7">
        <f t="shared" si="90"/>
        <v>0.56648745519713251</v>
      </c>
      <c r="K374" s="7">
        <f t="shared" si="91"/>
        <v>-0.5683003431597391</v>
      </c>
      <c r="L374" s="7">
        <f t="shared" si="92"/>
        <v>-0.32193501518421774</v>
      </c>
      <c r="M374" s="7">
        <f t="shared" si="93"/>
        <v>0.5683003431597391</v>
      </c>
      <c r="N374" s="7">
        <f t="shared" si="94"/>
        <v>2.388762789235098</v>
      </c>
      <c r="O374" s="9">
        <f t="shared" si="103"/>
        <v>16.805357142857144</v>
      </c>
      <c r="P374" s="7">
        <f t="shared" si="95"/>
        <v>-0.28080276011603411</v>
      </c>
    </row>
    <row r="375" spans="1:16" x14ac:dyDescent="0.25">
      <c r="A375" t="s">
        <v>136</v>
      </c>
      <c r="B375">
        <v>2023</v>
      </c>
      <c r="C375" s="5" t="str">
        <f>'1_Du_lieu'!C428</f>
        <v>ĐNB</v>
      </c>
      <c r="D375" s="8">
        <f>'1_Du_lieu'!E428</f>
        <v>89.2</v>
      </c>
      <c r="E375" s="5">
        <f t="shared" si="88"/>
        <v>1</v>
      </c>
      <c r="F375" s="9">
        <f t="shared" si="100"/>
        <v>19.241379310344833</v>
      </c>
      <c r="G375" s="5">
        <f t="shared" si="101"/>
        <v>58</v>
      </c>
      <c r="H375" s="8">
        <f t="shared" si="102"/>
        <v>58</v>
      </c>
      <c r="I375" s="8">
        <f t="shared" si="89"/>
        <v>5173.6000000000004</v>
      </c>
      <c r="J375" s="7">
        <f t="shared" si="90"/>
        <v>4.6358422939068094</v>
      </c>
      <c r="K375" s="7">
        <f t="shared" si="91"/>
        <v>1.5338179071911267</v>
      </c>
      <c r="L375" s="7">
        <f t="shared" si="92"/>
        <v>7.1105379253082539</v>
      </c>
      <c r="M375" s="7">
        <f t="shared" si="93"/>
        <v>-1.5338179071911267</v>
      </c>
      <c r="N375" s="7">
        <f t="shared" si="94"/>
        <v>4.4908810395859637</v>
      </c>
      <c r="O375" s="9">
        <f t="shared" si="103"/>
        <v>16.805357142857144</v>
      </c>
      <c r="P375" s="7">
        <f t="shared" si="95"/>
        <v>0</v>
      </c>
    </row>
    <row r="376" spans="1:16" x14ac:dyDescent="0.25">
      <c r="A376" t="s">
        <v>137</v>
      </c>
      <c r="B376">
        <v>2023</v>
      </c>
      <c r="C376" s="5" t="str">
        <f>'1_Du_lieu'!C429</f>
        <v>BTB&amp;DHMT</v>
      </c>
      <c r="D376" s="8">
        <f>'1_Du_lieu'!E429</f>
        <v>18.5</v>
      </c>
      <c r="E376" s="5">
        <f t="shared" si="88"/>
        <v>0</v>
      </c>
      <c r="F376" s="9">
        <f t="shared" si="100"/>
        <v>19.241379310344833</v>
      </c>
      <c r="G376" s="5">
        <f t="shared" si="101"/>
        <v>58</v>
      </c>
      <c r="H376" s="8">
        <f t="shared" si="102"/>
        <v>39</v>
      </c>
      <c r="I376" s="8">
        <f t="shared" si="89"/>
        <v>721.5</v>
      </c>
      <c r="J376" s="7">
        <f t="shared" si="90"/>
        <v>0.96146953405017899</v>
      </c>
      <c r="K376" s="7">
        <f t="shared" si="91"/>
        <v>-3.9292400310558008E-2</v>
      </c>
      <c r="L376" s="7">
        <f t="shared" si="92"/>
        <v>-3.7778445818305313E-2</v>
      </c>
      <c r="M376" s="7">
        <f t="shared" si="93"/>
        <v>3.9292400310558036E-2</v>
      </c>
      <c r="N376" s="7">
        <f t="shared" si="94"/>
        <v>2.917770732084279</v>
      </c>
      <c r="O376" s="9">
        <f t="shared" si="103"/>
        <v>16.805357142857144</v>
      </c>
      <c r="P376" s="7">
        <f t="shared" si="95"/>
        <v>0.10576096869307712</v>
      </c>
    </row>
    <row r="377" spans="1:16" x14ac:dyDescent="0.25">
      <c r="A377" t="s">
        <v>138</v>
      </c>
      <c r="B377">
        <v>2023</v>
      </c>
      <c r="C377" s="5" t="str">
        <f>'1_Du_lieu'!C430</f>
        <v>ĐBSH</v>
      </c>
      <c r="D377" s="8">
        <f>'1_Du_lieu'!E430</f>
        <v>15.4</v>
      </c>
      <c r="E377" s="5">
        <f t="shared" si="88"/>
        <v>0</v>
      </c>
      <c r="F377" s="9">
        <f t="shared" si="100"/>
        <v>19.241379310344833</v>
      </c>
      <c r="G377" s="5">
        <f t="shared" si="101"/>
        <v>58</v>
      </c>
      <c r="H377" s="8">
        <f t="shared" si="102"/>
        <v>28</v>
      </c>
      <c r="I377" s="8">
        <f t="shared" si="89"/>
        <v>431.2</v>
      </c>
      <c r="J377" s="7">
        <f t="shared" si="90"/>
        <v>0.80035842293906789</v>
      </c>
      <c r="K377" s="7">
        <f t="shared" si="91"/>
        <v>-0.22269562297525369</v>
      </c>
      <c r="L377" s="7">
        <f t="shared" si="92"/>
        <v>-0.1782363175999073</v>
      </c>
      <c r="M377" s="7">
        <f t="shared" si="93"/>
        <v>0.22269562297525367</v>
      </c>
      <c r="N377" s="7">
        <f t="shared" si="94"/>
        <v>2.7343675094195836</v>
      </c>
      <c r="O377" s="9">
        <f t="shared" si="103"/>
        <v>16.805357142857144</v>
      </c>
      <c r="P377" s="7">
        <f t="shared" si="95"/>
        <v>-8.0027167866870835E-2</v>
      </c>
    </row>
    <row r="378" spans="1:16" x14ac:dyDescent="0.25">
      <c r="A378" t="s">
        <v>139</v>
      </c>
      <c r="B378">
        <v>2023</v>
      </c>
      <c r="C378" s="5" t="str">
        <f>'1_Du_lieu'!C431</f>
        <v>TDMNPB</v>
      </c>
      <c r="D378" s="8">
        <f>'1_Du_lieu'!E431</f>
        <v>17.100000000000001</v>
      </c>
      <c r="E378" s="5">
        <f t="shared" si="88"/>
        <v>0</v>
      </c>
      <c r="F378" s="9">
        <f t="shared" si="100"/>
        <v>19.241379310344833</v>
      </c>
      <c r="G378" s="5">
        <f t="shared" si="101"/>
        <v>58</v>
      </c>
      <c r="H378" s="8">
        <f t="shared" si="102"/>
        <v>33</v>
      </c>
      <c r="I378" s="8">
        <f t="shared" si="89"/>
        <v>564.30000000000007</v>
      </c>
      <c r="J378" s="7">
        <f t="shared" si="90"/>
        <v>0.88870967741935469</v>
      </c>
      <c r="K378" s="7">
        <f t="shared" si="91"/>
        <v>-0.11798466888622292</v>
      </c>
      <c r="L378" s="7">
        <f t="shared" si="92"/>
        <v>-0.10485411702630454</v>
      </c>
      <c r="M378" s="7">
        <f t="shared" si="93"/>
        <v>0.11798466888622285</v>
      </c>
      <c r="N378" s="7">
        <f t="shared" si="94"/>
        <v>2.8390784635086144</v>
      </c>
      <c r="O378" s="9">
        <f t="shared" si="103"/>
        <v>16.805357142857144</v>
      </c>
      <c r="P378" s="7">
        <f t="shared" si="95"/>
        <v>1.7685481418500536E-2</v>
      </c>
    </row>
    <row r="379" spans="1:16" x14ac:dyDescent="0.25">
      <c r="A379" t="s">
        <v>140</v>
      </c>
      <c r="B379">
        <v>2023</v>
      </c>
      <c r="C379" s="5" t="str">
        <f>'1_Du_lieu'!C432</f>
        <v>BTB&amp;DHMT</v>
      </c>
      <c r="D379" s="8">
        <f>'1_Du_lieu'!E432</f>
        <v>16</v>
      </c>
      <c r="E379" s="5">
        <f t="shared" si="88"/>
        <v>0</v>
      </c>
      <c r="F379" s="9">
        <f t="shared" si="100"/>
        <v>19.241379310344833</v>
      </c>
      <c r="G379" s="5">
        <f t="shared" si="101"/>
        <v>58</v>
      </c>
      <c r="H379" s="8">
        <f t="shared" si="102"/>
        <v>30</v>
      </c>
      <c r="I379" s="8">
        <f t="shared" si="89"/>
        <v>480</v>
      </c>
      <c r="J379" s="7">
        <f t="shared" si="90"/>
        <v>0.83154121863799257</v>
      </c>
      <c r="K379" s="7">
        <f t="shared" si="91"/>
        <v>-0.18447441015505597</v>
      </c>
      <c r="L379" s="7">
        <f t="shared" si="92"/>
        <v>-0.15339807582786011</v>
      </c>
      <c r="M379" s="7">
        <f t="shared" si="93"/>
        <v>0.18447441015505595</v>
      </c>
      <c r="N379" s="7">
        <f t="shared" si="94"/>
        <v>2.7725887222397811</v>
      </c>
      <c r="O379" s="9">
        <f t="shared" si="103"/>
        <v>16.805357142857144</v>
      </c>
      <c r="P379" s="7">
        <f t="shared" si="95"/>
        <v>-4.6755558216205889E-2</v>
      </c>
    </row>
    <row r="380" spans="1:16" x14ac:dyDescent="0.25">
      <c r="A380" t="s">
        <v>141</v>
      </c>
      <c r="B380">
        <v>2023</v>
      </c>
      <c r="C380" s="5" t="str">
        <f>'1_Du_lieu'!C433</f>
        <v>ĐBSCL</v>
      </c>
      <c r="D380" s="8">
        <f>'1_Du_lieu'!E433</f>
        <v>12.4</v>
      </c>
      <c r="E380" s="5">
        <f t="shared" si="88"/>
        <v>0</v>
      </c>
      <c r="F380" s="9">
        <f t="shared" si="100"/>
        <v>19.241379310344833</v>
      </c>
      <c r="G380" s="5">
        <f t="shared" si="101"/>
        <v>58</v>
      </c>
      <c r="H380" s="8">
        <f t="shared" si="102"/>
        <v>11</v>
      </c>
      <c r="I380" s="8">
        <f t="shared" si="89"/>
        <v>136.4</v>
      </c>
      <c r="J380" s="7">
        <f t="shared" si="90"/>
        <v>0.64444444444444426</v>
      </c>
      <c r="K380" s="7">
        <f t="shared" si="91"/>
        <v>-0.43936665978384604</v>
      </c>
      <c r="L380" s="7">
        <f t="shared" si="92"/>
        <v>-0.28314740297181179</v>
      </c>
      <c r="M380" s="7">
        <f t="shared" si="93"/>
        <v>0.43936665978384604</v>
      </c>
      <c r="N380" s="7">
        <f t="shared" si="94"/>
        <v>2.5176964726109912</v>
      </c>
      <c r="O380" s="9">
        <f t="shared" si="103"/>
        <v>16.805357142857144</v>
      </c>
      <c r="P380" s="7">
        <f t="shared" si="95"/>
        <v>-0.22431034046978759</v>
      </c>
    </row>
    <row r="381" spans="1:16" x14ac:dyDescent="0.25">
      <c r="A381" t="s">
        <v>142</v>
      </c>
      <c r="B381">
        <v>2023</v>
      </c>
      <c r="C381" s="5" t="str">
        <f>'1_Du_lieu'!C434</f>
        <v>ĐBSCL</v>
      </c>
      <c r="D381" s="8">
        <f>'1_Du_lieu'!E434</f>
        <v>11.2</v>
      </c>
      <c r="E381" s="5">
        <f t="shared" si="88"/>
        <v>0</v>
      </c>
      <c r="F381" s="9">
        <f t="shared" si="100"/>
        <v>19.241379310344833</v>
      </c>
      <c r="G381" s="5">
        <f t="shared" si="101"/>
        <v>58</v>
      </c>
      <c r="H381" s="8">
        <f t="shared" si="102"/>
        <v>7</v>
      </c>
      <c r="I381" s="8">
        <f t="shared" si="89"/>
        <v>78.399999999999991</v>
      </c>
      <c r="J381" s="7">
        <f t="shared" si="90"/>
        <v>0.58207885304659479</v>
      </c>
      <c r="K381" s="7">
        <f t="shared" si="91"/>
        <v>-0.54114935409378839</v>
      </c>
      <c r="L381" s="7">
        <f t="shared" si="92"/>
        <v>-0.31499159535781796</v>
      </c>
      <c r="M381" s="7">
        <f t="shared" si="93"/>
        <v>0.54114935409378839</v>
      </c>
      <c r="N381" s="7">
        <f t="shared" si="94"/>
        <v>2.4159137783010487</v>
      </c>
      <c r="O381" s="9">
        <f t="shared" si="103"/>
        <v>16.805357142857144</v>
      </c>
      <c r="P381" s="7">
        <f t="shared" si="95"/>
        <v>-0.27043638712619583</v>
      </c>
    </row>
    <row r="382" spans="1:16" x14ac:dyDescent="0.25">
      <c r="A382" t="s">
        <v>143</v>
      </c>
      <c r="B382">
        <v>2023</v>
      </c>
      <c r="C382" s="5" t="str">
        <f>'1_Du_lieu'!C435</f>
        <v>TDMNPB</v>
      </c>
      <c r="D382" s="8">
        <f>'1_Du_lieu'!E435</f>
        <v>12.7</v>
      </c>
      <c r="E382" s="5">
        <f t="shared" si="88"/>
        <v>0</v>
      </c>
      <c r="F382" s="9">
        <f t="shared" si="100"/>
        <v>19.241379310344833</v>
      </c>
      <c r="G382" s="5">
        <f t="shared" si="101"/>
        <v>58</v>
      </c>
      <c r="H382" s="8">
        <f t="shared" si="102"/>
        <v>12.5</v>
      </c>
      <c r="I382" s="8">
        <f t="shared" si="89"/>
        <v>158.75</v>
      </c>
      <c r="J382" s="7">
        <f t="shared" si="90"/>
        <v>0.66003584229390655</v>
      </c>
      <c r="K382" s="7">
        <f t="shared" si="91"/>
        <v>-0.41546113893029174</v>
      </c>
      <c r="L382" s="7">
        <f t="shared" si="92"/>
        <v>-0.27421924277424081</v>
      </c>
      <c r="M382" s="7">
        <f t="shared" si="93"/>
        <v>0.41546113893029163</v>
      </c>
      <c r="N382" s="7">
        <f t="shared" si="94"/>
        <v>2.5416019934645457</v>
      </c>
      <c r="O382" s="9">
        <f t="shared" si="103"/>
        <v>16.805357142857144</v>
      </c>
      <c r="P382" s="7">
        <f t="shared" si="95"/>
        <v>-0.21167152887661433</v>
      </c>
    </row>
    <row r="383" spans="1:16" x14ac:dyDescent="0.25">
      <c r="A383" t="s">
        <v>144</v>
      </c>
      <c r="B383">
        <v>2023</v>
      </c>
      <c r="C383" s="5" t="str">
        <f>'1_Du_lieu'!C436</f>
        <v>ĐNB</v>
      </c>
      <c r="D383" s="8">
        <f>'1_Du_lieu'!E436</f>
        <v>14.6</v>
      </c>
      <c r="E383" s="5">
        <f t="shared" si="88"/>
        <v>0</v>
      </c>
      <c r="F383" s="9">
        <f t="shared" si="100"/>
        <v>19.241379310344833</v>
      </c>
      <c r="G383" s="5">
        <f t="shared" si="101"/>
        <v>58</v>
      </c>
      <c r="H383" s="8">
        <f t="shared" si="102"/>
        <v>26</v>
      </c>
      <c r="I383" s="8">
        <f t="shared" si="89"/>
        <v>379.59999999999997</v>
      </c>
      <c r="J383" s="7">
        <f t="shared" si="90"/>
        <v>0.75878136200716828</v>
      </c>
      <c r="K383" s="7">
        <f t="shared" si="91"/>
        <v>-0.27604160368054637</v>
      </c>
      <c r="L383" s="7">
        <f t="shared" si="92"/>
        <v>-0.20945522401136793</v>
      </c>
      <c r="M383" s="7">
        <f t="shared" si="93"/>
        <v>0.27604160368054648</v>
      </c>
      <c r="N383" s="7">
        <f t="shared" si="94"/>
        <v>2.6810215287142909</v>
      </c>
      <c r="O383" s="9">
        <f t="shared" si="103"/>
        <v>16.805357142857144</v>
      </c>
      <c r="P383" s="7">
        <f t="shared" si="95"/>
        <v>-0.12221533139724906</v>
      </c>
    </row>
    <row r="384" spans="1:16" x14ac:dyDescent="0.25">
      <c r="A384" t="s">
        <v>145</v>
      </c>
      <c r="B384">
        <v>2023</v>
      </c>
      <c r="C384" s="5" t="str">
        <f>'1_Du_lieu'!C437</f>
        <v>ĐBSCL</v>
      </c>
      <c r="D384" s="8">
        <f>'1_Du_lieu'!E437</f>
        <v>10.7</v>
      </c>
      <c r="E384" s="5">
        <f t="shared" si="88"/>
        <v>0</v>
      </c>
      <c r="F384" s="9">
        <f t="shared" si="100"/>
        <v>19.241379310344833</v>
      </c>
      <c r="G384" s="5">
        <f t="shared" si="101"/>
        <v>58</v>
      </c>
      <c r="H384" s="8">
        <f t="shared" si="102"/>
        <v>3.5</v>
      </c>
      <c r="I384" s="8">
        <f t="shared" si="89"/>
        <v>37.449999999999996</v>
      </c>
      <c r="J384" s="7">
        <f t="shared" si="90"/>
        <v>0.55609318996415757</v>
      </c>
      <c r="K384" s="7">
        <f t="shared" si="91"/>
        <v>-0.58681939092697666</v>
      </c>
      <c r="L384" s="7">
        <f t="shared" si="92"/>
        <v>-0.3263262670334065</v>
      </c>
      <c r="M384" s="7">
        <f t="shared" si="93"/>
        <v>0.58681939092697677</v>
      </c>
      <c r="N384" s="7">
        <f t="shared" si="94"/>
        <v>2.3702437414678603</v>
      </c>
      <c r="O384" s="9">
        <f t="shared" si="103"/>
        <v>16.805357142857144</v>
      </c>
      <c r="P384" s="7">
        <f t="shared" si="95"/>
        <v>-0.28744152568240366</v>
      </c>
    </row>
    <row r="385" spans="1:16" x14ac:dyDescent="0.25">
      <c r="A385" t="s">
        <v>146</v>
      </c>
      <c r="B385">
        <v>2023</v>
      </c>
      <c r="C385" s="5" t="str">
        <f>'1_Du_lieu'!C438</f>
        <v>ĐBSH</v>
      </c>
      <c r="D385" s="8">
        <f>'1_Du_lieu'!E438</f>
        <v>19.600000000000001</v>
      </c>
      <c r="E385" s="5">
        <f t="shared" si="88"/>
        <v>0</v>
      </c>
      <c r="F385" s="9">
        <f t="shared" si="100"/>
        <v>19.241379310344833</v>
      </c>
      <c r="G385" s="5">
        <f t="shared" si="101"/>
        <v>58</v>
      </c>
      <c r="H385" s="8">
        <f t="shared" si="102"/>
        <v>44.5</v>
      </c>
      <c r="I385" s="8">
        <f t="shared" si="89"/>
        <v>872.2</v>
      </c>
      <c r="J385" s="7">
        <f t="shared" si="90"/>
        <v>1.018637992831541</v>
      </c>
      <c r="K385" s="7">
        <f t="shared" si="91"/>
        <v>1.8466433841634416E-2</v>
      </c>
      <c r="L385" s="7">
        <f t="shared" si="92"/>
        <v>1.8810611103198923E-2</v>
      </c>
      <c r="M385" s="7">
        <f t="shared" si="93"/>
        <v>-1.8466433841634402E-2</v>
      </c>
      <c r="N385" s="7">
        <f t="shared" si="94"/>
        <v>2.9755295662364718</v>
      </c>
      <c r="O385" s="9">
        <f t="shared" si="103"/>
        <v>16.805357142857144</v>
      </c>
      <c r="P385" s="7">
        <f t="shared" si="95"/>
        <v>0.17941328442260113</v>
      </c>
    </row>
    <row r="386" spans="1:16" x14ac:dyDescent="0.25">
      <c r="A386" t="s">
        <v>147</v>
      </c>
      <c r="B386">
        <v>2023</v>
      </c>
      <c r="C386" s="5" t="str">
        <f>'1_Du_lieu'!C439</f>
        <v>TDMNPB</v>
      </c>
      <c r="D386" s="8">
        <f>'1_Du_lieu'!E439</f>
        <v>13.3</v>
      </c>
      <c r="E386" s="5">
        <f t="shared" si="88"/>
        <v>0</v>
      </c>
      <c r="F386" s="9">
        <f t="shared" si="100"/>
        <v>19.241379310344833</v>
      </c>
      <c r="G386" s="5">
        <f t="shared" si="101"/>
        <v>58</v>
      </c>
      <c r="H386" s="8">
        <f t="shared" si="102"/>
        <v>17.5</v>
      </c>
      <c r="I386" s="8">
        <f t="shared" si="89"/>
        <v>232.75</v>
      </c>
      <c r="J386" s="7">
        <f t="shared" si="90"/>
        <v>0.69121863799283134</v>
      </c>
      <c r="K386" s="7">
        <f t="shared" si="91"/>
        <v>-0.36929909716712911</v>
      </c>
      <c r="L386" s="7">
        <f t="shared" si="92"/>
        <v>-0.25526641895584529</v>
      </c>
      <c r="M386" s="7">
        <f t="shared" si="93"/>
        <v>0.36929909716712905</v>
      </c>
      <c r="N386" s="7">
        <f t="shared" si="94"/>
        <v>2.5877640352277083</v>
      </c>
      <c r="O386" s="9">
        <f t="shared" si="103"/>
        <v>16.805357142857144</v>
      </c>
      <c r="P386" s="7">
        <f t="shared" si="95"/>
        <v>-0.18513845850741029</v>
      </c>
    </row>
    <row r="387" spans="1:16" x14ac:dyDescent="0.25">
      <c r="A387" t="s">
        <v>149</v>
      </c>
      <c r="B387">
        <v>2023</v>
      </c>
      <c r="C387" s="5" t="str">
        <f>'1_Du_lieu'!C441</f>
        <v>BTB&amp;DHMT</v>
      </c>
      <c r="D387" s="8">
        <f>'1_Du_lieu'!E441</f>
        <v>39.5</v>
      </c>
      <c r="E387" s="5">
        <f t="shared" si="88"/>
        <v>0</v>
      </c>
      <c r="F387" s="9">
        <f t="shared" si="100"/>
        <v>19.241379310344833</v>
      </c>
      <c r="G387" s="5">
        <f t="shared" si="101"/>
        <v>58</v>
      </c>
      <c r="H387" s="8">
        <f t="shared" si="102"/>
        <v>56</v>
      </c>
      <c r="I387" s="8">
        <f t="shared" si="89"/>
        <v>2212</v>
      </c>
      <c r="J387" s="7">
        <f t="shared" si="90"/>
        <v>2.0528673835125444</v>
      </c>
      <c r="K387" s="7">
        <f t="shared" si="91"/>
        <v>0.71923753951223912</v>
      </c>
      <c r="L387" s="7">
        <f t="shared" si="92"/>
        <v>1.4764992858624906</v>
      </c>
      <c r="M387" s="7">
        <f t="shared" si="93"/>
        <v>-0.71923753951223901</v>
      </c>
      <c r="N387" s="7">
        <f t="shared" si="94"/>
        <v>3.6763006719070761</v>
      </c>
      <c r="O387" s="9">
        <f t="shared" si="103"/>
        <v>16.805357142857144</v>
      </c>
      <c r="P387" s="7">
        <f t="shared" si="95"/>
        <v>2.0086938102388618</v>
      </c>
    </row>
    <row r="388" spans="1:16" x14ac:dyDescent="0.25">
      <c r="A388" t="s">
        <v>150</v>
      </c>
      <c r="B388">
        <v>2023</v>
      </c>
      <c r="C388" s="5" t="str">
        <f>'1_Du_lieu'!C442</f>
        <v>TN</v>
      </c>
      <c r="D388" s="8">
        <f>'1_Du_lieu'!E442</f>
        <v>18.8</v>
      </c>
      <c r="E388" s="5">
        <f t="shared" si="88"/>
        <v>0</v>
      </c>
      <c r="F388" s="9">
        <f t="shared" si="100"/>
        <v>19.241379310344833</v>
      </c>
      <c r="G388" s="5">
        <f t="shared" si="101"/>
        <v>58</v>
      </c>
      <c r="H388" s="8">
        <f t="shared" si="102"/>
        <v>41</v>
      </c>
      <c r="I388" s="8">
        <f t="shared" si="89"/>
        <v>770.80000000000007</v>
      </c>
      <c r="J388" s="7">
        <f t="shared" si="90"/>
        <v>0.97706093189964138</v>
      </c>
      <c r="K388" s="7">
        <f t="shared" si="91"/>
        <v>-2.3206262558933589E-2</v>
      </c>
      <c r="L388" s="7">
        <f t="shared" si="92"/>
        <v>-2.2673932521739409E-2</v>
      </c>
      <c r="M388" s="7">
        <f t="shared" si="93"/>
        <v>2.3206262558933623E-2</v>
      </c>
      <c r="N388" s="7">
        <f t="shared" si="94"/>
        <v>2.9338568698359038</v>
      </c>
      <c r="O388" s="9">
        <f t="shared" si="103"/>
        <v>16.805357142857144</v>
      </c>
      <c r="P388" s="7">
        <f t="shared" si="95"/>
        <v>0.12547142724514274</v>
      </c>
    </row>
    <row r="389" spans="1:16" x14ac:dyDescent="0.25">
      <c r="A389" t="s">
        <v>151</v>
      </c>
      <c r="B389">
        <v>2023</v>
      </c>
      <c r="C389" s="5" t="str">
        <f>'1_Du_lieu'!C443</f>
        <v>TN</v>
      </c>
      <c r="D389" s="8">
        <f>'1_Du_lieu'!E443</f>
        <v>10.6</v>
      </c>
      <c r="E389" s="5">
        <f t="shared" ref="E389:E449" si="104">IF(OR(A389="Hà Nội",A389="TP. Hồ Chí Minh"),1,0)</f>
        <v>0</v>
      </c>
      <c r="F389" s="9">
        <f t="shared" si="100"/>
        <v>19.241379310344833</v>
      </c>
      <c r="G389" s="5">
        <f t="shared" si="101"/>
        <v>58</v>
      </c>
      <c r="H389" s="8">
        <f t="shared" si="102"/>
        <v>2</v>
      </c>
      <c r="I389" s="8">
        <f t="shared" ref="I389:I452" si="105">H389*D389</f>
        <v>21.2</v>
      </c>
      <c r="J389" s="7">
        <f t="shared" ref="J389:J449" si="106">D389/F389</f>
        <v>0.55089605734767011</v>
      </c>
      <c r="K389" s="7">
        <f t="shared" ref="K389:K452" si="107">LN(J389)</f>
        <v>-0.59620913127681574</v>
      </c>
      <c r="L389" s="7">
        <f t="shared" ref="L389:L452" si="108">J389*K389</f>
        <v>-0.32844925977507727</v>
      </c>
      <c r="M389" s="7">
        <f t="shared" ref="M389:M449" si="109">LN(F389/D389)</f>
        <v>0.59620913127681574</v>
      </c>
      <c r="N389" s="7">
        <f t="shared" ref="N389:N449" si="110">LN(D389)</f>
        <v>2.3608540011180215</v>
      </c>
      <c r="O389" s="9">
        <f t="shared" si="103"/>
        <v>16.805357142857144</v>
      </c>
      <c r="P389" s="7">
        <f t="shared" ref="P389:P452" si="111">(1-E389)*(D389/O389)*LN(D389/O389)</f>
        <v>-0.2906777467326202</v>
      </c>
    </row>
    <row r="390" spans="1:16" x14ac:dyDescent="0.25">
      <c r="A390" t="s">
        <v>152</v>
      </c>
      <c r="B390">
        <v>2023</v>
      </c>
      <c r="C390" s="5" t="str">
        <f>'1_Du_lieu'!C444</f>
        <v>ĐNB</v>
      </c>
      <c r="D390" s="8">
        <f>'1_Du_lieu'!E444</f>
        <v>25.9</v>
      </c>
      <c r="E390" s="5">
        <f t="shared" si="104"/>
        <v>0</v>
      </c>
      <c r="F390" s="9">
        <f t="shared" si="100"/>
        <v>19.241379310344833</v>
      </c>
      <c r="G390" s="5">
        <f t="shared" si="101"/>
        <v>58</v>
      </c>
      <c r="H390" s="8">
        <f t="shared" si="102"/>
        <v>53</v>
      </c>
      <c r="I390" s="8">
        <f t="shared" si="105"/>
        <v>1372.6999999999998</v>
      </c>
      <c r="J390" s="7">
        <f t="shared" si="106"/>
        <v>1.3460573476702504</v>
      </c>
      <c r="K390" s="7">
        <f t="shared" si="107"/>
        <v>0.29717983631065481</v>
      </c>
      <c r="L390" s="7">
        <f t="shared" si="108"/>
        <v>0.40002110224539922</v>
      </c>
      <c r="M390" s="7">
        <f t="shared" si="109"/>
        <v>-0.29717983631065481</v>
      </c>
      <c r="N390" s="7">
        <f t="shared" si="110"/>
        <v>3.2542429687054919</v>
      </c>
      <c r="O390" s="9">
        <f t="shared" si="103"/>
        <v>16.805357142857144</v>
      </c>
      <c r="P390" s="7">
        <f t="shared" si="111"/>
        <v>0.66662802963264689</v>
      </c>
    </row>
    <row r="391" spans="1:16" x14ac:dyDescent="0.25">
      <c r="A391" t="s">
        <v>153</v>
      </c>
      <c r="B391">
        <v>2023</v>
      </c>
      <c r="C391" s="5" t="str">
        <f>'1_Du_lieu'!C445</f>
        <v>ĐBSCL</v>
      </c>
      <c r="D391" s="8">
        <f>'1_Du_lieu'!E445</f>
        <v>15.7</v>
      </c>
      <c r="E391" s="5">
        <f t="shared" si="104"/>
        <v>0</v>
      </c>
      <c r="F391" s="9">
        <f t="shared" si="100"/>
        <v>19.241379310344833</v>
      </c>
      <c r="G391" s="5">
        <f t="shared" si="101"/>
        <v>58</v>
      </c>
      <c r="H391" s="8">
        <f t="shared" si="102"/>
        <v>29</v>
      </c>
      <c r="I391" s="8">
        <f t="shared" si="105"/>
        <v>455.29999999999995</v>
      </c>
      <c r="J391" s="7">
        <f t="shared" si="106"/>
        <v>0.81594982078853018</v>
      </c>
      <c r="K391" s="7">
        <f t="shared" si="107"/>
        <v>-0.20340242004057488</v>
      </c>
      <c r="L391" s="7">
        <f t="shared" si="108"/>
        <v>-0.16596616818006041</v>
      </c>
      <c r="M391" s="7">
        <f t="shared" si="109"/>
        <v>0.20340242004057493</v>
      </c>
      <c r="N391" s="7">
        <f t="shared" si="110"/>
        <v>2.7536607123542622</v>
      </c>
      <c r="O391" s="9">
        <f t="shared" si="103"/>
        <v>16.805357142857144</v>
      </c>
      <c r="P391" s="7">
        <f t="shared" si="111"/>
        <v>-6.3561928680980415E-2</v>
      </c>
    </row>
    <row r="392" spans="1:16" x14ac:dyDescent="0.25">
      <c r="A392" t="s">
        <v>85</v>
      </c>
      <c r="B392">
        <v>2024</v>
      </c>
      <c r="C392" s="5" t="str">
        <f>'1_Du_lieu'!C446</f>
        <v>ĐBSCL</v>
      </c>
      <c r="D392" s="8">
        <f>'1_Du_lieu'!E446</f>
        <v>16</v>
      </c>
      <c r="E392" s="5">
        <f t="shared" si="104"/>
        <v>0</v>
      </c>
      <c r="F392" s="9">
        <f t="shared" ref="F392:F423" si="112">AVERAGE($D$392:$D$449)</f>
        <v>23.086206896551722</v>
      </c>
      <c r="G392" s="5">
        <f t="shared" ref="G392:G423" si="113">COUNT($D$392:$D$449)</f>
        <v>58</v>
      </c>
      <c r="H392" s="8">
        <f t="shared" ref="H392:H423" si="114">_xlfn.RANK.AVG(D392,$D$392:$D$449,1)</f>
        <v>15.5</v>
      </c>
      <c r="I392" s="8">
        <f t="shared" si="105"/>
        <v>248</v>
      </c>
      <c r="J392" s="7">
        <f t="shared" si="106"/>
        <v>0.69305451829723674</v>
      </c>
      <c r="K392" s="7">
        <f t="shared" si="107"/>
        <v>-0.36664661290497191</v>
      </c>
      <c r="L392" s="7">
        <f t="shared" si="108"/>
        <v>-0.25410609169216875</v>
      </c>
      <c r="M392" s="7">
        <f t="shared" si="109"/>
        <v>0.36664661290497186</v>
      </c>
      <c r="N392" s="7">
        <f t="shared" si="110"/>
        <v>2.7725887222397811</v>
      </c>
      <c r="O392" s="9">
        <f t="shared" ref="O392:O423" si="115">SUMPRODUCT((1-$E$392:$E$449)*$D$392:$D$449)/(G392-SUM($E$392:$E$449))</f>
        <v>20.857142857142858</v>
      </c>
      <c r="P392" s="7">
        <f t="shared" si="111"/>
        <v>-0.20337032908413083</v>
      </c>
    </row>
    <row r="393" spans="1:16" x14ac:dyDescent="0.25">
      <c r="A393" t="s">
        <v>87</v>
      </c>
      <c r="B393">
        <v>2024</v>
      </c>
      <c r="C393" s="5" t="str">
        <f>'1_Du_lieu'!C447</f>
        <v>ĐNB</v>
      </c>
      <c r="D393" s="8">
        <f>'1_Du_lieu'!E447</f>
        <v>28</v>
      </c>
      <c r="E393" s="5">
        <f t="shared" si="104"/>
        <v>0</v>
      </c>
      <c r="F393" s="9">
        <f t="shared" si="112"/>
        <v>23.086206896551722</v>
      </c>
      <c r="G393" s="5">
        <f t="shared" si="113"/>
        <v>58</v>
      </c>
      <c r="H393" s="8">
        <f t="shared" si="114"/>
        <v>50.5</v>
      </c>
      <c r="I393" s="8">
        <f t="shared" si="105"/>
        <v>1414</v>
      </c>
      <c r="J393" s="7">
        <f t="shared" si="106"/>
        <v>1.2128454070201644</v>
      </c>
      <c r="K393" s="7">
        <f t="shared" si="107"/>
        <v>0.19296917503045086</v>
      </c>
      <c r="L393" s="7">
        <f t="shared" si="108"/>
        <v>0.2340417776321525</v>
      </c>
      <c r="M393" s="7">
        <f t="shared" si="109"/>
        <v>-0.19296917503045086</v>
      </c>
      <c r="N393" s="7">
        <f t="shared" si="110"/>
        <v>3.3322045101752038</v>
      </c>
      <c r="O393" s="9">
        <f t="shared" si="115"/>
        <v>20.857142857142858</v>
      </c>
      <c r="P393" s="7">
        <f t="shared" si="111"/>
        <v>0.39536695448183179</v>
      </c>
    </row>
    <row r="394" spans="1:16" x14ac:dyDescent="0.25">
      <c r="A394" t="s">
        <v>89</v>
      </c>
      <c r="B394">
        <v>2024</v>
      </c>
      <c r="C394" s="5" t="str">
        <f>'1_Du_lieu'!C448</f>
        <v>ĐNB</v>
      </c>
      <c r="D394" s="8">
        <f>'1_Du_lieu'!E448</f>
        <v>51</v>
      </c>
      <c r="E394" s="5">
        <f t="shared" si="104"/>
        <v>0</v>
      </c>
      <c r="F394" s="9">
        <f t="shared" si="112"/>
        <v>23.086206896551722</v>
      </c>
      <c r="G394" s="5">
        <f t="shared" si="113"/>
        <v>58</v>
      </c>
      <c r="H394" s="8">
        <f t="shared" si="114"/>
        <v>56</v>
      </c>
      <c r="I394" s="8">
        <f t="shared" si="105"/>
        <v>2856</v>
      </c>
      <c r="J394" s="7">
        <f t="shared" si="106"/>
        <v>2.2091112770724424</v>
      </c>
      <c r="K394" s="7">
        <f t="shared" si="107"/>
        <v>0.79259029757957267</v>
      </c>
      <c r="L394" s="7">
        <f t="shared" si="108"/>
        <v>1.7509201644812369</v>
      </c>
      <c r="M394" s="7">
        <f t="shared" si="109"/>
        <v>-0.79259029757957267</v>
      </c>
      <c r="N394" s="7">
        <f t="shared" si="110"/>
        <v>3.9318256327243257</v>
      </c>
      <c r="O394" s="9">
        <f t="shared" si="115"/>
        <v>20.857142857142858</v>
      </c>
      <c r="P394" s="7">
        <f t="shared" si="111"/>
        <v>2.186329521544212</v>
      </c>
    </row>
    <row r="395" spans="1:16" x14ac:dyDescent="0.25">
      <c r="A395" t="s">
        <v>90</v>
      </c>
      <c r="B395">
        <v>2024</v>
      </c>
      <c r="C395" s="5" t="str">
        <f>'1_Du_lieu'!C449</f>
        <v>ĐNB</v>
      </c>
      <c r="D395" s="8">
        <f>'1_Du_lieu'!E449</f>
        <v>16</v>
      </c>
      <c r="E395" s="5">
        <f t="shared" si="104"/>
        <v>0</v>
      </c>
      <c r="F395" s="9">
        <f t="shared" si="112"/>
        <v>23.086206896551722</v>
      </c>
      <c r="G395" s="5">
        <f t="shared" si="113"/>
        <v>58</v>
      </c>
      <c r="H395" s="8">
        <f t="shared" si="114"/>
        <v>15.5</v>
      </c>
      <c r="I395" s="8">
        <f t="shared" si="105"/>
        <v>248</v>
      </c>
      <c r="J395" s="7">
        <f t="shared" si="106"/>
        <v>0.69305451829723674</v>
      </c>
      <c r="K395" s="7">
        <f t="shared" si="107"/>
        <v>-0.36664661290497191</v>
      </c>
      <c r="L395" s="7">
        <f t="shared" si="108"/>
        <v>-0.25410609169216875</v>
      </c>
      <c r="M395" s="7">
        <f t="shared" si="109"/>
        <v>0.36664661290497186</v>
      </c>
      <c r="N395" s="7">
        <f t="shared" si="110"/>
        <v>2.7725887222397811</v>
      </c>
      <c r="O395" s="9">
        <f t="shared" si="115"/>
        <v>20.857142857142858</v>
      </c>
      <c r="P395" s="7">
        <f t="shared" si="111"/>
        <v>-0.20337032908413083</v>
      </c>
    </row>
    <row r="396" spans="1:16" x14ac:dyDescent="0.25">
      <c r="A396" t="s">
        <v>91</v>
      </c>
      <c r="B396">
        <v>2024</v>
      </c>
      <c r="C396" s="5" t="str">
        <f>'1_Du_lieu'!C450</f>
        <v>BTB&amp;DHMT</v>
      </c>
      <c r="D396" s="8">
        <f>'1_Du_lieu'!E450</f>
        <v>20</v>
      </c>
      <c r="E396" s="5">
        <f t="shared" si="104"/>
        <v>0</v>
      </c>
      <c r="F396" s="9">
        <f t="shared" si="112"/>
        <v>23.086206896551722</v>
      </c>
      <c r="G396" s="5">
        <f t="shared" si="113"/>
        <v>58</v>
      </c>
      <c r="H396" s="8">
        <f t="shared" si="114"/>
        <v>29.5</v>
      </c>
      <c r="I396" s="8">
        <f t="shared" si="105"/>
        <v>590</v>
      </c>
      <c r="J396" s="7">
        <f t="shared" si="106"/>
        <v>0.86631814787154604</v>
      </c>
      <c r="K396" s="7">
        <f t="shared" si="107"/>
        <v>-0.14350306159076204</v>
      </c>
      <c r="L396" s="7">
        <f t="shared" si="108"/>
        <v>-0.12431930653120536</v>
      </c>
      <c r="M396" s="7">
        <f t="shared" si="109"/>
        <v>0.14350306159076218</v>
      </c>
      <c r="N396" s="7">
        <f t="shared" si="110"/>
        <v>2.9957322735539909</v>
      </c>
      <c r="O396" s="9">
        <f t="shared" si="115"/>
        <v>20.857142857142858</v>
      </c>
      <c r="P396" s="7">
        <f t="shared" si="111"/>
        <v>-4.0239642971674705E-2</v>
      </c>
    </row>
    <row r="397" spans="1:16" x14ac:dyDescent="0.25">
      <c r="A397" t="s">
        <v>93</v>
      </c>
      <c r="B397">
        <v>2024</v>
      </c>
      <c r="C397" s="5" t="str">
        <f>'1_Du_lieu'!C451</f>
        <v>BTB&amp;DHMT</v>
      </c>
      <c r="D397" s="8">
        <f>'1_Du_lieu'!E451</f>
        <v>21</v>
      </c>
      <c r="E397" s="5">
        <f t="shared" si="104"/>
        <v>0</v>
      </c>
      <c r="F397" s="9">
        <f t="shared" si="112"/>
        <v>23.086206896551722</v>
      </c>
      <c r="G397" s="5">
        <f t="shared" si="113"/>
        <v>58</v>
      </c>
      <c r="H397" s="8">
        <f t="shared" si="114"/>
        <v>33</v>
      </c>
      <c r="I397" s="8">
        <f t="shared" si="105"/>
        <v>693</v>
      </c>
      <c r="J397" s="7">
        <f t="shared" si="106"/>
        <v>0.90963405526512331</v>
      </c>
      <c r="K397" s="7">
        <f t="shared" si="107"/>
        <v>-9.4712897421330086E-2</v>
      </c>
      <c r="L397" s="7">
        <f t="shared" si="108"/>
        <v>-8.6154076967274132E-2</v>
      </c>
      <c r="M397" s="7">
        <f t="shared" si="109"/>
        <v>9.4712897421330017E-2</v>
      </c>
      <c r="N397" s="7">
        <f t="shared" si="110"/>
        <v>3.044522437723423</v>
      </c>
      <c r="O397" s="9">
        <f t="shared" si="115"/>
        <v>20.857142857142858</v>
      </c>
      <c r="P397" s="7">
        <f t="shared" si="111"/>
        <v>6.8727182558135889E-3</v>
      </c>
    </row>
    <row r="398" spans="1:16" x14ac:dyDescent="0.25">
      <c r="A398" t="s">
        <v>94</v>
      </c>
      <c r="B398">
        <v>2024</v>
      </c>
      <c r="C398" s="5" t="str">
        <f>'1_Du_lieu'!C452</f>
        <v>ĐBSCL</v>
      </c>
      <c r="D398" s="8">
        <f>'1_Du_lieu'!E452</f>
        <v>14</v>
      </c>
      <c r="E398" s="5">
        <f t="shared" si="104"/>
        <v>0</v>
      </c>
      <c r="F398" s="9">
        <f t="shared" si="112"/>
        <v>23.086206896551722</v>
      </c>
      <c r="G398" s="5">
        <f t="shared" si="113"/>
        <v>58</v>
      </c>
      <c r="H398" s="8">
        <f t="shared" si="114"/>
        <v>8.5</v>
      </c>
      <c r="I398" s="8">
        <f t="shared" si="105"/>
        <v>119</v>
      </c>
      <c r="J398" s="7">
        <f t="shared" si="106"/>
        <v>0.60642270351008221</v>
      </c>
      <c r="K398" s="7">
        <f t="shared" si="107"/>
        <v>-0.50017800552949443</v>
      </c>
      <c r="L398" s="7">
        <f t="shared" si="108"/>
        <v>-0.30331929834947685</v>
      </c>
      <c r="M398" s="7">
        <f t="shared" si="109"/>
        <v>0.50017800552949443</v>
      </c>
      <c r="N398" s="7">
        <f t="shared" si="110"/>
        <v>2.6390573296152584</v>
      </c>
      <c r="O398" s="9">
        <f t="shared" si="115"/>
        <v>20.857142857142858</v>
      </c>
      <c r="P398" s="7">
        <f t="shared" si="111"/>
        <v>-0.26757969875137616</v>
      </c>
    </row>
    <row r="399" spans="1:16" x14ac:dyDescent="0.25">
      <c r="A399" t="s">
        <v>95</v>
      </c>
      <c r="B399">
        <v>2024</v>
      </c>
      <c r="C399" s="5" t="str">
        <f>'1_Du_lieu'!C453</f>
        <v>TDMNPB</v>
      </c>
      <c r="D399" s="8">
        <f>'1_Du_lieu'!E453</f>
        <v>22</v>
      </c>
      <c r="E399" s="5">
        <f t="shared" si="104"/>
        <v>0</v>
      </c>
      <c r="F399" s="9">
        <f t="shared" si="112"/>
        <v>23.086206896551722</v>
      </c>
      <c r="G399" s="5">
        <f t="shared" si="113"/>
        <v>58</v>
      </c>
      <c r="H399" s="8">
        <f t="shared" si="114"/>
        <v>37</v>
      </c>
      <c r="I399" s="8">
        <f t="shared" si="105"/>
        <v>814</v>
      </c>
      <c r="J399" s="7">
        <f t="shared" si="106"/>
        <v>0.95294996265870058</v>
      </c>
      <c r="K399" s="7">
        <f t="shared" si="107"/>
        <v>-4.8192881786437256E-2</v>
      </c>
      <c r="L399" s="7">
        <f t="shared" si="108"/>
        <v>-4.5925404898800551E-2</v>
      </c>
      <c r="M399" s="7">
        <f t="shared" si="109"/>
        <v>4.8192881786437165E-2</v>
      </c>
      <c r="N399" s="7">
        <f t="shared" si="110"/>
        <v>3.0910424533583161</v>
      </c>
      <c r="O399" s="9">
        <f t="shared" si="115"/>
        <v>20.857142857142858</v>
      </c>
      <c r="P399" s="7">
        <f t="shared" si="111"/>
        <v>5.6269048141199166E-2</v>
      </c>
    </row>
    <row r="400" spans="1:16" x14ac:dyDescent="0.25">
      <c r="A400" t="s">
        <v>97</v>
      </c>
      <c r="B400">
        <v>2024</v>
      </c>
      <c r="C400" s="5" t="str">
        <f>'1_Du_lieu'!C454</f>
        <v>TDMNPB</v>
      </c>
      <c r="D400" s="8">
        <f>'1_Du_lieu'!E454</f>
        <v>11</v>
      </c>
      <c r="E400" s="5">
        <f t="shared" si="104"/>
        <v>0</v>
      </c>
      <c r="F400" s="9">
        <f t="shared" si="112"/>
        <v>23.086206896551722</v>
      </c>
      <c r="G400" s="5">
        <f t="shared" si="113"/>
        <v>58</v>
      </c>
      <c r="H400" s="8">
        <f t="shared" si="114"/>
        <v>1</v>
      </c>
      <c r="I400" s="8">
        <f t="shared" si="105"/>
        <v>11</v>
      </c>
      <c r="J400" s="7">
        <f t="shared" si="106"/>
        <v>0.47647498132935029</v>
      </c>
      <c r="K400" s="7">
        <f t="shared" si="107"/>
        <v>-0.74134006234638261</v>
      </c>
      <c r="L400" s="7">
        <f t="shared" si="108"/>
        <v>-0.35322999236519204</v>
      </c>
      <c r="M400" s="7">
        <f t="shared" si="109"/>
        <v>0.7413400623463825</v>
      </c>
      <c r="N400" s="7">
        <f t="shared" si="110"/>
        <v>2.3978952727983707</v>
      </c>
      <c r="O400" s="9">
        <f t="shared" si="115"/>
        <v>20.857142857142858</v>
      </c>
      <c r="P400" s="7">
        <f t="shared" si="111"/>
        <v>-0.33742939992334414</v>
      </c>
    </row>
    <row r="401" spans="1:16" x14ac:dyDescent="0.25">
      <c r="A401" t="s">
        <v>98</v>
      </c>
      <c r="B401">
        <v>2024</v>
      </c>
      <c r="C401" s="5" t="str">
        <f>'1_Du_lieu'!C455</f>
        <v>ĐBSH</v>
      </c>
      <c r="D401" s="8">
        <f>'1_Du_lieu'!E455</f>
        <v>30</v>
      </c>
      <c r="E401" s="5">
        <f t="shared" si="104"/>
        <v>0</v>
      </c>
      <c r="F401" s="9">
        <f t="shared" si="112"/>
        <v>23.086206896551722</v>
      </c>
      <c r="G401" s="5">
        <f t="shared" si="113"/>
        <v>58</v>
      </c>
      <c r="H401" s="8">
        <f t="shared" si="114"/>
        <v>52.5</v>
      </c>
      <c r="I401" s="8">
        <f t="shared" si="105"/>
        <v>1575</v>
      </c>
      <c r="J401" s="7">
        <f t="shared" si="106"/>
        <v>1.2994772218073189</v>
      </c>
      <c r="K401" s="7">
        <f t="shared" si="107"/>
        <v>0.26196204651740224</v>
      </c>
      <c r="L401" s="7">
        <f t="shared" si="108"/>
        <v>0.34041371242739349</v>
      </c>
      <c r="M401" s="7">
        <f t="shared" si="109"/>
        <v>-0.26196204651740224</v>
      </c>
      <c r="N401" s="7">
        <f t="shared" si="110"/>
        <v>3.4011973816621555</v>
      </c>
      <c r="O401" s="9">
        <f t="shared" si="115"/>
        <v>20.857142857142858</v>
      </c>
      <c r="P401" s="7">
        <f t="shared" si="111"/>
        <v>0.52284377323231346</v>
      </c>
    </row>
    <row r="402" spans="1:16" x14ac:dyDescent="0.25">
      <c r="A402" t="s">
        <v>100</v>
      </c>
      <c r="B402">
        <v>2024</v>
      </c>
      <c r="C402" s="5" t="str">
        <f>'1_Du_lieu'!C456</f>
        <v>ĐBSCL</v>
      </c>
      <c r="D402" s="8">
        <f>'1_Du_lieu'!E456</f>
        <v>19</v>
      </c>
      <c r="E402" s="5">
        <f t="shared" si="104"/>
        <v>0</v>
      </c>
      <c r="F402" s="9">
        <f t="shared" si="112"/>
        <v>23.086206896551722</v>
      </c>
      <c r="G402" s="5">
        <f t="shared" si="113"/>
        <v>58</v>
      </c>
      <c r="H402" s="8">
        <f t="shared" si="114"/>
        <v>26</v>
      </c>
      <c r="I402" s="8">
        <f t="shared" si="105"/>
        <v>494</v>
      </c>
      <c r="J402" s="7">
        <f t="shared" si="106"/>
        <v>0.82300224047796866</v>
      </c>
      <c r="K402" s="7">
        <f t="shared" si="107"/>
        <v>-0.19479635597831269</v>
      </c>
      <c r="L402" s="7">
        <f t="shared" si="108"/>
        <v>-0.16031783740709529</v>
      </c>
      <c r="M402" s="7">
        <f t="shared" si="109"/>
        <v>0.19479635597831269</v>
      </c>
      <c r="N402" s="7">
        <f t="shared" si="110"/>
        <v>2.9444389791664403</v>
      </c>
      <c r="O402" s="9">
        <f t="shared" si="115"/>
        <v>20.857142857142858</v>
      </c>
      <c r="P402" s="7">
        <f t="shared" si="111"/>
        <v>-8.4953744066544518E-2</v>
      </c>
    </row>
    <row r="403" spans="1:16" x14ac:dyDescent="0.25">
      <c r="A403" t="s">
        <v>102</v>
      </c>
      <c r="B403">
        <v>2024</v>
      </c>
      <c r="C403" s="5" t="str">
        <f>'1_Du_lieu'!C458</f>
        <v>ĐBSCL</v>
      </c>
      <c r="D403" s="8">
        <f>'1_Du_lieu'!E458</f>
        <v>16</v>
      </c>
      <c r="E403" s="5">
        <f t="shared" si="104"/>
        <v>0</v>
      </c>
      <c r="F403" s="9">
        <f t="shared" si="112"/>
        <v>23.086206896551722</v>
      </c>
      <c r="G403" s="5">
        <f t="shared" si="113"/>
        <v>58</v>
      </c>
      <c r="H403" s="8">
        <f t="shared" si="114"/>
        <v>15.5</v>
      </c>
      <c r="I403" s="8">
        <f t="shared" si="105"/>
        <v>248</v>
      </c>
      <c r="J403" s="7">
        <f t="shared" si="106"/>
        <v>0.69305451829723674</v>
      </c>
      <c r="K403" s="7">
        <f t="shared" si="107"/>
        <v>-0.36664661290497191</v>
      </c>
      <c r="L403" s="7">
        <f t="shared" si="108"/>
        <v>-0.25410609169216875</v>
      </c>
      <c r="M403" s="7">
        <f t="shared" si="109"/>
        <v>0.36664661290497186</v>
      </c>
      <c r="N403" s="7">
        <f t="shared" si="110"/>
        <v>2.7725887222397811</v>
      </c>
      <c r="O403" s="9">
        <f t="shared" si="115"/>
        <v>20.857142857142858</v>
      </c>
      <c r="P403" s="7">
        <f t="shared" si="111"/>
        <v>-0.20337032908413083</v>
      </c>
    </row>
    <row r="404" spans="1:16" x14ac:dyDescent="0.25">
      <c r="A404" t="s">
        <v>103</v>
      </c>
      <c r="B404">
        <v>2024</v>
      </c>
      <c r="C404" s="5" t="str">
        <f>'1_Du_lieu'!C459</f>
        <v>ĐBSCL</v>
      </c>
      <c r="D404" s="8">
        <f>'1_Du_lieu'!E459</f>
        <v>28</v>
      </c>
      <c r="E404" s="5">
        <f t="shared" si="104"/>
        <v>0</v>
      </c>
      <c r="F404" s="9">
        <f t="shared" si="112"/>
        <v>23.086206896551722</v>
      </c>
      <c r="G404" s="5">
        <f t="shared" si="113"/>
        <v>58</v>
      </c>
      <c r="H404" s="8">
        <f t="shared" si="114"/>
        <v>50.5</v>
      </c>
      <c r="I404" s="8">
        <f t="shared" si="105"/>
        <v>1414</v>
      </c>
      <c r="J404" s="7">
        <f t="shared" si="106"/>
        <v>1.2128454070201644</v>
      </c>
      <c r="K404" s="7">
        <f t="shared" si="107"/>
        <v>0.19296917503045086</v>
      </c>
      <c r="L404" s="7">
        <f t="shared" si="108"/>
        <v>0.2340417776321525</v>
      </c>
      <c r="M404" s="7">
        <f t="shared" si="109"/>
        <v>-0.19296917503045086</v>
      </c>
      <c r="N404" s="7">
        <f t="shared" si="110"/>
        <v>3.3322045101752038</v>
      </c>
      <c r="O404" s="9">
        <f t="shared" si="115"/>
        <v>20.857142857142858</v>
      </c>
      <c r="P404" s="7">
        <f t="shared" si="111"/>
        <v>0.39536695448183179</v>
      </c>
    </row>
    <row r="405" spans="1:16" x14ac:dyDescent="0.25">
      <c r="A405" t="s">
        <v>104</v>
      </c>
      <c r="B405">
        <v>2024</v>
      </c>
      <c r="C405" s="5" t="str">
        <f>'1_Du_lieu'!C460</f>
        <v>TN</v>
      </c>
      <c r="D405" s="8">
        <f>'1_Du_lieu'!E460</f>
        <v>15</v>
      </c>
      <c r="E405" s="5">
        <f t="shared" si="104"/>
        <v>0</v>
      </c>
      <c r="F405" s="9">
        <f t="shared" si="112"/>
        <v>23.086206896551722</v>
      </c>
      <c r="G405" s="5">
        <f t="shared" si="113"/>
        <v>58</v>
      </c>
      <c r="H405" s="8">
        <f t="shared" si="114"/>
        <v>12.5</v>
      </c>
      <c r="I405" s="8">
        <f t="shared" si="105"/>
        <v>187.5</v>
      </c>
      <c r="J405" s="7">
        <f t="shared" si="106"/>
        <v>0.64973861090365947</v>
      </c>
      <c r="K405" s="7">
        <f t="shared" si="107"/>
        <v>-0.43118513404254305</v>
      </c>
      <c r="L405" s="7">
        <f t="shared" si="108"/>
        <v>-0.28015763003511013</v>
      </c>
      <c r="M405" s="7">
        <f t="shared" si="109"/>
        <v>0.43118513404254305</v>
      </c>
      <c r="N405" s="7">
        <f t="shared" si="110"/>
        <v>2.7080502011022101</v>
      </c>
      <c r="O405" s="9">
        <f t="shared" si="115"/>
        <v>20.857142857142858</v>
      </c>
      <c r="P405" s="7">
        <f t="shared" si="111"/>
        <v>-0.23707437337558476</v>
      </c>
    </row>
    <row r="406" spans="1:16" x14ac:dyDescent="0.25">
      <c r="A406" t="s">
        <v>107</v>
      </c>
      <c r="B406">
        <v>2024</v>
      </c>
      <c r="C406" s="5" t="str">
        <f>'1_Du_lieu'!C462</f>
        <v>ĐBSH</v>
      </c>
      <c r="D406" s="8">
        <f>'1_Du_lieu'!E462</f>
        <v>23</v>
      </c>
      <c r="E406" s="5">
        <f t="shared" si="104"/>
        <v>0</v>
      </c>
      <c r="F406" s="9">
        <f t="shared" si="112"/>
        <v>23.086206896551722</v>
      </c>
      <c r="G406" s="5">
        <f t="shared" si="113"/>
        <v>58</v>
      </c>
      <c r="H406" s="8">
        <f t="shared" si="114"/>
        <v>41</v>
      </c>
      <c r="I406" s="8">
        <f t="shared" si="105"/>
        <v>943</v>
      </c>
      <c r="J406" s="7">
        <f t="shared" si="106"/>
        <v>0.99626587005227785</v>
      </c>
      <c r="K406" s="7">
        <f t="shared" si="107"/>
        <v>-3.741119215603452E-3</v>
      </c>
      <c r="L406" s="7">
        <f t="shared" si="108"/>
        <v>-3.7271493903024682E-3</v>
      </c>
      <c r="M406" s="7">
        <f t="shared" si="109"/>
        <v>3.7411192156033284E-3</v>
      </c>
      <c r="N406" s="7">
        <f t="shared" si="110"/>
        <v>3.1354942159291497</v>
      </c>
      <c r="O406" s="9">
        <f t="shared" si="115"/>
        <v>20.857142857142858</v>
      </c>
      <c r="P406" s="7">
        <f t="shared" si="111"/>
        <v>0.1078454566264135</v>
      </c>
    </row>
    <row r="407" spans="1:16" x14ac:dyDescent="0.25">
      <c r="A407" t="s">
        <v>108</v>
      </c>
      <c r="B407">
        <v>2024</v>
      </c>
      <c r="C407" s="5" t="str">
        <f>'1_Du_lieu'!C463</f>
        <v>ĐBSH</v>
      </c>
      <c r="D407" s="8">
        <f>'1_Du_lieu'!E463</f>
        <v>84</v>
      </c>
      <c r="E407" s="5">
        <f t="shared" si="104"/>
        <v>1</v>
      </c>
      <c r="F407" s="9">
        <f t="shared" si="112"/>
        <v>23.086206896551722</v>
      </c>
      <c r="G407" s="5">
        <f t="shared" si="113"/>
        <v>58</v>
      </c>
      <c r="H407" s="8">
        <f t="shared" si="114"/>
        <v>57</v>
      </c>
      <c r="I407" s="8">
        <f t="shared" si="105"/>
        <v>4788</v>
      </c>
      <c r="J407" s="7">
        <f t="shared" si="106"/>
        <v>3.6385362210604932</v>
      </c>
      <c r="K407" s="7">
        <f t="shared" si="107"/>
        <v>1.2915814636985605</v>
      </c>
      <c r="L407" s="7">
        <f t="shared" si="108"/>
        <v>4.699465938117541</v>
      </c>
      <c r="M407" s="7">
        <f t="shared" si="109"/>
        <v>-1.2915814636985605</v>
      </c>
      <c r="N407" s="7">
        <f t="shared" si="110"/>
        <v>4.4308167988433134</v>
      </c>
      <c r="O407" s="9">
        <f t="shared" si="115"/>
        <v>20.857142857142858</v>
      </c>
      <c r="P407" s="7">
        <f t="shared" si="111"/>
        <v>0</v>
      </c>
    </row>
    <row r="408" spans="1:16" x14ac:dyDescent="0.25">
      <c r="A408" t="s">
        <v>109</v>
      </c>
      <c r="B408">
        <v>2024</v>
      </c>
      <c r="C408" s="5" t="str">
        <f>'1_Du_lieu'!C464</f>
        <v>BTB&amp;DHMT</v>
      </c>
      <c r="D408" s="8">
        <f>'1_Du_lieu'!E464</f>
        <v>18</v>
      </c>
      <c r="E408" s="5">
        <f t="shared" si="104"/>
        <v>0</v>
      </c>
      <c r="F408" s="9">
        <f t="shared" si="112"/>
        <v>23.086206896551722</v>
      </c>
      <c r="G408" s="5">
        <f t="shared" si="113"/>
        <v>58</v>
      </c>
      <c r="H408" s="8">
        <f t="shared" si="114"/>
        <v>24</v>
      </c>
      <c r="I408" s="8">
        <f t="shared" si="105"/>
        <v>432</v>
      </c>
      <c r="J408" s="7">
        <f t="shared" si="106"/>
        <v>0.77968633308439139</v>
      </c>
      <c r="K408" s="7">
        <f t="shared" si="107"/>
        <v>-0.2488635772485884</v>
      </c>
      <c r="L408" s="7">
        <f t="shared" si="108"/>
        <v>-0.19403552998321608</v>
      </c>
      <c r="M408" s="7">
        <f t="shared" si="109"/>
        <v>0.24886357724858835</v>
      </c>
      <c r="N408" s="7">
        <f t="shared" si="110"/>
        <v>2.8903717578961645</v>
      </c>
      <c r="O408" s="9">
        <f t="shared" si="115"/>
        <v>20.857142857142858</v>
      </c>
      <c r="P408" s="7">
        <f t="shared" si="111"/>
        <v>-0.12714324698194632</v>
      </c>
    </row>
    <row r="409" spans="1:16" x14ac:dyDescent="0.25">
      <c r="A409" t="s">
        <v>110</v>
      </c>
      <c r="B409">
        <v>2024</v>
      </c>
      <c r="C409" s="5" t="str">
        <f>'1_Du_lieu'!C465</f>
        <v>TDMNPB</v>
      </c>
      <c r="D409" s="8">
        <f>'1_Du_lieu'!E465</f>
        <v>14</v>
      </c>
      <c r="E409" s="5">
        <f t="shared" si="104"/>
        <v>0</v>
      </c>
      <c r="F409" s="9">
        <f t="shared" si="112"/>
        <v>23.086206896551722</v>
      </c>
      <c r="G409" s="5">
        <f t="shared" si="113"/>
        <v>58</v>
      </c>
      <c r="H409" s="8">
        <f t="shared" si="114"/>
        <v>8.5</v>
      </c>
      <c r="I409" s="8">
        <f t="shared" si="105"/>
        <v>119</v>
      </c>
      <c r="J409" s="7">
        <f t="shared" si="106"/>
        <v>0.60642270351008221</v>
      </c>
      <c r="K409" s="7">
        <f t="shared" si="107"/>
        <v>-0.50017800552949443</v>
      </c>
      <c r="L409" s="7">
        <f t="shared" si="108"/>
        <v>-0.30331929834947685</v>
      </c>
      <c r="M409" s="7">
        <f t="shared" si="109"/>
        <v>0.50017800552949443</v>
      </c>
      <c r="N409" s="7">
        <f t="shared" si="110"/>
        <v>2.6390573296152584</v>
      </c>
      <c r="O409" s="9">
        <f t="shared" si="115"/>
        <v>20.857142857142858</v>
      </c>
      <c r="P409" s="7">
        <f t="shared" si="111"/>
        <v>-0.26757969875137616</v>
      </c>
    </row>
    <row r="410" spans="1:16" x14ac:dyDescent="0.25">
      <c r="A410" t="s">
        <v>111</v>
      </c>
      <c r="B410">
        <v>2024</v>
      </c>
      <c r="C410" s="5" t="str">
        <f>'1_Du_lieu'!C466</f>
        <v>ĐBSH</v>
      </c>
      <c r="D410" s="8">
        <f>'1_Du_lieu'!E466</f>
        <v>27</v>
      </c>
      <c r="E410" s="5">
        <f t="shared" si="104"/>
        <v>0</v>
      </c>
      <c r="F410" s="9">
        <f t="shared" si="112"/>
        <v>23.086206896551722</v>
      </c>
      <c r="G410" s="5">
        <f t="shared" si="113"/>
        <v>58</v>
      </c>
      <c r="H410" s="8">
        <f t="shared" si="114"/>
        <v>49</v>
      </c>
      <c r="I410" s="8">
        <f t="shared" si="105"/>
        <v>1323</v>
      </c>
      <c r="J410" s="7">
        <f t="shared" si="106"/>
        <v>1.169529499626587</v>
      </c>
      <c r="K410" s="7">
        <f t="shared" si="107"/>
        <v>0.15660153085957593</v>
      </c>
      <c r="L410" s="7">
        <f t="shared" si="108"/>
        <v>0.18315011002695736</v>
      </c>
      <c r="M410" s="7">
        <f t="shared" si="109"/>
        <v>-0.15660153085957595</v>
      </c>
      <c r="N410" s="7">
        <f t="shared" si="110"/>
        <v>3.2958368660043291</v>
      </c>
      <c r="O410" s="9">
        <f t="shared" si="115"/>
        <v>20.857142857142858</v>
      </c>
      <c r="P410" s="7">
        <f t="shared" si="111"/>
        <v>0.33416804344792356</v>
      </c>
    </row>
    <row r="411" spans="1:16" x14ac:dyDescent="0.25">
      <c r="A411" t="s">
        <v>112</v>
      </c>
      <c r="B411">
        <v>2024</v>
      </c>
      <c r="C411" s="5" t="str">
        <f>'1_Du_lieu'!C467</f>
        <v>ĐBSH</v>
      </c>
      <c r="D411" s="8">
        <f>'1_Du_lieu'!E467</f>
        <v>21</v>
      </c>
      <c r="E411" s="5">
        <f t="shared" si="104"/>
        <v>0</v>
      </c>
      <c r="F411" s="9">
        <f t="shared" si="112"/>
        <v>23.086206896551722</v>
      </c>
      <c r="G411" s="5">
        <f t="shared" si="113"/>
        <v>58</v>
      </c>
      <c r="H411" s="8">
        <f t="shared" si="114"/>
        <v>33</v>
      </c>
      <c r="I411" s="8">
        <f t="shared" si="105"/>
        <v>693</v>
      </c>
      <c r="J411" s="7">
        <f t="shared" si="106"/>
        <v>0.90963405526512331</v>
      </c>
      <c r="K411" s="7">
        <f t="shared" si="107"/>
        <v>-9.4712897421330086E-2</v>
      </c>
      <c r="L411" s="7">
        <f t="shared" si="108"/>
        <v>-8.6154076967274132E-2</v>
      </c>
      <c r="M411" s="7">
        <f t="shared" si="109"/>
        <v>9.4712897421330017E-2</v>
      </c>
      <c r="N411" s="7">
        <f t="shared" si="110"/>
        <v>3.044522437723423</v>
      </c>
      <c r="O411" s="9">
        <f t="shared" si="115"/>
        <v>20.857142857142858</v>
      </c>
      <c r="P411" s="7">
        <f t="shared" si="111"/>
        <v>6.8727182558135889E-3</v>
      </c>
    </row>
    <row r="412" spans="1:16" x14ac:dyDescent="0.25">
      <c r="A412" t="s">
        <v>113</v>
      </c>
      <c r="B412">
        <v>2024</v>
      </c>
      <c r="C412" s="5" t="str">
        <f>'1_Du_lieu'!C468</f>
        <v>ĐBSH</v>
      </c>
      <c r="D412" s="8">
        <f>'1_Du_lieu'!E468</f>
        <v>36</v>
      </c>
      <c r="E412" s="5">
        <f t="shared" si="104"/>
        <v>0</v>
      </c>
      <c r="F412" s="9">
        <f t="shared" si="112"/>
        <v>23.086206896551722</v>
      </c>
      <c r="G412" s="5">
        <f t="shared" si="113"/>
        <v>58</v>
      </c>
      <c r="H412" s="8">
        <f t="shared" si="114"/>
        <v>54</v>
      </c>
      <c r="I412" s="8">
        <f t="shared" si="105"/>
        <v>1944</v>
      </c>
      <c r="J412" s="7">
        <f t="shared" si="106"/>
        <v>1.5593726661687828</v>
      </c>
      <c r="K412" s="7">
        <f t="shared" si="107"/>
        <v>0.44428360331135691</v>
      </c>
      <c r="L412" s="7">
        <f t="shared" si="108"/>
        <v>0.69280370703070449</v>
      </c>
      <c r="M412" s="7">
        <f t="shared" si="109"/>
        <v>-0.44428360331135697</v>
      </c>
      <c r="N412" s="7">
        <f t="shared" si="110"/>
        <v>3.5835189384561099</v>
      </c>
      <c r="O412" s="9">
        <f t="shared" si="115"/>
        <v>20.857142857142858</v>
      </c>
      <c r="P412" s="7">
        <f t="shared" si="111"/>
        <v>0.94210453001628702</v>
      </c>
    </row>
    <row r="413" spans="1:16" x14ac:dyDescent="0.25">
      <c r="A413" t="s">
        <v>114</v>
      </c>
      <c r="B413">
        <v>2024</v>
      </c>
      <c r="C413" s="5" t="str">
        <f>'1_Du_lieu'!C469</f>
        <v>ĐBSCL</v>
      </c>
      <c r="D413" s="8">
        <f>'1_Du_lieu'!E469</f>
        <v>15</v>
      </c>
      <c r="E413" s="5">
        <f t="shared" si="104"/>
        <v>0</v>
      </c>
      <c r="F413" s="9">
        <f t="shared" si="112"/>
        <v>23.086206896551722</v>
      </c>
      <c r="G413" s="5">
        <f t="shared" si="113"/>
        <v>58</v>
      </c>
      <c r="H413" s="8">
        <f t="shared" si="114"/>
        <v>12.5</v>
      </c>
      <c r="I413" s="8">
        <f t="shared" si="105"/>
        <v>187.5</v>
      </c>
      <c r="J413" s="7">
        <f t="shared" si="106"/>
        <v>0.64973861090365947</v>
      </c>
      <c r="K413" s="7">
        <f t="shared" si="107"/>
        <v>-0.43118513404254305</v>
      </c>
      <c r="L413" s="7">
        <f t="shared" si="108"/>
        <v>-0.28015763003511013</v>
      </c>
      <c r="M413" s="7">
        <f t="shared" si="109"/>
        <v>0.43118513404254305</v>
      </c>
      <c r="N413" s="7">
        <f t="shared" si="110"/>
        <v>2.7080502011022101</v>
      </c>
      <c r="O413" s="9">
        <f t="shared" si="115"/>
        <v>20.857142857142858</v>
      </c>
      <c r="P413" s="7">
        <f t="shared" si="111"/>
        <v>-0.23707437337558476</v>
      </c>
    </row>
    <row r="414" spans="1:16" x14ac:dyDescent="0.25">
      <c r="A414" t="s">
        <v>115</v>
      </c>
      <c r="B414">
        <v>2024</v>
      </c>
      <c r="C414" s="5" t="str">
        <f>'1_Du_lieu'!C470</f>
        <v>BTB&amp;DHMT</v>
      </c>
      <c r="D414" s="8">
        <f>'1_Du_lieu'!E470</f>
        <v>25</v>
      </c>
      <c r="E414" s="5">
        <f t="shared" si="104"/>
        <v>0</v>
      </c>
      <c r="F414" s="9">
        <f t="shared" si="112"/>
        <v>23.086206896551722</v>
      </c>
      <c r="G414" s="5">
        <f t="shared" si="113"/>
        <v>58</v>
      </c>
      <c r="H414" s="8">
        <f t="shared" si="114"/>
        <v>45</v>
      </c>
      <c r="I414" s="8">
        <f t="shared" si="105"/>
        <v>1125</v>
      </c>
      <c r="J414" s="7">
        <f t="shared" si="106"/>
        <v>1.0828976848394325</v>
      </c>
      <c r="K414" s="7">
        <f t="shared" si="107"/>
        <v>7.9640489723447658E-2</v>
      </c>
      <c r="L414" s="7">
        <f t="shared" si="108"/>
        <v>8.6242501941000083E-2</v>
      </c>
      <c r="M414" s="7">
        <f t="shared" si="109"/>
        <v>-7.9640489723447644E-2</v>
      </c>
      <c r="N414" s="7">
        <f t="shared" si="110"/>
        <v>3.2188758248682006</v>
      </c>
      <c r="O414" s="9">
        <f t="shared" si="115"/>
        <v>20.857142857142858</v>
      </c>
      <c r="P414" s="7">
        <f t="shared" si="111"/>
        <v>0.21716703176476757</v>
      </c>
    </row>
    <row r="415" spans="1:16" x14ac:dyDescent="0.25">
      <c r="A415" t="s">
        <v>116</v>
      </c>
      <c r="B415">
        <v>2024</v>
      </c>
      <c r="C415" s="5" t="str">
        <f>'1_Du_lieu'!C471</f>
        <v>ĐBSCL</v>
      </c>
      <c r="D415" s="8">
        <f>'1_Du_lieu'!E471</f>
        <v>17</v>
      </c>
      <c r="E415" s="5">
        <f t="shared" si="104"/>
        <v>0</v>
      </c>
      <c r="F415" s="9">
        <f t="shared" si="112"/>
        <v>23.086206896551722</v>
      </c>
      <c r="G415" s="5">
        <f t="shared" si="113"/>
        <v>58</v>
      </c>
      <c r="H415" s="8">
        <f t="shared" si="114"/>
        <v>20.5</v>
      </c>
      <c r="I415" s="8">
        <f t="shared" si="105"/>
        <v>348.5</v>
      </c>
      <c r="J415" s="7">
        <f t="shared" si="106"/>
        <v>0.73637042569081412</v>
      </c>
      <c r="K415" s="7">
        <f t="shared" si="107"/>
        <v>-0.306021991088537</v>
      </c>
      <c r="L415" s="7">
        <f t="shared" si="108"/>
        <v>-0.22534554384861652</v>
      </c>
      <c r="M415" s="7">
        <f t="shared" si="109"/>
        <v>0.30602199108853695</v>
      </c>
      <c r="N415" s="7">
        <f t="shared" si="110"/>
        <v>2.8332133440562162</v>
      </c>
      <c r="O415" s="9">
        <f t="shared" si="115"/>
        <v>20.857142857142858</v>
      </c>
      <c r="P415" s="7">
        <f t="shared" si="111"/>
        <v>-0.16666775550013732</v>
      </c>
    </row>
    <row r="416" spans="1:16" x14ac:dyDescent="0.25">
      <c r="A416" t="s">
        <v>117</v>
      </c>
      <c r="B416">
        <v>2024</v>
      </c>
      <c r="C416" s="5" t="str">
        <f>'1_Du_lieu'!C472</f>
        <v>TN</v>
      </c>
      <c r="D416" s="8">
        <f>'1_Du_lieu'!E472</f>
        <v>13</v>
      </c>
      <c r="E416" s="5">
        <f t="shared" si="104"/>
        <v>0</v>
      </c>
      <c r="F416" s="9">
        <f t="shared" si="112"/>
        <v>23.086206896551722</v>
      </c>
      <c r="G416" s="5">
        <f t="shared" si="113"/>
        <v>58</v>
      </c>
      <c r="H416" s="8">
        <f t="shared" si="114"/>
        <v>3.5</v>
      </c>
      <c r="I416" s="8">
        <f t="shared" si="105"/>
        <v>45.5</v>
      </c>
      <c r="J416" s="7">
        <f t="shared" si="106"/>
        <v>0.56310679611650494</v>
      </c>
      <c r="K416" s="7">
        <f t="shared" si="107"/>
        <v>-0.57428597768321632</v>
      </c>
      <c r="L416" s="7">
        <f t="shared" si="108"/>
        <v>-0.32338433694783059</v>
      </c>
      <c r="M416" s="7">
        <f t="shared" si="109"/>
        <v>0.57428597768321632</v>
      </c>
      <c r="N416" s="7">
        <f t="shared" si="110"/>
        <v>2.5649493574615367</v>
      </c>
      <c r="O416" s="9">
        <f t="shared" si="115"/>
        <v>20.857142857142858</v>
      </c>
      <c r="P416" s="7">
        <f t="shared" si="111"/>
        <v>-0.29465744850976211</v>
      </c>
    </row>
    <row r="417" spans="1:16" x14ac:dyDescent="0.25">
      <c r="A417" t="s">
        <v>119</v>
      </c>
      <c r="B417">
        <v>2024</v>
      </c>
      <c r="C417" s="5" t="str">
        <f>'1_Du_lieu'!C474</f>
        <v>ĐBSCL</v>
      </c>
      <c r="D417" s="8">
        <f>'1_Du_lieu'!E474</f>
        <v>22</v>
      </c>
      <c r="E417" s="5">
        <f t="shared" si="104"/>
        <v>0</v>
      </c>
      <c r="F417" s="9">
        <f t="shared" si="112"/>
        <v>23.086206896551722</v>
      </c>
      <c r="G417" s="5">
        <f t="shared" si="113"/>
        <v>58</v>
      </c>
      <c r="H417" s="8">
        <f t="shared" si="114"/>
        <v>37</v>
      </c>
      <c r="I417" s="8">
        <f t="shared" si="105"/>
        <v>814</v>
      </c>
      <c r="J417" s="7">
        <f t="shared" si="106"/>
        <v>0.95294996265870058</v>
      </c>
      <c r="K417" s="7">
        <f t="shared" si="107"/>
        <v>-4.8192881786437256E-2</v>
      </c>
      <c r="L417" s="7">
        <f t="shared" si="108"/>
        <v>-4.5925404898800551E-2</v>
      </c>
      <c r="M417" s="7">
        <f t="shared" si="109"/>
        <v>4.8192881786437165E-2</v>
      </c>
      <c r="N417" s="7">
        <f t="shared" si="110"/>
        <v>3.0910424533583161</v>
      </c>
      <c r="O417" s="9">
        <f t="shared" si="115"/>
        <v>20.857142857142858</v>
      </c>
      <c r="P417" s="7">
        <f t="shared" si="111"/>
        <v>5.6269048141199166E-2</v>
      </c>
    </row>
    <row r="418" spans="1:16" x14ac:dyDescent="0.25">
      <c r="A418" t="s">
        <v>120</v>
      </c>
      <c r="B418">
        <v>2024</v>
      </c>
      <c r="C418" s="5" t="str">
        <f>'1_Du_lieu'!C475</f>
        <v>TDMNPB</v>
      </c>
      <c r="D418" s="8">
        <f>'1_Du_lieu'!E475</f>
        <v>20</v>
      </c>
      <c r="E418" s="5">
        <f t="shared" si="104"/>
        <v>0</v>
      </c>
      <c r="F418" s="9">
        <f t="shared" si="112"/>
        <v>23.086206896551722</v>
      </c>
      <c r="G418" s="5">
        <f t="shared" si="113"/>
        <v>58</v>
      </c>
      <c r="H418" s="8">
        <f t="shared" si="114"/>
        <v>29.5</v>
      </c>
      <c r="I418" s="8">
        <f t="shared" si="105"/>
        <v>590</v>
      </c>
      <c r="J418" s="7">
        <f t="shared" si="106"/>
        <v>0.86631814787154604</v>
      </c>
      <c r="K418" s="7">
        <f t="shared" si="107"/>
        <v>-0.14350306159076204</v>
      </c>
      <c r="L418" s="7">
        <f t="shared" si="108"/>
        <v>-0.12431930653120536</v>
      </c>
      <c r="M418" s="7">
        <f t="shared" si="109"/>
        <v>0.14350306159076218</v>
      </c>
      <c r="N418" s="7">
        <f t="shared" si="110"/>
        <v>2.9957322735539909</v>
      </c>
      <c r="O418" s="9">
        <f t="shared" si="115"/>
        <v>20.857142857142858</v>
      </c>
      <c r="P418" s="7">
        <f t="shared" si="111"/>
        <v>-4.0239642971674705E-2</v>
      </c>
    </row>
    <row r="419" spans="1:16" x14ac:dyDescent="0.25">
      <c r="A419" t="s">
        <v>121</v>
      </c>
      <c r="B419">
        <v>2024</v>
      </c>
      <c r="C419" s="5" t="str">
        <f>'1_Du_lieu'!C476</f>
        <v>TN</v>
      </c>
      <c r="D419" s="8">
        <f>'1_Du_lieu'!E476</f>
        <v>26</v>
      </c>
      <c r="E419" s="5">
        <f t="shared" si="104"/>
        <v>0</v>
      </c>
      <c r="F419" s="9">
        <f t="shared" si="112"/>
        <v>23.086206896551722</v>
      </c>
      <c r="G419" s="5">
        <f t="shared" si="113"/>
        <v>58</v>
      </c>
      <c r="H419" s="8">
        <f t="shared" si="114"/>
        <v>47</v>
      </c>
      <c r="I419" s="8">
        <f t="shared" si="105"/>
        <v>1222</v>
      </c>
      <c r="J419" s="7">
        <f t="shared" si="106"/>
        <v>1.1262135922330099</v>
      </c>
      <c r="K419" s="7">
        <f t="shared" si="107"/>
        <v>0.11886120287672902</v>
      </c>
      <c r="L419" s="7">
        <f t="shared" si="108"/>
        <v>0.13386310226893755</v>
      </c>
      <c r="M419" s="7">
        <f t="shared" si="109"/>
        <v>-0.11886120287672894</v>
      </c>
      <c r="N419" s="7">
        <f t="shared" si="110"/>
        <v>3.2580965380214821</v>
      </c>
      <c r="O419" s="9">
        <f t="shared" si="115"/>
        <v>20.857142857142858</v>
      </c>
      <c r="P419" s="7">
        <f t="shared" si="111"/>
        <v>0.27474528696616096</v>
      </c>
    </row>
    <row r="420" spans="1:16" x14ac:dyDescent="0.25">
      <c r="A420" t="s">
        <v>122</v>
      </c>
      <c r="B420">
        <v>2024</v>
      </c>
      <c r="C420" s="5" t="str">
        <f>'1_Du_lieu'!C477</f>
        <v>TDMNPB</v>
      </c>
      <c r="D420" s="8">
        <f>'1_Du_lieu'!E477</f>
        <v>13</v>
      </c>
      <c r="E420" s="5">
        <f t="shared" si="104"/>
        <v>0</v>
      </c>
      <c r="F420" s="9">
        <f t="shared" si="112"/>
        <v>23.086206896551722</v>
      </c>
      <c r="G420" s="5">
        <f t="shared" si="113"/>
        <v>58</v>
      </c>
      <c r="H420" s="8">
        <f t="shared" si="114"/>
        <v>3.5</v>
      </c>
      <c r="I420" s="8">
        <f t="shared" si="105"/>
        <v>45.5</v>
      </c>
      <c r="J420" s="7">
        <f t="shared" si="106"/>
        <v>0.56310679611650494</v>
      </c>
      <c r="K420" s="7">
        <f t="shared" si="107"/>
        <v>-0.57428597768321632</v>
      </c>
      <c r="L420" s="7">
        <f t="shared" si="108"/>
        <v>-0.32338433694783059</v>
      </c>
      <c r="M420" s="7">
        <f t="shared" si="109"/>
        <v>0.57428597768321632</v>
      </c>
      <c r="N420" s="7">
        <f t="shared" si="110"/>
        <v>2.5649493574615367</v>
      </c>
      <c r="O420" s="9">
        <f t="shared" si="115"/>
        <v>20.857142857142858</v>
      </c>
      <c r="P420" s="7">
        <f t="shared" si="111"/>
        <v>-0.29465744850976211</v>
      </c>
    </row>
    <row r="421" spans="1:16" x14ac:dyDescent="0.25">
      <c r="A421" t="s">
        <v>123</v>
      </c>
      <c r="B421">
        <v>2024</v>
      </c>
      <c r="C421" s="5" t="str">
        <f>'1_Du_lieu'!C478</f>
        <v>ĐBSH</v>
      </c>
      <c r="D421" s="8">
        <f>'1_Du_lieu'!E478</f>
        <v>26</v>
      </c>
      <c r="E421" s="5">
        <f t="shared" si="104"/>
        <v>0</v>
      </c>
      <c r="F421" s="9">
        <f t="shared" si="112"/>
        <v>23.086206896551722</v>
      </c>
      <c r="G421" s="5">
        <f t="shared" si="113"/>
        <v>58</v>
      </c>
      <c r="H421" s="8">
        <f t="shared" si="114"/>
        <v>47</v>
      </c>
      <c r="I421" s="8">
        <f t="shared" si="105"/>
        <v>1222</v>
      </c>
      <c r="J421" s="7">
        <f t="shared" si="106"/>
        <v>1.1262135922330099</v>
      </c>
      <c r="K421" s="7">
        <f t="shared" si="107"/>
        <v>0.11886120287672902</v>
      </c>
      <c r="L421" s="7">
        <f t="shared" si="108"/>
        <v>0.13386310226893755</v>
      </c>
      <c r="M421" s="7">
        <f t="shared" si="109"/>
        <v>-0.11886120287672894</v>
      </c>
      <c r="N421" s="7">
        <f t="shared" si="110"/>
        <v>3.2580965380214821</v>
      </c>
      <c r="O421" s="9">
        <f t="shared" si="115"/>
        <v>20.857142857142858</v>
      </c>
      <c r="P421" s="7">
        <f t="shared" si="111"/>
        <v>0.27474528696616096</v>
      </c>
    </row>
    <row r="422" spans="1:16" x14ac:dyDescent="0.25">
      <c r="A422" t="s">
        <v>124</v>
      </c>
      <c r="B422">
        <v>2024</v>
      </c>
      <c r="C422" s="5" t="str">
        <f>'1_Du_lieu'!C479</f>
        <v>BTB&amp;DHMT</v>
      </c>
      <c r="D422" s="8">
        <f>'1_Du_lieu'!E479</f>
        <v>22</v>
      </c>
      <c r="E422" s="5">
        <f t="shared" si="104"/>
        <v>0</v>
      </c>
      <c r="F422" s="9">
        <f t="shared" si="112"/>
        <v>23.086206896551722</v>
      </c>
      <c r="G422" s="5">
        <f t="shared" si="113"/>
        <v>58</v>
      </c>
      <c r="H422" s="8">
        <f t="shared" si="114"/>
        <v>37</v>
      </c>
      <c r="I422" s="8">
        <f t="shared" si="105"/>
        <v>814</v>
      </c>
      <c r="J422" s="7">
        <f t="shared" si="106"/>
        <v>0.95294996265870058</v>
      </c>
      <c r="K422" s="7">
        <f t="shared" si="107"/>
        <v>-4.8192881786437256E-2</v>
      </c>
      <c r="L422" s="7">
        <f t="shared" si="108"/>
        <v>-4.5925404898800551E-2</v>
      </c>
      <c r="M422" s="7">
        <f t="shared" si="109"/>
        <v>4.8192881786437165E-2</v>
      </c>
      <c r="N422" s="7">
        <f t="shared" si="110"/>
        <v>3.0910424533583161</v>
      </c>
      <c r="O422" s="9">
        <f t="shared" si="115"/>
        <v>20.857142857142858</v>
      </c>
      <c r="P422" s="7">
        <f t="shared" si="111"/>
        <v>5.6269048141199166E-2</v>
      </c>
    </row>
    <row r="423" spans="1:16" x14ac:dyDescent="0.25">
      <c r="A423" t="s">
        <v>125</v>
      </c>
      <c r="B423">
        <v>2024</v>
      </c>
      <c r="C423" s="5" t="str">
        <f>'1_Du_lieu'!C480</f>
        <v>ĐBSH</v>
      </c>
      <c r="D423" s="8">
        <f>'1_Du_lieu'!E480</f>
        <v>24</v>
      </c>
      <c r="E423" s="5">
        <f t="shared" si="104"/>
        <v>0</v>
      </c>
      <c r="F423" s="9">
        <f t="shared" si="112"/>
        <v>23.086206896551722</v>
      </c>
      <c r="G423" s="5">
        <f t="shared" si="113"/>
        <v>58</v>
      </c>
      <c r="H423" s="8">
        <f t="shared" si="114"/>
        <v>43.5</v>
      </c>
      <c r="I423" s="8">
        <f t="shared" si="105"/>
        <v>1044</v>
      </c>
      <c r="J423" s="7">
        <f t="shared" si="106"/>
        <v>1.0395817774458551</v>
      </c>
      <c r="K423" s="7">
        <f t="shared" si="107"/>
        <v>3.881849520319245E-2</v>
      </c>
      <c r="L423" s="7">
        <f t="shared" si="108"/>
        <v>4.0355000241108212E-2</v>
      </c>
      <c r="M423" s="7">
        <f t="shared" si="109"/>
        <v>-3.8818495203192527E-2</v>
      </c>
      <c r="N423" s="7">
        <f t="shared" si="110"/>
        <v>3.1780538303479458</v>
      </c>
      <c r="O423" s="9">
        <f t="shared" si="115"/>
        <v>20.857142857142858</v>
      </c>
      <c r="P423" s="7">
        <f t="shared" si="111"/>
        <v>0.16150709652566417</v>
      </c>
    </row>
    <row r="424" spans="1:16" x14ac:dyDescent="0.25">
      <c r="A424" t="s">
        <v>126</v>
      </c>
      <c r="B424">
        <v>2024</v>
      </c>
      <c r="C424" s="5" t="str">
        <f>'1_Du_lieu'!C481</f>
        <v>BTB&amp;DHMT</v>
      </c>
      <c r="D424" s="8">
        <f>'1_Du_lieu'!E481</f>
        <v>17</v>
      </c>
      <c r="E424" s="5">
        <f t="shared" si="104"/>
        <v>0</v>
      </c>
      <c r="F424" s="9">
        <f t="shared" ref="F424:F449" si="116">AVERAGE($D$392:$D$449)</f>
        <v>23.086206896551722</v>
      </c>
      <c r="G424" s="5">
        <f t="shared" ref="G424:G449" si="117">COUNT($D$392:$D$449)</f>
        <v>58</v>
      </c>
      <c r="H424" s="8">
        <f t="shared" ref="H424:H449" si="118">_xlfn.RANK.AVG(D424,$D$392:$D$449,1)</f>
        <v>20.5</v>
      </c>
      <c r="I424" s="8">
        <f t="shared" si="105"/>
        <v>348.5</v>
      </c>
      <c r="J424" s="7">
        <f t="shared" si="106"/>
        <v>0.73637042569081412</v>
      </c>
      <c r="K424" s="7">
        <f t="shared" si="107"/>
        <v>-0.306021991088537</v>
      </c>
      <c r="L424" s="7">
        <f t="shared" si="108"/>
        <v>-0.22534554384861652</v>
      </c>
      <c r="M424" s="7">
        <f t="shared" si="109"/>
        <v>0.30602199108853695</v>
      </c>
      <c r="N424" s="7">
        <f t="shared" si="110"/>
        <v>2.8332133440562162</v>
      </c>
      <c r="O424" s="9">
        <f t="shared" ref="O424:O449" si="119">SUMPRODUCT((1-$E$392:$E$449)*$D$392:$D$449)/(G424-SUM($E$392:$E$449))</f>
        <v>20.857142857142858</v>
      </c>
      <c r="P424" s="7">
        <f t="shared" si="111"/>
        <v>-0.16666775550013732</v>
      </c>
    </row>
    <row r="425" spans="1:16" x14ac:dyDescent="0.25">
      <c r="A425" t="s">
        <v>127</v>
      </c>
      <c r="B425">
        <v>2024</v>
      </c>
      <c r="C425" s="5" t="str">
        <f>'1_Du_lieu'!C482</f>
        <v>TDMNPB</v>
      </c>
      <c r="D425" s="8">
        <f>'1_Du_lieu'!E482</f>
        <v>21</v>
      </c>
      <c r="E425" s="5">
        <f t="shared" si="104"/>
        <v>0</v>
      </c>
      <c r="F425" s="9">
        <f t="shared" si="116"/>
        <v>23.086206896551722</v>
      </c>
      <c r="G425" s="5">
        <f t="shared" si="117"/>
        <v>58</v>
      </c>
      <c r="H425" s="8">
        <f t="shared" si="118"/>
        <v>33</v>
      </c>
      <c r="I425" s="8">
        <f t="shared" si="105"/>
        <v>693</v>
      </c>
      <c r="J425" s="7">
        <f t="shared" si="106"/>
        <v>0.90963405526512331</v>
      </c>
      <c r="K425" s="7">
        <f t="shared" si="107"/>
        <v>-9.4712897421330086E-2</v>
      </c>
      <c r="L425" s="7">
        <f t="shared" si="108"/>
        <v>-8.6154076967274132E-2</v>
      </c>
      <c r="M425" s="7">
        <f t="shared" si="109"/>
        <v>9.4712897421330017E-2</v>
      </c>
      <c r="N425" s="7">
        <f t="shared" si="110"/>
        <v>3.044522437723423</v>
      </c>
      <c r="O425" s="9">
        <f t="shared" si="119"/>
        <v>20.857142857142858</v>
      </c>
      <c r="P425" s="7">
        <f t="shared" si="111"/>
        <v>6.8727182558135889E-3</v>
      </c>
    </row>
    <row r="426" spans="1:16" x14ac:dyDescent="0.25">
      <c r="A426" t="s">
        <v>128</v>
      </c>
      <c r="B426">
        <v>2024</v>
      </c>
      <c r="C426" s="5" t="str">
        <f>'1_Du_lieu'!C483</f>
        <v>BTB&amp;DHMT</v>
      </c>
      <c r="D426" s="8">
        <f>'1_Du_lieu'!E483</f>
        <v>16</v>
      </c>
      <c r="E426" s="5">
        <f t="shared" si="104"/>
        <v>0</v>
      </c>
      <c r="F426" s="9">
        <f t="shared" si="116"/>
        <v>23.086206896551722</v>
      </c>
      <c r="G426" s="5">
        <f t="shared" si="117"/>
        <v>58</v>
      </c>
      <c r="H426" s="8">
        <f t="shared" si="118"/>
        <v>15.5</v>
      </c>
      <c r="I426" s="8">
        <f t="shared" si="105"/>
        <v>248</v>
      </c>
      <c r="J426" s="7">
        <f t="shared" si="106"/>
        <v>0.69305451829723674</v>
      </c>
      <c r="K426" s="7">
        <f t="shared" si="107"/>
        <v>-0.36664661290497191</v>
      </c>
      <c r="L426" s="7">
        <f t="shared" si="108"/>
        <v>-0.25410609169216875</v>
      </c>
      <c r="M426" s="7">
        <f t="shared" si="109"/>
        <v>0.36664661290497186</v>
      </c>
      <c r="N426" s="7">
        <f t="shared" si="110"/>
        <v>2.7725887222397811</v>
      </c>
      <c r="O426" s="9">
        <f t="shared" si="119"/>
        <v>20.857142857142858</v>
      </c>
      <c r="P426" s="7">
        <f t="shared" si="111"/>
        <v>-0.20337032908413083</v>
      </c>
    </row>
    <row r="427" spans="1:16" x14ac:dyDescent="0.25">
      <c r="A427" t="s">
        <v>129</v>
      </c>
      <c r="B427">
        <v>2024</v>
      </c>
      <c r="C427" s="5" t="str">
        <f>'1_Du_lieu'!C484</f>
        <v>BTB&amp;DHMT</v>
      </c>
      <c r="D427" s="8">
        <f>'1_Du_lieu'!E484</f>
        <v>17</v>
      </c>
      <c r="E427" s="5">
        <f t="shared" si="104"/>
        <v>0</v>
      </c>
      <c r="F427" s="9">
        <f t="shared" si="116"/>
        <v>23.086206896551722</v>
      </c>
      <c r="G427" s="5">
        <f t="shared" si="117"/>
        <v>58</v>
      </c>
      <c r="H427" s="8">
        <f t="shared" si="118"/>
        <v>20.5</v>
      </c>
      <c r="I427" s="8">
        <f t="shared" si="105"/>
        <v>348.5</v>
      </c>
      <c r="J427" s="7">
        <f t="shared" si="106"/>
        <v>0.73637042569081412</v>
      </c>
      <c r="K427" s="7">
        <f t="shared" si="107"/>
        <v>-0.306021991088537</v>
      </c>
      <c r="L427" s="7">
        <f t="shared" si="108"/>
        <v>-0.22534554384861652</v>
      </c>
      <c r="M427" s="7">
        <f t="shared" si="109"/>
        <v>0.30602199108853695</v>
      </c>
      <c r="N427" s="7">
        <f t="shared" si="110"/>
        <v>2.8332133440562162</v>
      </c>
      <c r="O427" s="9">
        <f t="shared" si="119"/>
        <v>20.857142857142858</v>
      </c>
      <c r="P427" s="7">
        <f t="shared" si="111"/>
        <v>-0.16666775550013732</v>
      </c>
    </row>
    <row r="428" spans="1:16" x14ac:dyDescent="0.25">
      <c r="A428" t="s">
        <v>130</v>
      </c>
      <c r="B428">
        <v>2024</v>
      </c>
      <c r="C428" s="5" t="str">
        <f>'1_Du_lieu'!C485</f>
        <v>BTB&amp;DHMT</v>
      </c>
      <c r="D428" s="8">
        <f>'1_Du_lieu'!E485</f>
        <v>20</v>
      </c>
      <c r="E428" s="5">
        <f t="shared" si="104"/>
        <v>0</v>
      </c>
      <c r="F428" s="9">
        <f t="shared" si="116"/>
        <v>23.086206896551722</v>
      </c>
      <c r="G428" s="5">
        <f t="shared" si="117"/>
        <v>58</v>
      </c>
      <c r="H428" s="8">
        <f t="shared" si="118"/>
        <v>29.5</v>
      </c>
      <c r="I428" s="8">
        <f t="shared" si="105"/>
        <v>590</v>
      </c>
      <c r="J428" s="7">
        <f t="shared" si="106"/>
        <v>0.86631814787154604</v>
      </c>
      <c r="K428" s="7">
        <f t="shared" si="107"/>
        <v>-0.14350306159076204</v>
      </c>
      <c r="L428" s="7">
        <f t="shared" si="108"/>
        <v>-0.12431930653120536</v>
      </c>
      <c r="M428" s="7">
        <f t="shared" si="109"/>
        <v>0.14350306159076218</v>
      </c>
      <c r="N428" s="7">
        <f t="shared" si="110"/>
        <v>2.9957322735539909</v>
      </c>
      <c r="O428" s="9">
        <f t="shared" si="119"/>
        <v>20.857142857142858</v>
      </c>
      <c r="P428" s="7">
        <f t="shared" si="111"/>
        <v>-4.0239642971674705E-2</v>
      </c>
    </row>
    <row r="429" spans="1:16" x14ac:dyDescent="0.25">
      <c r="A429" t="s">
        <v>131</v>
      </c>
      <c r="B429">
        <v>2024</v>
      </c>
      <c r="C429" s="5" t="str">
        <f>'1_Du_lieu'!C486</f>
        <v>BTB&amp;DHMT</v>
      </c>
      <c r="D429" s="8">
        <f>'1_Du_lieu'!E486</f>
        <v>17</v>
      </c>
      <c r="E429" s="5">
        <f t="shared" si="104"/>
        <v>0</v>
      </c>
      <c r="F429" s="9">
        <f t="shared" si="116"/>
        <v>23.086206896551722</v>
      </c>
      <c r="G429" s="5">
        <f t="shared" si="117"/>
        <v>58</v>
      </c>
      <c r="H429" s="8">
        <f t="shared" si="118"/>
        <v>20.5</v>
      </c>
      <c r="I429" s="8">
        <f t="shared" si="105"/>
        <v>348.5</v>
      </c>
      <c r="J429" s="7">
        <f t="shared" si="106"/>
        <v>0.73637042569081412</v>
      </c>
      <c r="K429" s="7">
        <f t="shared" si="107"/>
        <v>-0.306021991088537</v>
      </c>
      <c r="L429" s="7">
        <f t="shared" si="108"/>
        <v>-0.22534554384861652</v>
      </c>
      <c r="M429" s="7">
        <f t="shared" si="109"/>
        <v>0.30602199108853695</v>
      </c>
      <c r="N429" s="7">
        <f t="shared" si="110"/>
        <v>2.8332133440562162</v>
      </c>
      <c r="O429" s="9">
        <f t="shared" si="119"/>
        <v>20.857142857142858</v>
      </c>
      <c r="P429" s="7">
        <f t="shared" si="111"/>
        <v>-0.16666775550013732</v>
      </c>
    </row>
    <row r="430" spans="1:16" x14ac:dyDescent="0.25">
      <c r="A430" t="s">
        <v>132</v>
      </c>
      <c r="B430">
        <v>2024</v>
      </c>
      <c r="C430" s="5" t="str">
        <f>'1_Du_lieu'!C487</f>
        <v>ĐBSH</v>
      </c>
      <c r="D430" s="8">
        <f>'1_Du_lieu'!E487</f>
        <v>26</v>
      </c>
      <c r="E430" s="5">
        <f t="shared" si="104"/>
        <v>0</v>
      </c>
      <c r="F430" s="9">
        <f t="shared" si="116"/>
        <v>23.086206896551722</v>
      </c>
      <c r="G430" s="5">
        <f t="shared" si="117"/>
        <v>58</v>
      </c>
      <c r="H430" s="8">
        <f t="shared" si="118"/>
        <v>47</v>
      </c>
      <c r="I430" s="8">
        <f t="shared" si="105"/>
        <v>1222</v>
      </c>
      <c r="J430" s="7">
        <f t="shared" si="106"/>
        <v>1.1262135922330099</v>
      </c>
      <c r="K430" s="7">
        <f t="shared" si="107"/>
        <v>0.11886120287672902</v>
      </c>
      <c r="L430" s="7">
        <f t="shared" si="108"/>
        <v>0.13386310226893755</v>
      </c>
      <c r="M430" s="7">
        <f t="shared" si="109"/>
        <v>-0.11886120287672894</v>
      </c>
      <c r="N430" s="7">
        <f t="shared" si="110"/>
        <v>3.2580965380214821</v>
      </c>
      <c r="O430" s="9">
        <f t="shared" si="119"/>
        <v>20.857142857142858</v>
      </c>
      <c r="P430" s="7">
        <f t="shared" si="111"/>
        <v>0.27474528696616096</v>
      </c>
    </row>
    <row r="431" spans="1:16" x14ac:dyDescent="0.25">
      <c r="A431" t="s">
        <v>133</v>
      </c>
      <c r="B431">
        <v>2024</v>
      </c>
      <c r="C431" s="5" t="str">
        <f>'1_Du_lieu'!C488</f>
        <v>BTB&amp;DHMT</v>
      </c>
      <c r="D431" s="8">
        <f>'1_Du_lieu'!E488</f>
        <v>17</v>
      </c>
      <c r="E431" s="5">
        <f t="shared" si="104"/>
        <v>0</v>
      </c>
      <c r="F431" s="9">
        <f t="shared" si="116"/>
        <v>23.086206896551722</v>
      </c>
      <c r="G431" s="5">
        <f t="shared" si="117"/>
        <v>58</v>
      </c>
      <c r="H431" s="8">
        <f t="shared" si="118"/>
        <v>20.5</v>
      </c>
      <c r="I431" s="8">
        <f t="shared" si="105"/>
        <v>348.5</v>
      </c>
      <c r="J431" s="7">
        <f t="shared" si="106"/>
        <v>0.73637042569081412</v>
      </c>
      <c r="K431" s="7">
        <f t="shared" si="107"/>
        <v>-0.306021991088537</v>
      </c>
      <c r="L431" s="7">
        <f t="shared" si="108"/>
        <v>-0.22534554384861652</v>
      </c>
      <c r="M431" s="7">
        <f t="shared" si="109"/>
        <v>0.30602199108853695</v>
      </c>
      <c r="N431" s="7">
        <f t="shared" si="110"/>
        <v>2.8332133440562162</v>
      </c>
      <c r="O431" s="9">
        <f t="shared" si="119"/>
        <v>20.857142857142858</v>
      </c>
      <c r="P431" s="7">
        <f t="shared" si="111"/>
        <v>-0.16666775550013732</v>
      </c>
    </row>
    <row r="432" spans="1:16" x14ac:dyDescent="0.25">
      <c r="A432" t="s">
        <v>134</v>
      </c>
      <c r="B432">
        <v>2024</v>
      </c>
      <c r="C432" s="5" t="str">
        <f>'1_Du_lieu'!C489</f>
        <v>ĐBSCL</v>
      </c>
      <c r="D432" s="8">
        <f>'1_Du_lieu'!E489</f>
        <v>14</v>
      </c>
      <c r="E432" s="5">
        <f t="shared" si="104"/>
        <v>0</v>
      </c>
      <c r="F432" s="9">
        <f t="shared" si="116"/>
        <v>23.086206896551722</v>
      </c>
      <c r="G432" s="5">
        <f t="shared" si="117"/>
        <v>58</v>
      </c>
      <c r="H432" s="8">
        <f t="shared" si="118"/>
        <v>8.5</v>
      </c>
      <c r="I432" s="8">
        <f t="shared" si="105"/>
        <v>119</v>
      </c>
      <c r="J432" s="7">
        <f t="shared" si="106"/>
        <v>0.60642270351008221</v>
      </c>
      <c r="K432" s="7">
        <f t="shared" si="107"/>
        <v>-0.50017800552949443</v>
      </c>
      <c r="L432" s="7">
        <f t="shared" si="108"/>
        <v>-0.30331929834947685</v>
      </c>
      <c r="M432" s="7">
        <f t="shared" si="109"/>
        <v>0.50017800552949443</v>
      </c>
      <c r="N432" s="7">
        <f t="shared" si="110"/>
        <v>2.6390573296152584</v>
      </c>
      <c r="O432" s="9">
        <f t="shared" si="119"/>
        <v>20.857142857142858</v>
      </c>
      <c r="P432" s="7">
        <f t="shared" si="111"/>
        <v>-0.26757969875137616</v>
      </c>
    </row>
    <row r="433" spans="1:16" x14ac:dyDescent="0.25">
      <c r="A433" t="s">
        <v>136</v>
      </c>
      <c r="B433">
        <v>2024</v>
      </c>
      <c r="C433" s="5" t="str">
        <f>'1_Du_lieu'!C491</f>
        <v>ĐNB</v>
      </c>
      <c r="D433" s="8">
        <f>'1_Du_lieu'!E491</f>
        <v>87</v>
      </c>
      <c r="E433" s="5">
        <f t="shared" si="104"/>
        <v>1</v>
      </c>
      <c r="F433" s="9">
        <f t="shared" si="116"/>
        <v>23.086206896551722</v>
      </c>
      <c r="G433" s="5">
        <f t="shared" si="117"/>
        <v>58</v>
      </c>
      <c r="H433" s="8">
        <f t="shared" si="118"/>
        <v>58</v>
      </c>
      <c r="I433" s="8">
        <f t="shared" si="105"/>
        <v>5046</v>
      </c>
      <c r="J433" s="7">
        <f t="shared" si="106"/>
        <v>3.7684839432412249</v>
      </c>
      <c r="K433" s="7">
        <f t="shared" si="107"/>
        <v>1.3266727835098306</v>
      </c>
      <c r="L433" s="7">
        <f t="shared" si="108"/>
        <v>4.9995450825919381</v>
      </c>
      <c r="M433" s="7">
        <f t="shared" si="109"/>
        <v>-1.3266727835098304</v>
      </c>
      <c r="N433" s="7">
        <f t="shared" si="110"/>
        <v>4.4659081186545837</v>
      </c>
      <c r="O433" s="9">
        <f t="shared" si="119"/>
        <v>20.857142857142858</v>
      </c>
      <c r="P433" s="7">
        <f t="shared" si="111"/>
        <v>0</v>
      </c>
    </row>
    <row r="434" spans="1:16" x14ac:dyDescent="0.25">
      <c r="A434" t="s">
        <v>137</v>
      </c>
      <c r="B434">
        <v>2024</v>
      </c>
      <c r="C434" s="5" t="str">
        <f>'1_Du_lieu'!C492</f>
        <v>BTB&amp;DHMT</v>
      </c>
      <c r="D434" s="8">
        <f>'1_Du_lieu'!E492</f>
        <v>23</v>
      </c>
      <c r="E434" s="5">
        <f t="shared" si="104"/>
        <v>0</v>
      </c>
      <c r="F434" s="9">
        <f t="shared" si="116"/>
        <v>23.086206896551722</v>
      </c>
      <c r="G434" s="5">
        <f t="shared" si="117"/>
        <v>58</v>
      </c>
      <c r="H434" s="8">
        <f t="shared" si="118"/>
        <v>41</v>
      </c>
      <c r="I434" s="8">
        <f t="shared" si="105"/>
        <v>943</v>
      </c>
      <c r="J434" s="7">
        <f t="shared" si="106"/>
        <v>0.99626587005227785</v>
      </c>
      <c r="K434" s="7">
        <f t="shared" si="107"/>
        <v>-3.741119215603452E-3</v>
      </c>
      <c r="L434" s="7">
        <f t="shared" si="108"/>
        <v>-3.7271493903024682E-3</v>
      </c>
      <c r="M434" s="7">
        <f t="shared" si="109"/>
        <v>3.7411192156033284E-3</v>
      </c>
      <c r="N434" s="7">
        <f t="shared" si="110"/>
        <v>3.1354942159291497</v>
      </c>
      <c r="O434" s="9">
        <f t="shared" si="119"/>
        <v>20.857142857142858</v>
      </c>
      <c r="P434" s="7">
        <f t="shared" si="111"/>
        <v>0.1078454566264135</v>
      </c>
    </row>
    <row r="435" spans="1:16" x14ac:dyDescent="0.25">
      <c r="A435" t="s">
        <v>138</v>
      </c>
      <c r="B435">
        <v>2024</v>
      </c>
      <c r="C435" s="5" t="str">
        <f>'1_Du_lieu'!C493</f>
        <v>ĐBSH</v>
      </c>
      <c r="D435" s="8">
        <f>'1_Du_lieu'!E493</f>
        <v>22</v>
      </c>
      <c r="E435" s="5">
        <f t="shared" si="104"/>
        <v>0</v>
      </c>
      <c r="F435" s="9">
        <f t="shared" si="116"/>
        <v>23.086206896551722</v>
      </c>
      <c r="G435" s="5">
        <f t="shared" si="117"/>
        <v>58</v>
      </c>
      <c r="H435" s="8">
        <f t="shared" si="118"/>
        <v>37</v>
      </c>
      <c r="I435" s="8">
        <f t="shared" si="105"/>
        <v>814</v>
      </c>
      <c r="J435" s="7">
        <f t="shared" si="106"/>
        <v>0.95294996265870058</v>
      </c>
      <c r="K435" s="7">
        <f t="shared" si="107"/>
        <v>-4.8192881786437256E-2</v>
      </c>
      <c r="L435" s="7">
        <f t="shared" si="108"/>
        <v>-4.5925404898800551E-2</v>
      </c>
      <c r="M435" s="7">
        <f t="shared" si="109"/>
        <v>4.8192881786437165E-2</v>
      </c>
      <c r="N435" s="7">
        <f t="shared" si="110"/>
        <v>3.0910424533583161</v>
      </c>
      <c r="O435" s="9">
        <f t="shared" si="119"/>
        <v>20.857142857142858</v>
      </c>
      <c r="P435" s="7">
        <f t="shared" si="111"/>
        <v>5.6269048141199166E-2</v>
      </c>
    </row>
    <row r="436" spans="1:16" x14ac:dyDescent="0.25">
      <c r="A436" t="s">
        <v>139</v>
      </c>
      <c r="B436">
        <v>2024</v>
      </c>
      <c r="C436" s="5" t="str">
        <f>'1_Du_lieu'!C494</f>
        <v>TDMNPB</v>
      </c>
      <c r="D436" s="8">
        <f>'1_Du_lieu'!E494</f>
        <v>20</v>
      </c>
      <c r="E436" s="5">
        <f t="shared" si="104"/>
        <v>0</v>
      </c>
      <c r="F436" s="9">
        <f t="shared" si="116"/>
        <v>23.086206896551722</v>
      </c>
      <c r="G436" s="5">
        <f t="shared" si="117"/>
        <v>58</v>
      </c>
      <c r="H436" s="8">
        <f t="shared" si="118"/>
        <v>29.5</v>
      </c>
      <c r="I436" s="8">
        <f t="shared" si="105"/>
        <v>590</v>
      </c>
      <c r="J436" s="7">
        <f t="shared" si="106"/>
        <v>0.86631814787154604</v>
      </c>
      <c r="K436" s="7">
        <f t="shared" si="107"/>
        <v>-0.14350306159076204</v>
      </c>
      <c r="L436" s="7">
        <f t="shared" si="108"/>
        <v>-0.12431930653120536</v>
      </c>
      <c r="M436" s="7">
        <f t="shared" si="109"/>
        <v>0.14350306159076218</v>
      </c>
      <c r="N436" s="7">
        <f t="shared" si="110"/>
        <v>2.9957322735539909</v>
      </c>
      <c r="O436" s="9">
        <f t="shared" si="119"/>
        <v>20.857142857142858</v>
      </c>
      <c r="P436" s="7">
        <f t="shared" si="111"/>
        <v>-4.0239642971674705E-2</v>
      </c>
    </row>
    <row r="437" spans="1:16" x14ac:dyDescent="0.25">
      <c r="A437" t="s">
        <v>140</v>
      </c>
      <c r="B437">
        <v>2024</v>
      </c>
      <c r="C437" s="5" t="str">
        <f>'1_Du_lieu'!C495</f>
        <v>BTB&amp;DHMT</v>
      </c>
      <c r="D437" s="8">
        <f>'1_Du_lieu'!E495</f>
        <v>22</v>
      </c>
      <c r="E437" s="5">
        <f t="shared" si="104"/>
        <v>0</v>
      </c>
      <c r="F437" s="9">
        <f t="shared" si="116"/>
        <v>23.086206896551722</v>
      </c>
      <c r="G437" s="5">
        <f t="shared" si="117"/>
        <v>58</v>
      </c>
      <c r="H437" s="8">
        <f t="shared" si="118"/>
        <v>37</v>
      </c>
      <c r="I437" s="8">
        <f t="shared" si="105"/>
        <v>814</v>
      </c>
      <c r="J437" s="7">
        <f t="shared" si="106"/>
        <v>0.95294996265870058</v>
      </c>
      <c r="K437" s="7">
        <f t="shared" si="107"/>
        <v>-4.8192881786437256E-2</v>
      </c>
      <c r="L437" s="7">
        <f t="shared" si="108"/>
        <v>-4.5925404898800551E-2</v>
      </c>
      <c r="M437" s="7">
        <f t="shared" si="109"/>
        <v>4.8192881786437165E-2</v>
      </c>
      <c r="N437" s="7">
        <f t="shared" si="110"/>
        <v>3.0910424533583161</v>
      </c>
      <c r="O437" s="9">
        <f t="shared" si="119"/>
        <v>20.857142857142858</v>
      </c>
      <c r="P437" s="7">
        <f t="shared" si="111"/>
        <v>5.6269048141199166E-2</v>
      </c>
    </row>
    <row r="438" spans="1:16" x14ac:dyDescent="0.25">
      <c r="A438" t="s">
        <v>141</v>
      </c>
      <c r="B438">
        <v>2024</v>
      </c>
      <c r="C438" s="5" t="str">
        <f>'1_Du_lieu'!C496</f>
        <v>ĐBSCL</v>
      </c>
      <c r="D438" s="8">
        <f>'1_Du_lieu'!E496</f>
        <v>17</v>
      </c>
      <c r="E438" s="5">
        <f t="shared" si="104"/>
        <v>0</v>
      </c>
      <c r="F438" s="9">
        <f t="shared" si="116"/>
        <v>23.086206896551722</v>
      </c>
      <c r="G438" s="5">
        <f t="shared" si="117"/>
        <v>58</v>
      </c>
      <c r="H438" s="8">
        <f t="shared" si="118"/>
        <v>20.5</v>
      </c>
      <c r="I438" s="8">
        <f t="shared" si="105"/>
        <v>348.5</v>
      </c>
      <c r="J438" s="7">
        <f t="shared" si="106"/>
        <v>0.73637042569081412</v>
      </c>
      <c r="K438" s="7">
        <f t="shared" si="107"/>
        <v>-0.306021991088537</v>
      </c>
      <c r="L438" s="7">
        <f t="shared" si="108"/>
        <v>-0.22534554384861652</v>
      </c>
      <c r="M438" s="7">
        <f t="shared" si="109"/>
        <v>0.30602199108853695</v>
      </c>
      <c r="N438" s="7">
        <f t="shared" si="110"/>
        <v>2.8332133440562162</v>
      </c>
      <c r="O438" s="9">
        <f t="shared" si="119"/>
        <v>20.857142857142858</v>
      </c>
      <c r="P438" s="7">
        <f t="shared" si="111"/>
        <v>-0.16666775550013732</v>
      </c>
    </row>
    <row r="439" spans="1:16" x14ac:dyDescent="0.25">
      <c r="A439" t="s">
        <v>142</v>
      </c>
      <c r="B439">
        <v>2024</v>
      </c>
      <c r="C439" s="5" t="str">
        <f>'1_Du_lieu'!C497</f>
        <v>ĐBSCL</v>
      </c>
      <c r="D439" s="8">
        <f>'1_Du_lieu'!E497</f>
        <v>14</v>
      </c>
      <c r="E439" s="5">
        <f t="shared" si="104"/>
        <v>0</v>
      </c>
      <c r="F439" s="9">
        <f t="shared" si="116"/>
        <v>23.086206896551722</v>
      </c>
      <c r="G439" s="5">
        <f t="shared" si="117"/>
        <v>58</v>
      </c>
      <c r="H439" s="8">
        <f t="shared" si="118"/>
        <v>8.5</v>
      </c>
      <c r="I439" s="8">
        <f t="shared" si="105"/>
        <v>119</v>
      </c>
      <c r="J439" s="7">
        <f t="shared" si="106"/>
        <v>0.60642270351008221</v>
      </c>
      <c r="K439" s="7">
        <f t="shared" si="107"/>
        <v>-0.50017800552949443</v>
      </c>
      <c r="L439" s="7">
        <f t="shared" si="108"/>
        <v>-0.30331929834947685</v>
      </c>
      <c r="M439" s="7">
        <f t="shared" si="109"/>
        <v>0.50017800552949443</v>
      </c>
      <c r="N439" s="7">
        <f t="shared" si="110"/>
        <v>2.6390573296152584</v>
      </c>
      <c r="O439" s="9">
        <f t="shared" si="119"/>
        <v>20.857142857142858</v>
      </c>
      <c r="P439" s="7">
        <f t="shared" si="111"/>
        <v>-0.26757969875137616</v>
      </c>
    </row>
    <row r="440" spans="1:16" x14ac:dyDescent="0.25">
      <c r="A440" t="s">
        <v>143</v>
      </c>
      <c r="B440">
        <v>2024</v>
      </c>
      <c r="C440" s="5" t="str">
        <f>'1_Du_lieu'!C498</f>
        <v>TDMNPB</v>
      </c>
      <c r="D440" s="8">
        <f>'1_Du_lieu'!E498</f>
        <v>13</v>
      </c>
      <c r="E440" s="5">
        <f t="shared" si="104"/>
        <v>0</v>
      </c>
      <c r="F440" s="9">
        <f t="shared" si="116"/>
        <v>23.086206896551722</v>
      </c>
      <c r="G440" s="5">
        <f t="shared" si="117"/>
        <v>58</v>
      </c>
      <c r="H440" s="8">
        <f t="shared" si="118"/>
        <v>3.5</v>
      </c>
      <c r="I440" s="8">
        <f t="shared" si="105"/>
        <v>45.5</v>
      </c>
      <c r="J440" s="7">
        <f t="shared" si="106"/>
        <v>0.56310679611650494</v>
      </c>
      <c r="K440" s="7">
        <f t="shared" si="107"/>
        <v>-0.57428597768321632</v>
      </c>
      <c r="L440" s="7">
        <f t="shared" si="108"/>
        <v>-0.32338433694783059</v>
      </c>
      <c r="M440" s="7">
        <f t="shared" si="109"/>
        <v>0.57428597768321632</v>
      </c>
      <c r="N440" s="7">
        <f t="shared" si="110"/>
        <v>2.5649493574615367</v>
      </c>
      <c r="O440" s="9">
        <f t="shared" si="119"/>
        <v>20.857142857142858</v>
      </c>
      <c r="P440" s="7">
        <f t="shared" si="111"/>
        <v>-0.29465744850976211</v>
      </c>
    </row>
    <row r="441" spans="1:16" x14ac:dyDescent="0.25">
      <c r="A441" t="s">
        <v>144</v>
      </c>
      <c r="B441">
        <v>2024</v>
      </c>
      <c r="C441" s="5" t="str">
        <f>'1_Du_lieu'!C499</f>
        <v>ĐNB</v>
      </c>
      <c r="D441" s="8">
        <f>'1_Du_lieu'!E499</f>
        <v>19</v>
      </c>
      <c r="E441" s="5">
        <f t="shared" si="104"/>
        <v>0</v>
      </c>
      <c r="F441" s="9">
        <f t="shared" si="116"/>
        <v>23.086206896551722</v>
      </c>
      <c r="G441" s="5">
        <f t="shared" si="117"/>
        <v>58</v>
      </c>
      <c r="H441" s="8">
        <f t="shared" si="118"/>
        <v>26</v>
      </c>
      <c r="I441" s="8">
        <f t="shared" si="105"/>
        <v>494</v>
      </c>
      <c r="J441" s="7">
        <f t="shared" si="106"/>
        <v>0.82300224047796866</v>
      </c>
      <c r="K441" s="7">
        <f t="shared" si="107"/>
        <v>-0.19479635597831269</v>
      </c>
      <c r="L441" s="7">
        <f t="shared" si="108"/>
        <v>-0.16031783740709529</v>
      </c>
      <c r="M441" s="7">
        <f t="shared" si="109"/>
        <v>0.19479635597831269</v>
      </c>
      <c r="N441" s="7">
        <f t="shared" si="110"/>
        <v>2.9444389791664403</v>
      </c>
      <c r="O441" s="9">
        <f t="shared" si="119"/>
        <v>20.857142857142858</v>
      </c>
      <c r="P441" s="7">
        <f t="shared" si="111"/>
        <v>-8.4953744066544518E-2</v>
      </c>
    </row>
    <row r="442" spans="1:16" x14ac:dyDescent="0.25">
      <c r="A442" t="s">
        <v>145</v>
      </c>
      <c r="B442">
        <v>2024</v>
      </c>
      <c r="C442" s="5" t="str">
        <f>'1_Du_lieu'!C500</f>
        <v>ĐBSCL</v>
      </c>
      <c r="D442" s="8">
        <f>'1_Du_lieu'!E500</f>
        <v>14</v>
      </c>
      <c r="E442" s="5">
        <f t="shared" si="104"/>
        <v>0</v>
      </c>
      <c r="F442" s="9">
        <f t="shared" si="116"/>
        <v>23.086206896551722</v>
      </c>
      <c r="G442" s="5">
        <f t="shared" si="117"/>
        <v>58</v>
      </c>
      <c r="H442" s="8">
        <f t="shared" si="118"/>
        <v>8.5</v>
      </c>
      <c r="I442" s="8">
        <f t="shared" si="105"/>
        <v>119</v>
      </c>
      <c r="J442" s="7">
        <f t="shared" si="106"/>
        <v>0.60642270351008221</v>
      </c>
      <c r="K442" s="7">
        <f t="shared" si="107"/>
        <v>-0.50017800552949443</v>
      </c>
      <c r="L442" s="7">
        <f t="shared" si="108"/>
        <v>-0.30331929834947685</v>
      </c>
      <c r="M442" s="7">
        <f t="shared" si="109"/>
        <v>0.50017800552949443</v>
      </c>
      <c r="N442" s="7">
        <f t="shared" si="110"/>
        <v>2.6390573296152584</v>
      </c>
      <c r="O442" s="9">
        <f t="shared" si="119"/>
        <v>20.857142857142858</v>
      </c>
      <c r="P442" s="7">
        <f t="shared" si="111"/>
        <v>-0.26757969875137616</v>
      </c>
    </row>
    <row r="443" spans="1:16" x14ac:dyDescent="0.25">
      <c r="A443" t="s">
        <v>146</v>
      </c>
      <c r="B443">
        <v>2024</v>
      </c>
      <c r="C443" s="5" t="str">
        <f>'1_Du_lieu'!C501</f>
        <v>ĐBSH</v>
      </c>
      <c r="D443" s="8">
        <f>'1_Du_lieu'!E501</f>
        <v>24</v>
      </c>
      <c r="E443" s="5">
        <f t="shared" si="104"/>
        <v>0</v>
      </c>
      <c r="F443" s="9">
        <f t="shared" si="116"/>
        <v>23.086206896551722</v>
      </c>
      <c r="G443" s="5">
        <f t="shared" si="117"/>
        <v>58</v>
      </c>
      <c r="H443" s="8">
        <f t="shared" si="118"/>
        <v>43.5</v>
      </c>
      <c r="I443" s="8">
        <f t="shared" si="105"/>
        <v>1044</v>
      </c>
      <c r="J443" s="7">
        <f t="shared" si="106"/>
        <v>1.0395817774458551</v>
      </c>
      <c r="K443" s="7">
        <f t="shared" si="107"/>
        <v>3.881849520319245E-2</v>
      </c>
      <c r="L443" s="7">
        <f t="shared" si="108"/>
        <v>4.0355000241108212E-2</v>
      </c>
      <c r="M443" s="7">
        <f t="shared" si="109"/>
        <v>-3.8818495203192527E-2</v>
      </c>
      <c r="N443" s="7">
        <f t="shared" si="110"/>
        <v>3.1780538303479458</v>
      </c>
      <c r="O443" s="9">
        <f t="shared" si="119"/>
        <v>20.857142857142858</v>
      </c>
      <c r="P443" s="7">
        <f t="shared" si="111"/>
        <v>0.16150709652566417</v>
      </c>
    </row>
    <row r="444" spans="1:16" x14ac:dyDescent="0.25">
      <c r="A444" t="s">
        <v>147</v>
      </c>
      <c r="B444">
        <v>2024</v>
      </c>
      <c r="C444" s="5" t="str">
        <f>'1_Du_lieu'!C502</f>
        <v>TDMNPB</v>
      </c>
      <c r="D444" s="8">
        <f>'1_Du_lieu'!E502</f>
        <v>14</v>
      </c>
      <c r="E444" s="5">
        <f t="shared" si="104"/>
        <v>0</v>
      </c>
      <c r="F444" s="9">
        <f t="shared" si="116"/>
        <v>23.086206896551722</v>
      </c>
      <c r="G444" s="5">
        <f t="shared" si="117"/>
        <v>58</v>
      </c>
      <c r="H444" s="8">
        <f t="shared" si="118"/>
        <v>8.5</v>
      </c>
      <c r="I444" s="8">
        <f t="shared" si="105"/>
        <v>119</v>
      </c>
      <c r="J444" s="7">
        <f t="shared" si="106"/>
        <v>0.60642270351008221</v>
      </c>
      <c r="K444" s="7">
        <f t="shared" si="107"/>
        <v>-0.50017800552949443</v>
      </c>
      <c r="L444" s="7">
        <f t="shared" si="108"/>
        <v>-0.30331929834947685</v>
      </c>
      <c r="M444" s="7">
        <f t="shared" si="109"/>
        <v>0.50017800552949443</v>
      </c>
      <c r="N444" s="7">
        <f t="shared" si="110"/>
        <v>2.6390573296152584</v>
      </c>
      <c r="O444" s="9">
        <f t="shared" si="119"/>
        <v>20.857142857142858</v>
      </c>
      <c r="P444" s="7">
        <f t="shared" si="111"/>
        <v>-0.26757969875137616</v>
      </c>
    </row>
    <row r="445" spans="1:16" x14ac:dyDescent="0.25">
      <c r="A445" t="s">
        <v>149</v>
      </c>
      <c r="B445">
        <v>2024</v>
      </c>
      <c r="C445" s="5" t="str">
        <f>'1_Du_lieu'!C504</f>
        <v>BTB&amp;DHMT</v>
      </c>
      <c r="D445" s="8">
        <f>'1_Du_lieu'!E504</f>
        <v>47</v>
      </c>
      <c r="E445" s="5">
        <f t="shared" si="104"/>
        <v>0</v>
      </c>
      <c r="F445" s="9">
        <f t="shared" si="116"/>
        <v>23.086206896551722</v>
      </c>
      <c r="G445" s="5">
        <f t="shared" si="117"/>
        <v>58</v>
      </c>
      <c r="H445" s="8">
        <f t="shared" si="118"/>
        <v>55</v>
      </c>
      <c r="I445" s="8">
        <f t="shared" si="105"/>
        <v>2585</v>
      </c>
      <c r="J445" s="7">
        <f t="shared" si="106"/>
        <v>2.0358476474981333</v>
      </c>
      <c r="K445" s="7">
        <f t="shared" si="107"/>
        <v>0.7109122665653056</v>
      </c>
      <c r="L445" s="7">
        <f t="shared" si="108"/>
        <v>1.4473090654645433</v>
      </c>
      <c r="M445" s="7">
        <f t="shared" si="109"/>
        <v>-0.7109122665653056</v>
      </c>
      <c r="N445" s="7">
        <f t="shared" si="110"/>
        <v>3.8501476017100584</v>
      </c>
      <c r="O445" s="9">
        <f t="shared" si="119"/>
        <v>20.857142857142858</v>
      </c>
      <c r="P445" s="7">
        <f t="shared" si="111"/>
        <v>1.8307974072586619</v>
      </c>
    </row>
    <row r="446" spans="1:16" x14ac:dyDescent="0.25">
      <c r="A446" t="s">
        <v>150</v>
      </c>
      <c r="B446">
        <v>2024</v>
      </c>
      <c r="C446" s="5" t="str">
        <f>'1_Du_lieu'!C505</f>
        <v>TN</v>
      </c>
      <c r="D446" s="8">
        <f>'1_Du_lieu'!E505</f>
        <v>23</v>
      </c>
      <c r="E446" s="5">
        <f t="shared" si="104"/>
        <v>0</v>
      </c>
      <c r="F446" s="9">
        <f t="shared" si="116"/>
        <v>23.086206896551722</v>
      </c>
      <c r="G446" s="5">
        <f t="shared" si="117"/>
        <v>58</v>
      </c>
      <c r="H446" s="8">
        <f t="shared" si="118"/>
        <v>41</v>
      </c>
      <c r="I446" s="8">
        <f t="shared" si="105"/>
        <v>943</v>
      </c>
      <c r="J446" s="7">
        <f t="shared" si="106"/>
        <v>0.99626587005227785</v>
      </c>
      <c r="K446" s="7">
        <f t="shared" si="107"/>
        <v>-3.741119215603452E-3</v>
      </c>
      <c r="L446" s="7">
        <f t="shared" si="108"/>
        <v>-3.7271493903024682E-3</v>
      </c>
      <c r="M446" s="7">
        <f t="shared" si="109"/>
        <v>3.7411192156033284E-3</v>
      </c>
      <c r="N446" s="7">
        <f t="shared" si="110"/>
        <v>3.1354942159291497</v>
      </c>
      <c r="O446" s="9">
        <f t="shared" si="119"/>
        <v>20.857142857142858</v>
      </c>
      <c r="P446" s="7">
        <f t="shared" si="111"/>
        <v>0.1078454566264135</v>
      </c>
    </row>
    <row r="447" spans="1:16" x14ac:dyDescent="0.25">
      <c r="A447" t="s">
        <v>151</v>
      </c>
      <c r="B447">
        <v>2024</v>
      </c>
      <c r="C447" s="5" t="str">
        <f>'1_Du_lieu'!C506</f>
        <v>TN</v>
      </c>
      <c r="D447" s="8">
        <f>'1_Du_lieu'!E506</f>
        <v>13</v>
      </c>
      <c r="E447" s="5">
        <f t="shared" si="104"/>
        <v>0</v>
      </c>
      <c r="F447" s="9">
        <f t="shared" si="116"/>
        <v>23.086206896551722</v>
      </c>
      <c r="G447" s="5">
        <f t="shared" si="117"/>
        <v>58</v>
      </c>
      <c r="H447" s="8">
        <f t="shared" si="118"/>
        <v>3.5</v>
      </c>
      <c r="I447" s="8">
        <f t="shared" si="105"/>
        <v>45.5</v>
      </c>
      <c r="J447" s="7">
        <f t="shared" si="106"/>
        <v>0.56310679611650494</v>
      </c>
      <c r="K447" s="7">
        <f t="shared" si="107"/>
        <v>-0.57428597768321632</v>
      </c>
      <c r="L447" s="7">
        <f t="shared" si="108"/>
        <v>-0.32338433694783059</v>
      </c>
      <c r="M447" s="7">
        <f t="shared" si="109"/>
        <v>0.57428597768321632</v>
      </c>
      <c r="N447" s="7">
        <f t="shared" si="110"/>
        <v>2.5649493574615367</v>
      </c>
      <c r="O447" s="9">
        <f t="shared" si="119"/>
        <v>20.857142857142858</v>
      </c>
      <c r="P447" s="7">
        <f t="shared" si="111"/>
        <v>-0.29465744850976211</v>
      </c>
    </row>
    <row r="448" spans="1:16" x14ac:dyDescent="0.25">
      <c r="A448" t="s">
        <v>152</v>
      </c>
      <c r="B448">
        <v>2024</v>
      </c>
      <c r="C448" s="5" t="str">
        <f>'1_Du_lieu'!C507</f>
        <v>ĐNB</v>
      </c>
      <c r="D448" s="8">
        <f>'1_Du_lieu'!E507</f>
        <v>30</v>
      </c>
      <c r="E448" s="5">
        <f t="shared" si="104"/>
        <v>0</v>
      </c>
      <c r="F448" s="9">
        <f t="shared" si="116"/>
        <v>23.086206896551722</v>
      </c>
      <c r="G448" s="5">
        <f t="shared" si="117"/>
        <v>58</v>
      </c>
      <c r="H448" s="8">
        <f t="shared" si="118"/>
        <v>52.5</v>
      </c>
      <c r="I448" s="8">
        <f t="shared" si="105"/>
        <v>1575</v>
      </c>
      <c r="J448" s="7">
        <f t="shared" si="106"/>
        <v>1.2994772218073189</v>
      </c>
      <c r="K448" s="7">
        <f t="shared" si="107"/>
        <v>0.26196204651740224</v>
      </c>
      <c r="L448" s="7">
        <f t="shared" si="108"/>
        <v>0.34041371242739349</v>
      </c>
      <c r="M448" s="7">
        <f t="shared" si="109"/>
        <v>-0.26196204651740224</v>
      </c>
      <c r="N448" s="7">
        <f t="shared" si="110"/>
        <v>3.4011973816621555</v>
      </c>
      <c r="O448" s="9">
        <f t="shared" si="119"/>
        <v>20.857142857142858</v>
      </c>
      <c r="P448" s="7">
        <f t="shared" si="111"/>
        <v>0.52284377323231346</v>
      </c>
    </row>
    <row r="449" spans="1:16" x14ac:dyDescent="0.25">
      <c r="A449" t="s">
        <v>153</v>
      </c>
      <c r="B449">
        <v>2024</v>
      </c>
      <c r="C449" s="5" t="str">
        <f>'1_Du_lieu'!C508</f>
        <v>ĐBSCL</v>
      </c>
      <c r="D449" s="8">
        <f>'1_Du_lieu'!E508</f>
        <v>19</v>
      </c>
      <c r="E449" s="5">
        <f t="shared" si="104"/>
        <v>0</v>
      </c>
      <c r="F449" s="9">
        <f t="shared" si="116"/>
        <v>23.086206896551722</v>
      </c>
      <c r="G449" s="5">
        <f t="shared" si="117"/>
        <v>58</v>
      </c>
      <c r="H449" s="8">
        <f t="shared" si="118"/>
        <v>26</v>
      </c>
      <c r="I449" s="8">
        <f t="shared" si="105"/>
        <v>494</v>
      </c>
      <c r="J449" s="7">
        <f t="shared" si="106"/>
        <v>0.82300224047796866</v>
      </c>
      <c r="K449" s="7">
        <f t="shared" si="107"/>
        <v>-0.19479635597831269</v>
      </c>
      <c r="L449" s="7">
        <f t="shared" si="108"/>
        <v>-0.16031783740709529</v>
      </c>
      <c r="M449" s="7">
        <f t="shared" si="109"/>
        <v>0.19479635597831269</v>
      </c>
      <c r="N449" s="7">
        <f t="shared" si="110"/>
        <v>2.9444389791664403</v>
      </c>
      <c r="O449" s="9">
        <f t="shared" si="119"/>
        <v>20.857142857142858</v>
      </c>
      <c r="P449" s="7">
        <f t="shared" si="111"/>
        <v>-8.4953744066544518E-2</v>
      </c>
    </row>
    <row r="452" spans="1:16" x14ac:dyDescent="0.25">
      <c r="A452" s="10" t="s">
        <v>235</v>
      </c>
    </row>
    <row r="453" spans="1:16" ht="32.1" customHeight="1" x14ac:dyDescent="0.25">
      <c r="A453" s="3" t="s">
        <v>53</v>
      </c>
      <c r="B453" s="3" t="s">
        <v>188</v>
      </c>
      <c r="C453" s="3" t="s">
        <v>236</v>
      </c>
      <c r="D453" s="3" t="s">
        <v>237</v>
      </c>
      <c r="E453" s="3" t="s">
        <v>238</v>
      </c>
      <c r="F453" s="3" t="s">
        <v>239</v>
      </c>
      <c r="G453" s="3" t="s">
        <v>240</v>
      </c>
      <c r="H453" s="3" t="s">
        <v>241</v>
      </c>
      <c r="I453" s="3" t="s">
        <v>242</v>
      </c>
      <c r="J453" s="3" t="s">
        <v>243</v>
      </c>
      <c r="K453" s="3" t="s">
        <v>244</v>
      </c>
      <c r="L453" s="3" t="s">
        <v>245</v>
      </c>
      <c r="M453" s="3" t="s">
        <v>246</v>
      </c>
      <c r="N453" s="3" t="s">
        <v>247</v>
      </c>
      <c r="O453" s="3" t="s">
        <v>248</v>
      </c>
      <c r="P453" s="3" t="s">
        <v>249</v>
      </c>
    </row>
    <row r="454" spans="1:16" x14ac:dyDescent="0.25">
      <c r="A454">
        <v>2017</v>
      </c>
      <c r="B454" t="s">
        <v>88</v>
      </c>
      <c r="C454" s="5">
        <f t="shared" ref="C454:C459" si="120">COUNTIFS($C$5:$C$58,B454)</f>
        <v>6</v>
      </c>
      <c r="D454" s="9">
        <f t="shared" ref="D454:D459" si="121">AVERAGEIFS($D$5:$D$58,$C$5:$C$58,B454)</f>
        <v>41.816666666666663</v>
      </c>
      <c r="E454" s="7">
        <f>C454/G5*D454/F5</f>
        <v>0.14912332838038628</v>
      </c>
      <c r="F454" s="7">
        <f t="shared" ref="F454:F459" si="122">SUMPRODUCT(($C$5:$C$58=B454)*($D$5:$D$58/D454)*LN($D$5:$D$58/D454))/C454</f>
        <v>7.7526681539671086E-2</v>
      </c>
      <c r="G454" s="7">
        <f t="shared" ref="G454:G501" si="123">E454*F454</f>
        <v>1.1561036789482003E-2</v>
      </c>
      <c r="H454" s="7">
        <f>LN(D454/F5)</f>
        <v>0.29424296918971282</v>
      </c>
      <c r="I454" s="7">
        <f t="shared" ref="I454:I501" si="124">E454*H454</f>
        <v>4.3878490918097424E-2</v>
      </c>
      <c r="J454" s="7">
        <f>C454/G5</f>
        <v>0.1111111111111111</v>
      </c>
      <c r="K454" s="7">
        <f t="shared" ref="K454:K459" si="125">SUMPRODUCT(($C$5:$C$58=B454)*LN(D454/$D$5:$D$58))/C454</f>
        <v>7.2257285287277498E-2</v>
      </c>
      <c r="L454" s="7">
        <f t="shared" ref="L454:L501" si="126">J454*K454</f>
        <v>8.0285872541419438E-3</v>
      </c>
      <c r="M454" s="7">
        <f>J454*LN(F5/D454)</f>
        <v>-3.2693663243301432E-2</v>
      </c>
      <c r="N454" s="5">
        <f t="shared" ref="N454:N459" si="127">COUNTIFS($C$5:$C$58,B454,$E$5:$E$58,0)</f>
        <v>5</v>
      </c>
      <c r="O454" s="9">
        <f t="shared" ref="O454:O459" si="128">AVERAGEIFS($D$5:$D$58,$C$5:$C$58,B454,$E$5:$E$58,0)</f>
        <v>34.46</v>
      </c>
      <c r="P454" s="7">
        <f>(N454/(G5-SUM($E$5:$E$58)))*(O454/O5)*LN(O454/O5)</f>
        <v>1.7957551951548224E-2</v>
      </c>
    </row>
    <row r="455" spans="1:16" x14ac:dyDescent="0.25">
      <c r="A455">
        <v>2017</v>
      </c>
      <c r="B455" t="s">
        <v>99</v>
      </c>
      <c r="C455" s="5">
        <f t="shared" si="120"/>
        <v>11</v>
      </c>
      <c r="D455" s="9">
        <f t="shared" si="121"/>
        <v>36.927272727272729</v>
      </c>
      <c r="E455" s="7">
        <f>C455/G5*D455/F5</f>
        <v>0.24142644873699848</v>
      </c>
      <c r="F455" s="7">
        <f t="shared" si="122"/>
        <v>5.0786568257326185E-2</v>
      </c>
      <c r="G455" s="7">
        <f t="shared" si="123"/>
        <v>1.2261220817905434E-2</v>
      </c>
      <c r="H455" s="7">
        <f>LN(D455/F5)</f>
        <v>0.16989836139330514</v>
      </c>
      <c r="I455" s="7">
        <f t="shared" si="124"/>
        <v>4.1017958037420824E-2</v>
      </c>
      <c r="J455" s="7">
        <f>C455/G5</f>
        <v>0.20370370370370369</v>
      </c>
      <c r="K455" s="7">
        <f t="shared" si="125"/>
        <v>4.3471053413692867E-2</v>
      </c>
      <c r="L455" s="7">
        <f t="shared" si="126"/>
        <v>8.8552145842707691E-3</v>
      </c>
      <c r="M455" s="7">
        <f>J455*LN(F5/D455)</f>
        <v>-3.4608925469006603E-2</v>
      </c>
      <c r="N455" s="5">
        <f t="shared" si="127"/>
        <v>10</v>
      </c>
      <c r="O455" s="9">
        <f t="shared" si="128"/>
        <v>33.040000000000006</v>
      </c>
      <c r="P455" s="7">
        <f>(N455/(G5-SUM($E$5:$E$58)))*(O455/O5)*LN(O455/O5)</f>
        <v>2.5336703702268804E-2</v>
      </c>
    </row>
    <row r="456" spans="1:16" x14ac:dyDescent="0.25">
      <c r="A456">
        <v>2017</v>
      </c>
      <c r="B456" t="s">
        <v>92</v>
      </c>
      <c r="C456" s="5">
        <f t="shared" si="120"/>
        <v>14</v>
      </c>
      <c r="D456" s="9">
        <f t="shared" si="121"/>
        <v>30.207142857142859</v>
      </c>
      <c r="E456" s="7">
        <f>C456/G5*D456/F5</f>
        <v>0.25135215453194648</v>
      </c>
      <c r="F456" s="7">
        <f t="shared" si="122"/>
        <v>2.2338378405665531E-2</v>
      </c>
      <c r="G456" s="7">
        <f t="shared" si="123"/>
        <v>5.6147995410139387E-3</v>
      </c>
      <c r="H456" s="7">
        <f>LN(D456/F5)</f>
        <v>-3.097360009142423E-2</v>
      </c>
      <c r="I456" s="7">
        <f t="shared" si="124"/>
        <v>-7.7852811165903743E-3</v>
      </c>
      <c r="J456" s="7">
        <f>C456/G5</f>
        <v>0.25925925925925924</v>
      </c>
      <c r="K456" s="7">
        <f t="shared" si="125"/>
        <v>1.983002124005093E-2</v>
      </c>
      <c r="L456" s="7">
        <f t="shared" si="126"/>
        <v>5.1411166177909818E-3</v>
      </c>
      <c r="M456" s="7">
        <f>J456*LN(F5/D456)</f>
        <v>8.0301926162951818E-3</v>
      </c>
      <c r="N456" s="5">
        <f t="shared" si="127"/>
        <v>14</v>
      </c>
      <c r="O456" s="9">
        <f t="shared" si="128"/>
        <v>30.207142857142859</v>
      </c>
      <c r="P456" s="7">
        <f>(N456/(G5-SUM($E$5:$E$58)))*(O456/O5)*LN(O456/O5)</f>
        <v>7.6221410512694685E-3</v>
      </c>
    </row>
    <row r="457" spans="1:16" x14ac:dyDescent="0.25">
      <c r="A457">
        <v>2017</v>
      </c>
      <c r="B457" t="s">
        <v>86</v>
      </c>
      <c r="C457" s="5">
        <f t="shared" si="120"/>
        <v>9</v>
      </c>
      <c r="D457" s="9">
        <f t="shared" si="121"/>
        <v>27.666666666666668</v>
      </c>
      <c r="E457" s="7">
        <f>C457/G5*D457/F5</f>
        <v>0.14799405646359581</v>
      </c>
      <c r="F457" s="7">
        <f t="shared" si="122"/>
        <v>9.5678253185632889E-3</v>
      </c>
      <c r="G457" s="7">
        <f t="shared" si="123"/>
        <v>1.415981280429277E-3</v>
      </c>
      <c r="H457" s="7">
        <f>LN(D457/F5)</f>
        <v>-0.1188236958261203</v>
      </c>
      <c r="I457" s="7">
        <f t="shared" si="124"/>
        <v>-1.7585200749303982E-2</v>
      </c>
      <c r="J457" s="7">
        <f>C457/G5</f>
        <v>0.16666666666666666</v>
      </c>
      <c r="K457" s="7">
        <f t="shared" si="125"/>
        <v>9.3206661582472226E-3</v>
      </c>
      <c r="L457" s="7">
        <f t="shared" si="126"/>
        <v>1.5534443597078704E-3</v>
      </c>
      <c r="M457" s="7">
        <f>J457*LN(F5/D457)</f>
        <v>1.9803949304353377E-2</v>
      </c>
      <c r="N457" s="5">
        <f t="shared" si="127"/>
        <v>9</v>
      </c>
      <c r="O457" s="9">
        <f t="shared" si="128"/>
        <v>27.666666666666668</v>
      </c>
      <c r="P457" s="7">
        <f>(N457/(G5-SUM($E$5:$E$58)))*(O457/O5)*LN(O457/O5)</f>
        <v>-9.8270959691268422E-3</v>
      </c>
    </row>
    <row r="458" spans="1:16" x14ac:dyDescent="0.25">
      <c r="A458">
        <v>2017</v>
      </c>
      <c r="B458" t="s">
        <v>105</v>
      </c>
      <c r="C458" s="5">
        <f t="shared" si="120"/>
        <v>5</v>
      </c>
      <c r="D458" s="9">
        <f t="shared" si="121"/>
        <v>25.479999999999997</v>
      </c>
      <c r="E458" s="7">
        <f>C458/G5*D458/F5</f>
        <v>7.572065378900443E-2</v>
      </c>
      <c r="F458" s="7">
        <f t="shared" si="122"/>
        <v>2.4817804025853486E-3</v>
      </c>
      <c r="G458" s="7">
        <f t="shared" si="123"/>
        <v>1.8792203464450122E-4</v>
      </c>
      <c r="H458" s="7">
        <f>LN(D458/F5)</f>
        <v>-0.2011581842506461</v>
      </c>
      <c r="I458" s="7">
        <f t="shared" si="124"/>
        <v>-1.5231829226467937E-2</v>
      </c>
      <c r="J458" s="7">
        <f>C458/G5</f>
        <v>9.2592592592592587E-2</v>
      </c>
      <c r="K458" s="7">
        <f t="shared" si="125"/>
        <v>2.460457882358766E-3</v>
      </c>
      <c r="L458" s="7">
        <f t="shared" si="126"/>
        <v>2.2782017429247832E-4</v>
      </c>
      <c r="M458" s="7">
        <f>J458*LN(F5/D458)</f>
        <v>1.862575780098575E-2</v>
      </c>
      <c r="N458" s="5">
        <f t="shared" si="127"/>
        <v>5</v>
      </c>
      <c r="O458" s="9">
        <f t="shared" si="128"/>
        <v>25.479999999999997</v>
      </c>
      <c r="P458" s="7">
        <f>(N458/(G5-SUM($E$5:$E$58)))*(O458/O5)*LN(O458/O5)</f>
        <v>-1.1892350492578823E-2</v>
      </c>
    </row>
    <row r="459" spans="1:16" x14ac:dyDescent="0.25">
      <c r="A459">
        <v>2017</v>
      </c>
      <c r="B459" t="s">
        <v>96</v>
      </c>
      <c r="C459" s="5">
        <f t="shared" si="120"/>
        <v>9</v>
      </c>
      <c r="D459" s="9">
        <f t="shared" si="121"/>
        <v>25.12222222222222</v>
      </c>
      <c r="E459" s="7">
        <f>C459/G5*D459/F5</f>
        <v>0.13438335809806831</v>
      </c>
      <c r="F459" s="7">
        <f t="shared" si="122"/>
        <v>5.6477390369879775E-3</v>
      </c>
      <c r="G459" s="7">
        <f t="shared" si="123"/>
        <v>7.5896213745199484E-4</v>
      </c>
      <c r="H459" s="7">
        <f>LN(D459/F5)</f>
        <v>-0.21529921300690394</v>
      </c>
      <c r="I459" s="7">
        <f t="shared" si="124"/>
        <v>-2.8932631239739059E-2</v>
      </c>
      <c r="J459" s="7">
        <f>C459/G5</f>
        <v>0.16666666666666666</v>
      </c>
      <c r="K459" s="7">
        <f t="shared" si="125"/>
        <v>5.6080308200284557E-3</v>
      </c>
      <c r="L459" s="7">
        <f t="shared" si="126"/>
        <v>9.3467180333807595E-4</v>
      </c>
      <c r="M459" s="7">
        <f>J459*LN(F5/D459)</f>
        <v>3.5883202167817332E-2</v>
      </c>
      <c r="N459" s="5">
        <f t="shared" si="127"/>
        <v>9</v>
      </c>
      <c r="O459" s="9">
        <f t="shared" si="128"/>
        <v>25.12222222222222</v>
      </c>
      <c r="P459" s="7">
        <f>(N459/(G5-SUM($E$5:$E$58)))*(O459/O5)*LN(O459/O5)</f>
        <v>-2.3197983116129972E-2</v>
      </c>
    </row>
    <row r="460" spans="1:16" x14ac:dyDescent="0.25">
      <c r="A460">
        <v>2018</v>
      </c>
      <c r="B460" t="s">
        <v>88</v>
      </c>
      <c r="C460" s="5">
        <f t="shared" ref="C460:C465" si="129">COUNTIFS($C$59:$C$112,B460)</f>
        <v>6</v>
      </c>
      <c r="D460" s="9">
        <f t="shared" ref="D460:D465" si="130">AVERAGEIFS($D$59:$D$112,$C$59:$C$112,B460)</f>
        <v>48.25</v>
      </c>
      <c r="E460" s="7">
        <f>C460/G59*D460/F59</f>
        <v>0.1428571428571429</v>
      </c>
      <c r="F460" s="7">
        <f t="shared" ref="F460:F465" si="131">SUMPRODUCT(($C$59:$C$112=B460)*($D$59:$D$112/D460)*LN($D$59:$D$112/D460))/C460</f>
        <v>5.7521859977991384E-2</v>
      </c>
      <c r="G460" s="7">
        <f t="shared" si="123"/>
        <v>8.2174085682844861E-3</v>
      </c>
      <c r="H460" s="7">
        <f>LN(D460/F59)</f>
        <v>0.2513144282809065</v>
      </c>
      <c r="I460" s="7">
        <f t="shared" si="124"/>
        <v>3.5902061182986653E-2</v>
      </c>
      <c r="J460" s="7">
        <f>C460/G59</f>
        <v>0.1111111111111111</v>
      </c>
      <c r="K460" s="7">
        <f t="shared" ref="K460:K465" si="132">SUMPRODUCT(($C$59:$C$112=B460)*LN(D460/$D$59:$D$112))/C460</f>
        <v>5.6127170595936443E-2</v>
      </c>
      <c r="L460" s="7">
        <f t="shared" si="126"/>
        <v>6.2363522884373822E-3</v>
      </c>
      <c r="M460" s="7">
        <f>J460*LN(F59/D460)</f>
        <v>-2.7923825364545164E-2</v>
      </c>
      <c r="N460" s="5">
        <f t="shared" ref="N460:N465" si="133">COUNTIFS($C$59:$C$112,B460,$E$59:$E$112,0)</f>
        <v>5</v>
      </c>
      <c r="O460" s="9">
        <f t="shared" ref="O460:O465" si="134">AVERAGEIFS($D$59:$D$112,$C$59:$C$112,B460,$E$59:$E$112,0)</f>
        <v>41.48</v>
      </c>
      <c r="P460" s="7">
        <f>(N460/(G59-SUM($E$59:$E$112)))*(O460/O59)*LN(O460/O59)</f>
        <v>1.6201055569358275E-2</v>
      </c>
    </row>
    <row r="461" spans="1:16" x14ac:dyDescent="0.25">
      <c r="A461">
        <v>2018</v>
      </c>
      <c r="B461" t="s">
        <v>99</v>
      </c>
      <c r="C461" s="5">
        <f t="shared" si="129"/>
        <v>11</v>
      </c>
      <c r="D461" s="9">
        <f t="shared" si="130"/>
        <v>44.081818181818186</v>
      </c>
      <c r="E461" s="7">
        <f>C461/G59*D461/F59</f>
        <v>0.23927954601529738</v>
      </c>
      <c r="F461" s="7">
        <f t="shared" si="131"/>
        <v>3.5841107063470053E-2</v>
      </c>
      <c r="G461" s="7">
        <f t="shared" si="123"/>
        <v>8.576043826832783E-3</v>
      </c>
      <c r="H461" s="7">
        <f>LN(D461/F59)</f>
        <v>0.16096601180884762</v>
      </c>
      <c r="I461" s="7">
        <f t="shared" si="124"/>
        <v>3.8515874229514059E-2</v>
      </c>
      <c r="J461" s="7">
        <f>C461/G59</f>
        <v>0.20370370370370369</v>
      </c>
      <c r="K461" s="7">
        <f t="shared" si="132"/>
        <v>3.2015118639137023E-2</v>
      </c>
      <c r="L461" s="7">
        <f t="shared" si="126"/>
        <v>6.5215982413056898E-3</v>
      </c>
      <c r="M461" s="7">
        <f>J461*LN(F59/D461)</f>
        <v>-3.2789372775876381E-2</v>
      </c>
      <c r="N461" s="5">
        <f t="shared" si="133"/>
        <v>10</v>
      </c>
      <c r="O461" s="9">
        <f t="shared" si="134"/>
        <v>40.510000000000005</v>
      </c>
      <c r="P461" s="7">
        <f>(N461/(G59-SUM($E$59:$E$112)))*(O461/O59)*LN(O461/O59)</f>
        <v>2.6503513014820387E-2</v>
      </c>
    </row>
    <row r="462" spans="1:16" x14ac:dyDescent="0.25">
      <c r="A462">
        <v>2018</v>
      </c>
      <c r="B462" t="s">
        <v>92</v>
      </c>
      <c r="C462" s="5">
        <f t="shared" si="129"/>
        <v>14</v>
      </c>
      <c r="D462" s="9">
        <f t="shared" si="130"/>
        <v>35.93571428571429</v>
      </c>
      <c r="E462" s="7">
        <f>C462/G59*D462/F59</f>
        <v>0.24826054774241316</v>
      </c>
      <c r="F462" s="7">
        <f t="shared" si="131"/>
        <v>1.3080433772698482E-2</v>
      </c>
      <c r="G462" s="7">
        <f t="shared" si="123"/>
        <v>3.247355653118485E-3</v>
      </c>
      <c r="H462" s="7">
        <f>LN(D462/F59)</f>
        <v>-4.3349771622074089E-2</v>
      </c>
      <c r="I462" s="7">
        <f t="shared" si="124"/>
        <v>-1.0762038047404632E-2</v>
      </c>
      <c r="J462" s="7">
        <f>C462/G59</f>
        <v>0.25925925925925924</v>
      </c>
      <c r="K462" s="7">
        <f t="shared" si="132"/>
        <v>1.2307440557036638E-2</v>
      </c>
      <c r="L462" s="7">
        <f t="shared" si="126"/>
        <v>3.1908179221946838E-3</v>
      </c>
      <c r="M462" s="7">
        <f>J462*LN(F59/D462)</f>
        <v>1.1238829679796988E-2</v>
      </c>
      <c r="N462" s="5">
        <f t="shared" si="133"/>
        <v>14</v>
      </c>
      <c r="O462" s="9">
        <f t="shared" si="134"/>
        <v>35.93571428571429</v>
      </c>
      <c r="P462" s="7">
        <f>(N462/(G59-SUM($E$59:$E$112)))*(O462/O59)*LN(O462/O59)</f>
        <v>5.8645028193021103E-4</v>
      </c>
    </row>
    <row r="463" spans="1:16" x14ac:dyDescent="0.25">
      <c r="A463">
        <v>2018</v>
      </c>
      <c r="B463" t="s">
        <v>86</v>
      </c>
      <c r="C463" s="5">
        <f t="shared" si="129"/>
        <v>9</v>
      </c>
      <c r="D463" s="9">
        <f t="shared" si="130"/>
        <v>33.822222222222223</v>
      </c>
      <c r="E463" s="7">
        <f>C463/G59*D463/F59</f>
        <v>0.15020972119417719</v>
      </c>
      <c r="F463" s="7">
        <f t="shared" si="131"/>
        <v>4.7293540959696193E-3</v>
      </c>
      <c r="G463" s="7">
        <f t="shared" si="123"/>
        <v>7.1039496018413645E-4</v>
      </c>
      <c r="H463" s="7">
        <f>LN(D463/F59)</f>
        <v>-0.10396335085277708</v>
      </c>
      <c r="I463" s="7">
        <f t="shared" si="124"/>
        <v>-1.5616305946008069E-2</v>
      </c>
      <c r="J463" s="7">
        <f>C463/G59</f>
        <v>0.16666666666666666</v>
      </c>
      <c r="K463" s="7">
        <f t="shared" si="132"/>
        <v>4.6681229259892343E-3</v>
      </c>
      <c r="L463" s="7">
        <f t="shared" si="126"/>
        <v>7.7802048766487239E-4</v>
      </c>
      <c r="M463" s="7">
        <f>J463*LN(F59/D463)</f>
        <v>1.7327225142129532E-2</v>
      </c>
      <c r="N463" s="5">
        <f t="shared" si="133"/>
        <v>9</v>
      </c>
      <c r="O463" s="9">
        <f t="shared" si="134"/>
        <v>33.822222222222223</v>
      </c>
      <c r="P463" s="7">
        <f>(N463/(G59-SUM($E$59:$E$112)))*(O463/O59)*LN(O463/O59)</f>
        <v>-9.540467485427211E-3</v>
      </c>
    </row>
    <row r="464" spans="1:16" x14ac:dyDescent="0.25">
      <c r="A464">
        <v>2018</v>
      </c>
      <c r="B464" t="s">
        <v>105</v>
      </c>
      <c r="C464" s="5">
        <f t="shared" si="129"/>
        <v>5</v>
      </c>
      <c r="D464" s="9">
        <f t="shared" si="130"/>
        <v>31.78</v>
      </c>
      <c r="E464" s="7">
        <f>C464/G59*D464/F59</f>
        <v>7.841105354058725E-2</v>
      </c>
      <c r="F464" s="7">
        <f t="shared" si="131"/>
        <v>3.3657239865764977E-3</v>
      </c>
      <c r="G464" s="7">
        <f t="shared" si="123"/>
        <v>2.6390996371428854E-4</v>
      </c>
      <c r="H464" s="7">
        <f>LN(D464/F59)</f>
        <v>-0.16624423839551852</v>
      </c>
      <c r="I464" s="7">
        <f t="shared" si="124"/>
        <v>-1.3035385877645153E-2</v>
      </c>
      <c r="J464" s="7">
        <f>C464/G59</f>
        <v>9.2592592592592587E-2</v>
      </c>
      <c r="K464" s="7">
        <f t="shared" si="132"/>
        <v>3.328306812701895E-3</v>
      </c>
      <c r="L464" s="7">
        <f t="shared" si="126"/>
        <v>3.0817655673165694E-4</v>
      </c>
      <c r="M464" s="7">
        <f>J464*LN(F59/D464)</f>
        <v>1.539298503662209E-2</v>
      </c>
      <c r="N464" s="5">
        <f t="shared" si="133"/>
        <v>5</v>
      </c>
      <c r="O464" s="9">
        <f t="shared" si="134"/>
        <v>31.78</v>
      </c>
      <c r="P464" s="7">
        <f>(N464/(G59-SUM($E$59:$E$112)))*(O464/O59)*LN(O464/O59)</f>
        <v>-1.0287761074882239E-2</v>
      </c>
    </row>
    <row r="465" spans="1:16" x14ac:dyDescent="0.25">
      <c r="A465">
        <v>2018</v>
      </c>
      <c r="B465" t="s">
        <v>96</v>
      </c>
      <c r="C465" s="5">
        <f t="shared" si="129"/>
        <v>9</v>
      </c>
      <c r="D465" s="9">
        <f t="shared" si="130"/>
        <v>31.744444444444451</v>
      </c>
      <c r="E465" s="7">
        <f>C465/G59*D465/F59</f>
        <v>0.1409819886503825</v>
      </c>
      <c r="F465" s="7">
        <f t="shared" si="131"/>
        <v>1.0196319186301966E-2</v>
      </c>
      <c r="G465" s="7">
        <f t="shared" si="123"/>
        <v>1.437497355798901E-3</v>
      </c>
      <c r="H465" s="7">
        <f>LN(D465/F59)</f>
        <v>-0.16736366760358032</v>
      </c>
      <c r="I465" s="7">
        <f t="shared" si="124"/>
        <v>-2.3595262686574348E-2</v>
      </c>
      <c r="J465" s="7">
        <f>C465/G59</f>
        <v>0.16666666666666666</v>
      </c>
      <c r="K465" s="7">
        <f t="shared" si="132"/>
        <v>1.0051244085664015E-2</v>
      </c>
      <c r="L465" s="7">
        <f t="shared" si="126"/>
        <v>1.6752073476106692E-3</v>
      </c>
      <c r="M465" s="7">
        <f>J465*LN(F59/D465)</f>
        <v>2.7893944600596722E-2</v>
      </c>
      <c r="N465" s="5">
        <f t="shared" si="133"/>
        <v>9</v>
      </c>
      <c r="O465" s="9">
        <f t="shared" si="134"/>
        <v>31.744444444444451</v>
      </c>
      <c r="P465" s="7">
        <f>(N465/(G59-SUM($E$59:$E$112)))*(O465/O59)*LN(O465/O59)</f>
        <v>-1.8668774514884575E-2</v>
      </c>
    </row>
    <row r="466" spans="1:16" x14ac:dyDescent="0.25">
      <c r="A466">
        <v>2019</v>
      </c>
      <c r="B466" t="s">
        <v>88</v>
      </c>
      <c r="C466" s="5">
        <f t="shared" ref="C466:C471" si="135">COUNTIFS($C$113:$C$166,B466)</f>
        <v>6</v>
      </c>
      <c r="D466" s="9">
        <f t="shared" ref="D466:D471" si="136">AVERAGEIFS($D$113:$D$166,$C$113:$C$166,B466)</f>
        <v>51.383333333333326</v>
      </c>
      <c r="E466" s="7">
        <f>C466/G113*D466/F113</f>
        <v>0.14156488199100001</v>
      </c>
      <c r="F466" s="7">
        <f t="shared" ref="F466:F471" si="137">SUMPRODUCT(($C$113:$C$166=B466)*($D$113:$D$166/D466)*LN($D$113:$D$166/D466))/C466</f>
        <v>5.7165190087599592E-2</v>
      </c>
      <c r="G466" s="7">
        <f t="shared" si="123"/>
        <v>8.0925833887441189E-3</v>
      </c>
      <c r="H466" s="7">
        <f>LN(D466/F113)</f>
        <v>0.2422274403163629</v>
      </c>
      <c r="I466" s="7">
        <f t="shared" si="124"/>
        <v>3.429089900336791E-2</v>
      </c>
      <c r="J466" s="7">
        <f>C466/G113</f>
        <v>0.1111111111111111</v>
      </c>
      <c r="K466" s="7">
        <f t="shared" ref="K466:K471" si="138">SUMPRODUCT(($C$113:$C$166=B466)*LN(D466/$D$113:$D$166))/C466</f>
        <v>5.6230331447194477E-2</v>
      </c>
      <c r="L466" s="7">
        <f t="shared" si="126"/>
        <v>6.2478146052438307E-3</v>
      </c>
      <c r="M466" s="7">
        <f>J466*LN(F113/D466)</f>
        <v>-2.6914160035151444E-2</v>
      </c>
      <c r="N466" s="5">
        <f t="shared" ref="N466:N471" si="139">COUNTIFS($C$113:$C$166,B466,$E$113:$E$166,0)</f>
        <v>5</v>
      </c>
      <c r="O466" s="9">
        <f t="shared" ref="O466:O471" si="140">AVERAGEIFS($D$113:$D$166,$C$113:$C$166,B466,$E$113:$E$166,0)</f>
        <v>44.3</v>
      </c>
      <c r="P466" s="7">
        <f>(N466/(G113-SUM($E$113:$E$166)))*(O466/O113)*LN(O466/O113)</f>
        <v>1.5230433032874836E-2</v>
      </c>
    </row>
    <row r="467" spans="1:16" x14ac:dyDescent="0.25">
      <c r="A467">
        <v>2019</v>
      </c>
      <c r="B467" t="s">
        <v>99</v>
      </c>
      <c r="C467" s="5">
        <f t="shared" si="135"/>
        <v>11</v>
      </c>
      <c r="D467" s="9">
        <f t="shared" si="136"/>
        <v>48.190909090909095</v>
      </c>
      <c r="E467" s="7">
        <f>C467/G113*D467/F113</f>
        <v>0.24341078152263743</v>
      </c>
      <c r="F467" s="7">
        <f t="shared" si="137"/>
        <v>3.2745500644566293E-2</v>
      </c>
      <c r="G467" s="7">
        <f t="shared" si="123"/>
        <v>7.9706079032439096E-3</v>
      </c>
      <c r="H467" s="7">
        <f>LN(D467/F113)</f>
        <v>0.17808396984770333</v>
      </c>
      <c r="I467" s="7">
        <f t="shared" si="124"/>
        <v>4.3347558277283267E-2</v>
      </c>
      <c r="J467" s="7">
        <f>C467/G113</f>
        <v>0.20370370370370369</v>
      </c>
      <c r="K467" s="7">
        <f t="shared" si="138"/>
        <v>2.9718158547595342E-2</v>
      </c>
      <c r="L467" s="7">
        <f t="shared" si="126"/>
        <v>6.0536989633990512E-3</v>
      </c>
      <c r="M467" s="7">
        <f>J467*LN(F113/D467)</f>
        <v>-3.6276364228235873E-2</v>
      </c>
      <c r="N467" s="5">
        <f t="shared" si="139"/>
        <v>10</v>
      </c>
      <c r="O467" s="9">
        <f t="shared" si="140"/>
        <v>44.58</v>
      </c>
      <c r="P467" s="7">
        <f>(N467/(G113-SUM($E$113:$E$166)))*(O467/O113)*LN(O467/O113)</f>
        <v>3.2053121246757792E-2</v>
      </c>
    </row>
    <row r="468" spans="1:16" x14ac:dyDescent="0.25">
      <c r="A468">
        <v>2019</v>
      </c>
      <c r="B468" t="s">
        <v>92</v>
      </c>
      <c r="C468" s="5">
        <f t="shared" si="135"/>
        <v>14</v>
      </c>
      <c r="D468" s="9">
        <f t="shared" si="136"/>
        <v>38.342857142857142</v>
      </c>
      <c r="E468" s="7">
        <f>C468/G113*D468/F113</f>
        <v>0.24648728074203313</v>
      </c>
      <c r="F468" s="7">
        <f t="shared" si="137"/>
        <v>1.3906663258839325E-2</v>
      </c>
      <c r="G468" s="7">
        <f t="shared" si="123"/>
        <v>3.4278156108664458E-3</v>
      </c>
      <c r="H468" s="7">
        <f>LN(D468/F113)</f>
        <v>-5.0518169305473135E-2</v>
      </c>
      <c r="I468" s="7">
        <f t="shared" si="124"/>
        <v>-1.2452086180171717E-2</v>
      </c>
      <c r="J468" s="7">
        <f>C468/G113</f>
        <v>0.25925925925925924</v>
      </c>
      <c r="K468" s="7">
        <f t="shared" si="138"/>
        <v>1.32026827041934E-2</v>
      </c>
      <c r="L468" s="7">
        <f t="shared" si="126"/>
        <v>3.4229177381242147E-3</v>
      </c>
      <c r="M468" s="7">
        <f>J468*LN(F113/D468)</f>
        <v>1.3097303153270793E-2</v>
      </c>
      <c r="N468" s="5">
        <f t="shared" si="139"/>
        <v>14</v>
      </c>
      <c r="O468" s="9">
        <f t="shared" si="140"/>
        <v>38.342857142857142</v>
      </c>
      <c r="P468" s="7">
        <f>(N468/(G113-SUM($E$113:$E$166)))*(O468/O113)*LN(O468/O113)</f>
        <v>-1.7213569020923972E-3</v>
      </c>
    </row>
    <row r="469" spans="1:16" x14ac:dyDescent="0.25">
      <c r="A469">
        <v>2019</v>
      </c>
      <c r="B469" t="s">
        <v>86</v>
      </c>
      <c r="C469" s="5">
        <f t="shared" si="135"/>
        <v>9</v>
      </c>
      <c r="D469" s="9">
        <f t="shared" si="136"/>
        <v>36.422222222222217</v>
      </c>
      <c r="E469" s="7">
        <f>C469/G113*D469/F113</f>
        <v>0.15051887225640548</v>
      </c>
      <c r="F469" s="7">
        <f t="shared" si="137"/>
        <v>7.2301343397323525E-3</v>
      </c>
      <c r="G469" s="7">
        <f t="shared" si="123"/>
        <v>1.0882716670788245E-3</v>
      </c>
      <c r="H469" s="7">
        <f>LN(D469/F113)</f>
        <v>-0.10190733637417673</v>
      </c>
      <c r="I469" s="7">
        <f t="shared" si="124"/>
        <v>-1.533897734569525E-2</v>
      </c>
      <c r="J469" s="7">
        <f>C469/G113</f>
        <v>0.16666666666666666</v>
      </c>
      <c r="K469" s="7">
        <f t="shared" si="138"/>
        <v>6.9856402344395212E-3</v>
      </c>
      <c r="L469" s="7">
        <f t="shared" si="126"/>
        <v>1.1642733724065869E-3</v>
      </c>
      <c r="M469" s="7">
        <f>J469*LN(F113/D469)</f>
        <v>1.6984556062362793E-2</v>
      </c>
      <c r="N469" s="5">
        <f t="shared" si="139"/>
        <v>9</v>
      </c>
      <c r="O469" s="9">
        <f t="shared" si="140"/>
        <v>36.422222222222217</v>
      </c>
      <c r="P469" s="7">
        <f>(N469/(G113-SUM($E$113:$E$166)))*(O469/O113)*LN(O469/O113)</f>
        <v>-9.4457191664245044E-3</v>
      </c>
    </row>
    <row r="470" spans="1:16" x14ac:dyDescent="0.25">
      <c r="A470">
        <v>2019</v>
      </c>
      <c r="B470" t="s">
        <v>105</v>
      </c>
      <c r="C470" s="5">
        <f t="shared" si="135"/>
        <v>5</v>
      </c>
      <c r="D470" s="9">
        <f t="shared" si="136"/>
        <v>34.06</v>
      </c>
      <c r="E470" s="7">
        <f>C470/G113*D470/F113</f>
        <v>7.8198181651207621E-2</v>
      </c>
      <c r="F470" s="7">
        <f t="shared" si="137"/>
        <v>5.3994487940295637E-3</v>
      </c>
      <c r="G470" s="7">
        <f t="shared" si="123"/>
        <v>4.2222707761191777E-4</v>
      </c>
      <c r="H470" s="7">
        <f>LN(D470/F113)</f>
        <v>-0.16896275011314427</v>
      </c>
      <c r="I470" s="7">
        <f t="shared" si="124"/>
        <v>-1.3212579825635257E-2</v>
      </c>
      <c r="J470" s="7">
        <f>C470/G113</f>
        <v>9.2592592592592587E-2</v>
      </c>
      <c r="K470" s="7">
        <f t="shared" si="138"/>
        <v>5.2741289624714475E-3</v>
      </c>
      <c r="L470" s="7">
        <f t="shared" si="126"/>
        <v>4.8834527430291182E-4</v>
      </c>
      <c r="M470" s="7">
        <f>J470*LN(F113/D470)</f>
        <v>1.5644699084550392E-2</v>
      </c>
      <c r="N470" s="5">
        <f t="shared" si="139"/>
        <v>5</v>
      </c>
      <c r="O470" s="9">
        <f t="shared" si="140"/>
        <v>34.06</v>
      </c>
      <c r="P470" s="7">
        <f>(N470/(G113-SUM($E$113:$E$166)))*(O470/O113)*LN(O470/O113)</f>
        <v>-1.0597983368763853E-2</v>
      </c>
    </row>
    <row r="471" spans="1:16" x14ac:dyDescent="0.25">
      <c r="A471">
        <v>2019</v>
      </c>
      <c r="B471" t="s">
        <v>96</v>
      </c>
      <c r="C471" s="5">
        <f t="shared" si="135"/>
        <v>9</v>
      </c>
      <c r="D471" s="9">
        <f t="shared" si="136"/>
        <v>33.833333333333336</v>
      </c>
      <c r="E471" s="7">
        <f>C471/G113*D471/F113</f>
        <v>0.13982000183671592</v>
      </c>
      <c r="F471" s="7">
        <f t="shared" si="137"/>
        <v>1.0247372449136503E-2</v>
      </c>
      <c r="G471" s="7">
        <f t="shared" si="123"/>
        <v>1.4327876346597781E-3</v>
      </c>
      <c r="H471" s="7">
        <f>LN(D471/F113)</f>
        <v>-0.17563991553395417</v>
      </c>
      <c r="I471" s="7">
        <f t="shared" si="124"/>
        <v>-2.4557973312558101E-2</v>
      </c>
      <c r="J471" s="7">
        <f>C471/G113</f>
        <v>0.16666666666666666</v>
      </c>
      <c r="K471" s="7">
        <f t="shared" si="138"/>
        <v>1.0185199840803228E-2</v>
      </c>
      <c r="L471" s="7">
        <f t="shared" si="126"/>
        <v>1.6975333068005379E-3</v>
      </c>
      <c r="M471" s="7">
        <f>J471*LN(F113/D471)</f>
        <v>2.9273319255659021E-2</v>
      </c>
      <c r="N471" s="5">
        <f t="shared" si="139"/>
        <v>9</v>
      </c>
      <c r="O471" s="9">
        <f t="shared" si="140"/>
        <v>33.833333333333336</v>
      </c>
      <c r="P471" s="7">
        <f>(N471/(G113-SUM($E$113:$E$166)))*(O471/O113)*LN(O471/O113)</f>
        <v>-1.9962622497125469E-2</v>
      </c>
    </row>
    <row r="472" spans="1:16" x14ac:dyDescent="0.25">
      <c r="A472">
        <v>2020</v>
      </c>
      <c r="B472" t="s">
        <v>88</v>
      </c>
      <c r="C472" s="5">
        <f t="shared" ref="C472:C477" si="141">COUNTIFS($C$167:$C$221,B472)</f>
        <v>6</v>
      </c>
      <c r="D472" s="9">
        <f t="shared" ref="D472:D477" si="142">AVERAGEIFS($D$167:$D$221,$C$167:$C$221,B472)</f>
        <v>52.783333333333331</v>
      </c>
      <c r="E472" s="7">
        <f>C472/G167*D472/F167</f>
        <v>0.13836340600288344</v>
      </c>
      <c r="F472" s="7">
        <f t="shared" ref="F472:F477" si="143">SUMPRODUCT(($C$167:$C$221=B472)*($D$167:$D$221/D472)*LN($D$167:$D$221/D472))/C472</f>
        <v>5.8085378518778034E-2</v>
      </c>
      <c r="G472" s="7">
        <f t="shared" si="123"/>
        <v>8.0368908108248496E-3</v>
      </c>
      <c r="H472" s="7">
        <f>LN(D472/F167)</f>
        <v>0.23770203775040705</v>
      </c>
      <c r="I472" s="7">
        <f t="shared" si="124"/>
        <v>3.2889263556972297E-2</v>
      </c>
      <c r="J472" s="7">
        <f>C472/G167</f>
        <v>0.10909090909090909</v>
      </c>
      <c r="K472" s="7">
        <f t="shared" ref="K472:K477" si="144">SUMPRODUCT(($C$167:$C$221=B472)*LN(D472/$D$167:$D$221))/C472</f>
        <v>5.7414855611634362E-2</v>
      </c>
      <c r="L472" s="7">
        <f t="shared" si="126"/>
        <v>6.2634387939964759E-3</v>
      </c>
      <c r="M472" s="7">
        <f>J472*LN(F167/D472)</f>
        <v>-2.5931131390953502E-2</v>
      </c>
      <c r="N472" s="5">
        <f t="shared" ref="N472:N477" si="145">COUNTIFS($C$167:$C$221,B472,$E$167:$E$221,0)</f>
        <v>5</v>
      </c>
      <c r="O472" s="9">
        <f t="shared" ref="O472:O477" si="146">AVERAGEIFS($D$167:$D$221,$C$167:$C$221,B472,$E$167:$E$221,0)</f>
        <v>45.52</v>
      </c>
      <c r="P472" s="7">
        <f>(N472/(G167-SUM($E$167:$E$221)))*(O472/O167)*LN(O472/O167)</f>
        <v>1.4217246933640564E-2</v>
      </c>
    </row>
    <row r="473" spans="1:16" x14ac:dyDescent="0.25">
      <c r="A473">
        <v>2020</v>
      </c>
      <c r="B473" t="s">
        <v>99</v>
      </c>
      <c r="C473" s="5">
        <f t="shared" si="141"/>
        <v>11</v>
      </c>
      <c r="D473" s="9">
        <f t="shared" si="142"/>
        <v>49.74545454545455</v>
      </c>
      <c r="E473" s="7">
        <f>C473/G167*D473/F167</f>
        <v>0.2390668006465988</v>
      </c>
      <c r="F473" s="7">
        <f t="shared" si="143"/>
        <v>2.9547018124249324E-2</v>
      </c>
      <c r="G473" s="7">
        <f t="shared" si="123"/>
        <v>7.0637110916113551E-3</v>
      </c>
      <c r="H473" s="7">
        <f>LN(D473/F167)</f>
        <v>0.17842564694383836</v>
      </c>
      <c r="I473" s="7">
        <f t="shared" si="124"/>
        <v>4.2655648568163028E-2</v>
      </c>
      <c r="J473" s="7">
        <f>C473/G167</f>
        <v>0.2</v>
      </c>
      <c r="K473" s="7">
        <f t="shared" si="144"/>
        <v>2.6714726454204661E-2</v>
      </c>
      <c r="L473" s="7">
        <f t="shared" si="126"/>
        <v>5.3429452908409329E-3</v>
      </c>
      <c r="M473" s="7">
        <f>J473*LN(F167/D473)</f>
        <v>-3.5685129388767653E-2</v>
      </c>
      <c r="N473" s="5">
        <f t="shared" si="145"/>
        <v>10</v>
      </c>
      <c r="O473" s="9">
        <f t="shared" si="146"/>
        <v>46.15</v>
      </c>
      <c r="P473" s="7">
        <f>(N473/(G167-SUM($E$167:$E$221)))*(O473/O167)*LN(O473/O167)</f>
        <v>3.1828547910790407E-2</v>
      </c>
    </row>
    <row r="474" spans="1:16" x14ac:dyDescent="0.25">
      <c r="A474">
        <v>2020</v>
      </c>
      <c r="B474" t="s">
        <v>92</v>
      </c>
      <c r="C474" s="5">
        <f t="shared" si="141"/>
        <v>14</v>
      </c>
      <c r="D474" s="9">
        <f t="shared" si="142"/>
        <v>39.678571428571431</v>
      </c>
      <c r="E474" s="7">
        <f>C474/G167*D474/F167</f>
        <v>0.2426929966359386</v>
      </c>
      <c r="F474" s="7">
        <f t="shared" si="143"/>
        <v>1.378878403409101E-2</v>
      </c>
      <c r="G474" s="7">
        <f t="shared" si="123"/>
        <v>3.3464413171993331E-3</v>
      </c>
      <c r="H474" s="7">
        <f>LN(D474/F167)</f>
        <v>-4.7682167101705794E-2</v>
      </c>
      <c r="I474" s="7">
        <f t="shared" si="124"/>
        <v>-1.1572128020008546E-2</v>
      </c>
      <c r="J474" s="7">
        <f>C474/G167</f>
        <v>0.25454545454545452</v>
      </c>
      <c r="K474" s="7">
        <f t="shared" si="144"/>
        <v>1.3213809833875573E-2</v>
      </c>
      <c r="L474" s="7">
        <f t="shared" si="126"/>
        <v>3.3635152304410543E-3</v>
      </c>
      <c r="M474" s="7">
        <f>J474*LN(F167/D474)</f>
        <v>1.2137278898616021E-2</v>
      </c>
      <c r="N474" s="5">
        <f t="shared" si="145"/>
        <v>14</v>
      </c>
      <c r="O474" s="9">
        <f t="shared" si="146"/>
        <v>39.678571428571431</v>
      </c>
      <c r="P474" s="7">
        <f>(N474/(G167-SUM($E$167:$E$221)))*(O474/O167)*LN(O474/O167)</f>
        <v>-1.387705789419341E-3</v>
      </c>
    </row>
    <row r="475" spans="1:16" x14ac:dyDescent="0.25">
      <c r="A475">
        <v>2020</v>
      </c>
      <c r="B475" t="s">
        <v>86</v>
      </c>
      <c r="C475" s="5">
        <f t="shared" si="141"/>
        <v>10</v>
      </c>
      <c r="D475" s="9">
        <f t="shared" si="142"/>
        <v>38.299999999999997</v>
      </c>
      <c r="E475" s="7">
        <f>C475/G167*D475/F167</f>
        <v>0.16732928480929699</v>
      </c>
      <c r="F475" s="7">
        <f t="shared" si="143"/>
        <v>1.2032141973545057E-2</v>
      </c>
      <c r="G475" s="7">
        <f t="shared" si="123"/>
        <v>2.0133297111572176E-3</v>
      </c>
      <c r="H475" s="7">
        <f>LN(D475/F167)</f>
        <v>-8.3043550379531747E-2</v>
      </c>
      <c r="I475" s="7">
        <f t="shared" si="124"/>
        <v>-1.389561789303187E-2</v>
      </c>
      <c r="J475" s="7">
        <f>C475/G167</f>
        <v>0.18181818181818182</v>
      </c>
      <c r="K475" s="7">
        <f t="shared" si="144"/>
        <v>1.2279875587121439E-2</v>
      </c>
      <c r="L475" s="7">
        <f t="shared" si="126"/>
        <v>2.2327046522038979E-3</v>
      </c>
      <c r="M475" s="7">
        <f>J475*LN(F167/D475)</f>
        <v>1.5098827341733038E-2</v>
      </c>
      <c r="N475" s="5">
        <f t="shared" si="145"/>
        <v>10</v>
      </c>
      <c r="O475" s="9">
        <f t="shared" si="146"/>
        <v>38.299999999999997</v>
      </c>
      <c r="P475" s="7">
        <f>(N475/(G167-SUM($E$167:$E$221)))*(O475/O167)*LN(O475/O167)</f>
        <v>-7.3630095537040594E-3</v>
      </c>
    </row>
    <row r="476" spans="1:16" x14ac:dyDescent="0.25">
      <c r="A476">
        <v>2020</v>
      </c>
      <c r="B476" t="s">
        <v>105</v>
      </c>
      <c r="C476" s="5">
        <f t="shared" si="141"/>
        <v>5</v>
      </c>
      <c r="D476" s="9">
        <f t="shared" si="142"/>
        <v>34.619999999999997</v>
      </c>
      <c r="E476" s="7">
        <f>C476/G167*D476/F167</f>
        <v>7.5625846476473399E-2</v>
      </c>
      <c r="F476" s="7">
        <f t="shared" si="143"/>
        <v>5.4589268963985155E-3</v>
      </c>
      <c r="G476" s="7">
        <f t="shared" si="123"/>
        <v>4.1283596739332556E-4</v>
      </c>
      <c r="H476" s="7">
        <f>LN(D476/F167)</f>
        <v>-0.18406189681806887</v>
      </c>
      <c r="I476" s="7">
        <f t="shared" si="124"/>
        <v>-1.3919836750931764E-2</v>
      </c>
      <c r="J476" s="7">
        <f>C476/G167</f>
        <v>9.0909090909090912E-2</v>
      </c>
      <c r="K476" s="7">
        <f t="shared" si="144"/>
        <v>5.3314072388636934E-3</v>
      </c>
      <c r="L476" s="7">
        <f t="shared" si="126"/>
        <v>4.8467338535124486E-4</v>
      </c>
      <c r="M476" s="7">
        <f>J476*LN(F167/D476)</f>
        <v>1.6732899710733527E-2</v>
      </c>
      <c r="N476" s="5">
        <f t="shared" si="145"/>
        <v>5</v>
      </c>
      <c r="O476" s="9">
        <f t="shared" si="146"/>
        <v>34.619999999999997</v>
      </c>
      <c r="P476" s="7">
        <f>(N476/(G167-SUM($E$167:$E$221)))*(O476/O167)*LN(O476/O167)</f>
        <v>-1.1599035091446067E-2</v>
      </c>
    </row>
    <row r="477" spans="1:16" x14ac:dyDescent="0.25">
      <c r="A477">
        <v>2020</v>
      </c>
      <c r="B477" t="s">
        <v>96</v>
      </c>
      <c r="C477" s="5">
        <f t="shared" si="141"/>
        <v>9</v>
      </c>
      <c r="D477" s="9">
        <f t="shared" si="142"/>
        <v>34.822222222222223</v>
      </c>
      <c r="E477" s="7">
        <f>C477/G167*D477/F167</f>
        <v>0.13692166542880857</v>
      </c>
      <c r="F477" s="7">
        <f t="shared" si="143"/>
        <v>1.0854345954878292E-2</v>
      </c>
      <c r="G477" s="7">
        <f t="shared" si="123"/>
        <v>1.4861951252823872E-3</v>
      </c>
      <c r="H477" s="7">
        <f>LN(D477/F167)</f>
        <v>-0.17823769398043091</v>
      </c>
      <c r="I477" s="7">
        <f t="shared" si="124"/>
        <v>-2.4404601901990928E-2</v>
      </c>
      <c r="J477" s="7">
        <f>C477/G167</f>
        <v>0.16363636363636364</v>
      </c>
      <c r="K477" s="7">
        <f t="shared" si="144"/>
        <v>1.0870247622918619E-2</v>
      </c>
      <c r="L477" s="7">
        <f t="shared" si="126"/>
        <v>1.7787677928412285E-3</v>
      </c>
      <c r="M477" s="7">
        <f>J477*LN(F167/D477)</f>
        <v>2.9166168105888676E-2</v>
      </c>
      <c r="N477" s="5">
        <f t="shared" si="145"/>
        <v>9</v>
      </c>
      <c r="O477" s="9">
        <f t="shared" si="146"/>
        <v>34.822222222222223</v>
      </c>
      <c r="P477" s="7">
        <f>(N477/(G167-SUM($E$167:$E$221)))*(O477/O167)*LN(O477/O167)</f>
        <v>-2.0136821350620546E-2</v>
      </c>
    </row>
    <row r="478" spans="1:16" x14ac:dyDescent="0.25">
      <c r="A478">
        <v>2021</v>
      </c>
      <c r="B478" t="s">
        <v>88</v>
      </c>
      <c r="C478" s="5">
        <f t="shared" ref="C478:C483" si="147">COUNTIFS($C$222:$C$277,B478)</f>
        <v>6</v>
      </c>
      <c r="D478" s="9">
        <f t="shared" ref="D478:D483" si="148">AVERAGEIFS($D$222:$D$277,$C$222:$C$277,B478)</f>
        <v>19.028333333333332</v>
      </c>
      <c r="E478" s="7">
        <f>C478/G222*D478/F222</f>
        <v>0.23879441969421264</v>
      </c>
      <c r="F478" s="7">
        <f t="shared" ref="F478:F483" si="149">SUMPRODUCT(($C$222:$C$277=B478)*($D$222:$D$277/D478)*LN($D$222:$D$277/D478))/C478</f>
        <v>0.49102374625596834</v>
      </c>
      <c r="G478" s="7">
        <f t="shared" si="123"/>
        <v>0.11725373054327227</v>
      </c>
      <c r="H478" s="7">
        <f>LN(D478/F222)</f>
        <v>0.80143995565567816</v>
      </c>
      <c r="I478" s="7">
        <f t="shared" si="124"/>
        <v>0.19137938913055319</v>
      </c>
      <c r="J478" s="7">
        <f>C478/G222</f>
        <v>0.10714285714285714</v>
      </c>
      <c r="K478" s="7">
        <f t="shared" ref="K478:K483" si="150">SUMPRODUCT(($C$222:$C$277=B478)*LN(D478/$D$222:$D$277))/C478</f>
        <v>0.45243322033623129</v>
      </c>
      <c r="L478" s="7">
        <f t="shared" si="126"/>
        <v>4.8474987893167634E-2</v>
      </c>
      <c r="M478" s="7">
        <f>J478*LN(F222/D478)</f>
        <v>-8.5868566677394093E-2</v>
      </c>
      <c r="N478" s="5">
        <f t="shared" ref="N478:N483" si="151">COUNTIFS($C$222:$C$277,B478,$E$222:$E$277,0)</f>
        <v>5</v>
      </c>
      <c r="O478" s="9">
        <f t="shared" ref="O478:O483" si="152">AVERAGEIFS($D$222:$D$277,$C$222:$C$277,B478,$E$222:$E$277,0)</f>
        <v>9.3079999999999998</v>
      </c>
      <c r="P478" s="7">
        <f>(N478/(G222-SUM($E$222:$E$277)))*(O478/O222)*LN(O478/O222)</f>
        <v>4.5677940135066673E-2</v>
      </c>
    </row>
    <row r="479" spans="1:16" x14ac:dyDescent="0.25">
      <c r="A479">
        <v>2021</v>
      </c>
      <c r="B479" t="s">
        <v>99</v>
      </c>
      <c r="C479" s="5">
        <f t="shared" si="147"/>
        <v>11</v>
      </c>
      <c r="D479" s="9">
        <f t="shared" si="148"/>
        <v>11.870909090909093</v>
      </c>
      <c r="E479" s="7">
        <f>C479/G222*D479/F222</f>
        <v>0.27311706511053951</v>
      </c>
      <c r="F479" s="7">
        <f t="shared" si="149"/>
        <v>0.40642575382706081</v>
      </c>
      <c r="G479" s="7">
        <f t="shared" si="123"/>
        <v>0.11100180907058547</v>
      </c>
      <c r="H479" s="7">
        <f>LN(D479/F222)</f>
        <v>0.32960165215561454</v>
      </c>
      <c r="I479" s="7">
        <f t="shared" si="124"/>
        <v>9.0019835892326372E-2</v>
      </c>
      <c r="J479" s="7">
        <f>C479/G222</f>
        <v>0.19642857142857142</v>
      </c>
      <c r="K479" s="7">
        <f t="shared" si="150"/>
        <v>0.29594099029912102</v>
      </c>
      <c r="L479" s="7">
        <f t="shared" si="126"/>
        <v>5.8131265951613054E-2</v>
      </c>
      <c r="M479" s="7">
        <f>J479*LN(F222/D479)</f>
        <v>-6.4743181673424258E-2</v>
      </c>
      <c r="N479" s="5">
        <f t="shared" si="151"/>
        <v>10</v>
      </c>
      <c r="O479" s="9">
        <f t="shared" si="152"/>
        <v>7.492</v>
      </c>
      <c r="P479" s="7">
        <f>(N479/(G222-SUM($E$222:$E$277)))*(O479/O222)*LN(O479/O222)</f>
        <v>2.7704735363057162E-2</v>
      </c>
    </row>
    <row r="480" spans="1:16" x14ac:dyDescent="0.25">
      <c r="A480">
        <v>2021</v>
      </c>
      <c r="B480" t="s">
        <v>92</v>
      </c>
      <c r="C480" s="5">
        <f t="shared" si="147"/>
        <v>14</v>
      </c>
      <c r="D480" s="9">
        <f t="shared" si="148"/>
        <v>7.0764285714285711</v>
      </c>
      <c r="E480" s="7">
        <f>C480/G222*D480/F222</f>
        <v>0.20721172951831171</v>
      </c>
      <c r="F480" s="7">
        <f t="shared" si="149"/>
        <v>9.0581460689237267E-2</v>
      </c>
      <c r="G480" s="7">
        <f t="shared" si="123"/>
        <v>1.8769541131711819E-2</v>
      </c>
      <c r="H480" s="7">
        <f>LN(D480/F222)</f>
        <v>-0.18771979943482237</v>
      </c>
      <c r="I480" s="7">
        <f t="shared" si="124"/>
        <v>-3.8897744305720135E-2</v>
      </c>
      <c r="J480" s="7">
        <f>C480/G222</f>
        <v>0.25</v>
      </c>
      <c r="K480" s="7">
        <f t="shared" si="150"/>
        <v>7.2274414222455494E-2</v>
      </c>
      <c r="L480" s="7">
        <f t="shared" si="126"/>
        <v>1.8068603555613873E-2</v>
      </c>
      <c r="M480" s="7">
        <f>J480*LN(F222/D480)</f>
        <v>4.6929949858705605E-2</v>
      </c>
      <c r="N480" s="5">
        <f t="shared" si="151"/>
        <v>14</v>
      </c>
      <c r="O480" s="9">
        <f t="shared" si="152"/>
        <v>7.0764285714285711</v>
      </c>
      <c r="P480" s="7">
        <f>(N480/(G222-SUM($E$222:$E$277)))*(O480/O222)*LN(O480/O222)</f>
        <v>2.0701550517712781E-2</v>
      </c>
    </row>
    <row r="481" spans="1:16" x14ac:dyDescent="0.25">
      <c r="A481">
        <v>2021</v>
      </c>
      <c r="B481" t="s">
        <v>86</v>
      </c>
      <c r="C481" s="5">
        <f t="shared" si="147"/>
        <v>11</v>
      </c>
      <c r="D481" s="9">
        <f t="shared" si="148"/>
        <v>5.7045454545454541</v>
      </c>
      <c r="E481" s="7">
        <f>C481/G222*D481/F222</f>
        <v>0.13124594758528374</v>
      </c>
      <c r="F481" s="7">
        <f t="shared" si="149"/>
        <v>2.3329475395175599E-2</v>
      </c>
      <c r="G481" s="7">
        <f t="shared" si="123"/>
        <v>3.0618991049073834E-3</v>
      </c>
      <c r="H481" s="7">
        <f>LN(D481/F222)</f>
        <v>-0.40322583559097991</v>
      </c>
      <c r="I481" s="7">
        <f t="shared" si="124"/>
        <v>-5.2921756883005988E-2</v>
      </c>
      <c r="J481" s="7">
        <f>C481/G222</f>
        <v>0.19642857142857142</v>
      </c>
      <c r="K481" s="7">
        <f t="shared" si="150"/>
        <v>2.2419864941267086E-2</v>
      </c>
      <c r="L481" s="7">
        <f t="shared" si="126"/>
        <v>4.4039020420346062E-3</v>
      </c>
      <c r="M481" s="7">
        <f>J481*LN(F222/D481)</f>
        <v>7.9205074848228196E-2</v>
      </c>
      <c r="N481" s="5">
        <f t="shared" si="151"/>
        <v>11</v>
      </c>
      <c r="O481" s="9">
        <f t="shared" si="152"/>
        <v>5.7045454545454541</v>
      </c>
      <c r="P481" s="7">
        <f>(N481/(G222-SUM($E$222:$E$277)))*(O481/O222)*LN(O481/O222)</f>
        <v>-2.5000126811151512E-2</v>
      </c>
    </row>
    <row r="482" spans="1:16" x14ac:dyDescent="0.25">
      <c r="A482">
        <v>2021</v>
      </c>
      <c r="B482" t="s">
        <v>105</v>
      </c>
      <c r="C482" s="5">
        <f t="shared" si="147"/>
        <v>5</v>
      </c>
      <c r="D482" s="9">
        <f t="shared" si="148"/>
        <v>5.2919999999999998</v>
      </c>
      <c r="E482" s="7">
        <f>C482/G222*D482/F222</f>
        <v>5.5342912718830399E-2</v>
      </c>
      <c r="F482" s="7">
        <f t="shared" si="149"/>
        <v>1.044709595564744E-2</v>
      </c>
      <c r="G482" s="7">
        <f t="shared" si="123"/>
        <v>5.7817271963864236E-4</v>
      </c>
      <c r="H482" s="7">
        <f>LN(D482/F222)</f>
        <v>-0.4782928945517933</v>
      </c>
      <c r="I482" s="7">
        <f t="shared" si="124"/>
        <v>-2.6470121917216649E-2</v>
      </c>
      <c r="J482" s="7">
        <f>C482/G222</f>
        <v>8.9285714285714288E-2</v>
      </c>
      <c r="K482" s="7">
        <f t="shared" si="150"/>
        <v>1.0191045662864518E-2</v>
      </c>
      <c r="L482" s="7">
        <f t="shared" si="126"/>
        <v>9.0991479132718905E-4</v>
      </c>
      <c r="M482" s="7">
        <f>J482*LN(F222/D482)</f>
        <v>4.27047227278387E-2</v>
      </c>
      <c r="N482" s="5">
        <f t="shared" si="151"/>
        <v>5</v>
      </c>
      <c r="O482" s="9">
        <f t="shared" si="152"/>
        <v>5.2919999999999998</v>
      </c>
      <c r="P482" s="7">
        <f>(N482/(G222-SUM($E$222:$E$277)))*(O482/O222)*LN(O482/O222)</f>
        <v>-1.6139863652214172E-2</v>
      </c>
    </row>
    <row r="483" spans="1:16" x14ac:dyDescent="0.25">
      <c r="A483">
        <v>2021</v>
      </c>
      <c r="B483" t="s">
        <v>96</v>
      </c>
      <c r="C483" s="5">
        <f t="shared" si="147"/>
        <v>9</v>
      </c>
      <c r="D483" s="9">
        <f t="shared" si="148"/>
        <v>5.0088888888888885</v>
      </c>
      <c r="E483" s="7">
        <f>C483/G222*D483/F222</f>
        <v>9.4287925372822171E-2</v>
      </c>
      <c r="F483" s="7">
        <f t="shared" si="149"/>
        <v>1.4942447318867803E-2</v>
      </c>
      <c r="G483" s="7">
        <f t="shared" si="123"/>
        <v>1.4088923576887342E-3</v>
      </c>
      <c r="H483" s="7">
        <f>LN(D483/F222)</f>
        <v>-0.53327502896914658</v>
      </c>
      <c r="I483" s="7">
        <f t="shared" si="124"/>
        <v>-5.0281396134632471E-2</v>
      </c>
      <c r="J483" s="7">
        <f>C483/G222</f>
        <v>0.16071428571428573</v>
      </c>
      <c r="K483" s="7">
        <f t="shared" si="150"/>
        <v>1.4815737935414056E-2</v>
      </c>
      <c r="L483" s="7">
        <f t="shared" si="126"/>
        <v>2.3811007396201162E-3</v>
      </c>
      <c r="M483" s="7">
        <f>J483*LN(F222/D483)</f>
        <v>8.5704915370041407E-2</v>
      </c>
      <c r="N483" s="5">
        <f t="shared" si="151"/>
        <v>9</v>
      </c>
      <c r="O483" s="9">
        <f t="shared" si="152"/>
        <v>5.0088888888888885</v>
      </c>
      <c r="P483" s="7">
        <f>(N483/(G222-SUM($E$222:$E$277)))*(O483/O222)*LN(O483/O222)</f>
        <v>-3.4483044099255608E-2</v>
      </c>
    </row>
    <row r="484" spans="1:16" x14ac:dyDescent="0.25">
      <c r="A484">
        <v>2022</v>
      </c>
      <c r="B484" t="s">
        <v>88</v>
      </c>
      <c r="C484" s="5">
        <f t="shared" ref="C484:C489" si="153">COUNTIFS($C$278:$C$333,B484)</f>
        <v>6</v>
      </c>
      <c r="D484" s="9">
        <f t="shared" ref="D484:D489" si="154">AVERAGEIFS($D$278:$D$333,$C$278:$C$333,B484)</f>
        <v>35.516666666666666</v>
      </c>
      <c r="E484" s="7">
        <f>C484/G278*D484/F278</f>
        <v>0.18674962755236174</v>
      </c>
      <c r="F484" s="7">
        <f t="shared" ref="F484:F489" si="155">SUMPRODUCT(($C$278:$C$333=B484)*($D$278:$D$333/D484)*LN($D$278:$D$333/D484))/C484</f>
        <v>0.2284631216275923</v>
      </c>
      <c r="G484" s="7">
        <f t="shared" si="123"/>
        <v>4.2665402873402786E-2</v>
      </c>
      <c r="H484" s="7">
        <f>LN(D484/F278)</f>
        <v>0.55560577217103169</v>
      </c>
      <c r="I484" s="7">
        <f t="shared" si="124"/>
        <v>0.10375917101888252</v>
      </c>
      <c r="J484" s="7">
        <f>C484/G278</f>
        <v>0.10714285714285714</v>
      </c>
      <c r="K484" s="7">
        <f t="shared" ref="K484:K489" si="156">SUMPRODUCT(($C$278:$C$333=B484)*LN(D484/$D$278:$D$333))/C484</f>
        <v>0.22173985267681659</v>
      </c>
      <c r="L484" s="7">
        <f t="shared" si="126"/>
        <v>2.3757841358230346E-2</v>
      </c>
      <c r="M484" s="7">
        <f>J484*LN(F278/D484)</f>
        <v>-5.9529189875467681E-2</v>
      </c>
      <c r="N484" s="5">
        <f t="shared" ref="N484:N489" si="157">COUNTIFS($C$278:$C$333,B484,$E$278:$E$333,0)</f>
        <v>5</v>
      </c>
      <c r="O484" s="9">
        <f t="shared" ref="O484:O489" si="158">AVERAGEIFS($D$278:$D$333,$C$278:$C$333,B484,$E$278:$E$333,0)</f>
        <v>24.5</v>
      </c>
      <c r="P484" s="7">
        <f>(N484/(G278-SUM($E$278:$E$333)))*(O484/O278)*LN(O484/O278)</f>
        <v>4.0123468711186286E-2</v>
      </c>
    </row>
    <row r="485" spans="1:16" x14ac:dyDescent="0.25">
      <c r="A485">
        <v>2022</v>
      </c>
      <c r="B485" t="s">
        <v>99</v>
      </c>
      <c r="C485" s="5">
        <f t="shared" si="153"/>
        <v>11</v>
      </c>
      <c r="D485" s="9">
        <f t="shared" si="154"/>
        <v>28.400000000000002</v>
      </c>
      <c r="E485" s="7">
        <f>C485/G278*D485/F278</f>
        <v>0.2737709227937955</v>
      </c>
      <c r="F485" s="7">
        <f t="shared" si="155"/>
        <v>0.15362185513802076</v>
      </c>
      <c r="G485" s="7">
        <f t="shared" si="123"/>
        <v>4.2057197042430716E-2</v>
      </c>
      <c r="H485" s="7">
        <f>LN(D485/F278)</f>
        <v>0.33199284746167579</v>
      </c>
      <c r="I485" s="7">
        <f t="shared" si="124"/>
        <v>9.0889988210522771E-2</v>
      </c>
      <c r="J485" s="7">
        <f>C485/G278</f>
        <v>0.19642857142857142</v>
      </c>
      <c r="K485" s="7">
        <f t="shared" si="156"/>
        <v>0.12162686296323301</v>
      </c>
      <c r="L485" s="7">
        <f t="shared" si="126"/>
        <v>2.3890990939206484E-2</v>
      </c>
      <c r="M485" s="7">
        <f>J485*LN(F278/D485)</f>
        <v>-6.5212880751400595E-2</v>
      </c>
      <c r="N485" s="5">
        <f t="shared" si="157"/>
        <v>10</v>
      </c>
      <c r="O485" s="9">
        <f t="shared" si="158"/>
        <v>22.650000000000002</v>
      </c>
      <c r="P485" s="7">
        <f>(N485/(G278-SUM($E$278:$E$333)))*(O485/O278)*LN(O485/O278)</f>
        <v>5.5751589808664716E-2</v>
      </c>
    </row>
    <row r="486" spans="1:16" x14ac:dyDescent="0.25">
      <c r="A486">
        <v>2022</v>
      </c>
      <c r="B486" t="s">
        <v>92</v>
      </c>
      <c r="C486" s="5">
        <f t="shared" si="153"/>
        <v>14</v>
      </c>
      <c r="D486" s="9">
        <f t="shared" si="154"/>
        <v>17.892857142857142</v>
      </c>
      <c r="E486" s="7">
        <f>C486/G278*D486/F278</f>
        <v>0.21952501971781616</v>
      </c>
      <c r="F486" s="7">
        <f t="shared" si="155"/>
        <v>4.9281616135697988E-2</v>
      </c>
      <c r="G486" s="7">
        <f t="shared" si="123"/>
        <v>1.0818547753914947E-2</v>
      </c>
      <c r="H486" s="7">
        <f>LN(D486/F278)</f>
        <v>-0.12999470679582381</v>
      </c>
      <c r="I486" s="7">
        <f t="shared" si="124"/>
        <v>-2.8537090572564951E-2</v>
      </c>
      <c r="J486" s="7">
        <f>C486/G278</f>
        <v>0.25</v>
      </c>
      <c r="K486" s="7">
        <f t="shared" si="156"/>
        <v>4.3776495270902702E-2</v>
      </c>
      <c r="L486" s="7">
        <f t="shared" si="126"/>
        <v>1.0944123817725675E-2</v>
      </c>
      <c r="M486" s="7">
        <f>J486*LN(F278/D486)</f>
        <v>3.2498676698955981E-2</v>
      </c>
      <c r="N486" s="5">
        <f t="shared" si="157"/>
        <v>14</v>
      </c>
      <c r="O486" s="9">
        <f t="shared" si="158"/>
        <v>17.892857142857142</v>
      </c>
      <c r="P486" s="7">
        <f>(N486/(G278-SUM($E$278:$E$333)))*(O486/O278)*LN(O486/O278)</f>
        <v>4.3424064346410244E-4</v>
      </c>
    </row>
    <row r="487" spans="1:16" x14ac:dyDescent="0.25">
      <c r="A487">
        <v>2022</v>
      </c>
      <c r="B487" t="s">
        <v>86</v>
      </c>
      <c r="C487" s="5">
        <f t="shared" si="153"/>
        <v>11</v>
      </c>
      <c r="D487" s="9">
        <f t="shared" si="154"/>
        <v>15.463636363636361</v>
      </c>
      <c r="E487" s="7">
        <f>C487/G278*D487/F278</f>
        <v>0.14906669003593023</v>
      </c>
      <c r="F487" s="7">
        <f t="shared" si="155"/>
        <v>3.9389763036234052E-2</v>
      </c>
      <c r="G487" s="7">
        <f t="shared" si="123"/>
        <v>5.8717015971110438E-3</v>
      </c>
      <c r="H487" s="7">
        <f>LN(D487/F278)</f>
        <v>-0.27590507110203927</v>
      </c>
      <c r="I487" s="7">
        <f t="shared" si="124"/>
        <v>-4.1128255713308977E-2</v>
      </c>
      <c r="J487" s="7">
        <f>C487/G278</f>
        <v>0.19642857142857142</v>
      </c>
      <c r="K487" s="7">
        <f t="shared" si="156"/>
        <v>3.7182378083336083E-2</v>
      </c>
      <c r="L487" s="7">
        <f t="shared" si="126"/>
        <v>7.3036814092267309E-3</v>
      </c>
      <c r="M487" s="7">
        <f>J487*LN(F278/D487)</f>
        <v>5.4195638966471997E-2</v>
      </c>
      <c r="N487" s="5">
        <f t="shared" si="157"/>
        <v>11</v>
      </c>
      <c r="O487" s="9">
        <f t="shared" si="158"/>
        <v>15.463636363636361</v>
      </c>
      <c r="P487" s="7">
        <f>(N487/(G278-SUM($E$278:$E$333)))*(O487/O278)*LN(O487/O278)</f>
        <v>-2.5435334525049268E-2</v>
      </c>
    </row>
    <row r="488" spans="1:16" x14ac:dyDescent="0.25">
      <c r="A488">
        <v>2022</v>
      </c>
      <c r="B488" t="s">
        <v>105</v>
      </c>
      <c r="C488" s="5">
        <f t="shared" si="153"/>
        <v>5</v>
      </c>
      <c r="D488" s="9">
        <f t="shared" si="154"/>
        <v>14.820000000000002</v>
      </c>
      <c r="E488" s="7">
        <f>C488/G278*D488/F278</f>
        <v>6.4937341162036644E-2</v>
      </c>
      <c r="F488" s="7">
        <f t="shared" si="155"/>
        <v>2.7434295974497008E-2</v>
      </c>
      <c r="G488" s="7">
        <f t="shared" si="123"/>
        <v>1.7815102372362008E-3</v>
      </c>
      <c r="H488" s="7">
        <f>LN(D488/F278)</f>
        <v>-0.31841867783754368</v>
      </c>
      <c r="I488" s="7">
        <f t="shared" si="124"/>
        <v>-2.0677262315101211E-2</v>
      </c>
      <c r="J488" s="7">
        <f>C488/G278</f>
        <v>8.9285714285714288E-2</v>
      </c>
      <c r="K488" s="7">
        <f t="shared" si="156"/>
        <v>2.7642896351065465E-2</v>
      </c>
      <c r="L488" s="7">
        <f t="shared" si="126"/>
        <v>2.4681157456308452E-3</v>
      </c>
      <c r="M488" s="7">
        <f>J488*LN(F278/D488)</f>
        <v>2.8430239092637838E-2</v>
      </c>
      <c r="N488" s="5">
        <f t="shared" si="157"/>
        <v>5</v>
      </c>
      <c r="O488" s="9">
        <f t="shared" si="158"/>
        <v>14.820000000000002</v>
      </c>
      <c r="P488" s="7">
        <f>(N488/(G278-SUM($E$278:$E$333)))*(O488/O278)*LN(O488/O278)</f>
        <v>-1.4346165698856335E-2</v>
      </c>
    </row>
    <row r="489" spans="1:16" x14ac:dyDescent="0.25">
      <c r="A489">
        <v>2022</v>
      </c>
      <c r="B489" t="s">
        <v>96</v>
      </c>
      <c r="C489" s="5">
        <f t="shared" si="153"/>
        <v>9</v>
      </c>
      <c r="D489" s="9">
        <f t="shared" si="154"/>
        <v>13.43333333333333</v>
      </c>
      <c r="E489" s="7">
        <f>C489/G278*D489/F278</f>
        <v>0.10595039873805975</v>
      </c>
      <c r="F489" s="7">
        <f t="shared" si="155"/>
        <v>2.8815273856086152E-2</v>
      </c>
      <c r="G489" s="7">
        <f t="shared" si="123"/>
        <v>3.0529897547987165E-3</v>
      </c>
      <c r="H489" s="7">
        <f>LN(D489/F278)</f>
        <v>-0.41665711742095735</v>
      </c>
      <c r="I489" s="7">
        <f t="shared" si="124"/>
        <v>-4.4144987727801011E-2</v>
      </c>
      <c r="J489" s="7">
        <f>C489/G278</f>
        <v>0.16071428571428573</v>
      </c>
      <c r="K489" s="7">
        <f t="shared" si="156"/>
        <v>2.8005291627886293E-2</v>
      </c>
      <c r="L489" s="7">
        <f t="shared" si="126"/>
        <v>4.5008504401960114E-3</v>
      </c>
      <c r="M489" s="7">
        <f>J489*LN(F278/D489)</f>
        <v>6.6962751014082444E-2</v>
      </c>
      <c r="N489" s="5">
        <f t="shared" si="157"/>
        <v>9</v>
      </c>
      <c r="O489" s="9">
        <f t="shared" si="158"/>
        <v>13.43333333333333</v>
      </c>
      <c r="P489" s="7">
        <f>(N489/(G278-SUM($E$278:$E$333)))*(O489/O278)*LN(O489/O278)</f>
        <v>-3.5719806082351056E-2</v>
      </c>
    </row>
    <row r="490" spans="1:16" x14ac:dyDescent="0.25">
      <c r="A490">
        <v>2023</v>
      </c>
      <c r="B490" t="s">
        <v>88</v>
      </c>
      <c r="C490" s="5">
        <f t="shared" ref="C490:C495" si="159">COUNTIFS($C$334:$C$391,B490)</f>
        <v>6</v>
      </c>
      <c r="D490" s="9">
        <f t="shared" ref="D490:D495" si="160">AVERAGEIFS($D$334:$D$391,$C$334:$C$391,B490)</f>
        <v>33.65</v>
      </c>
      <c r="E490" s="7">
        <f>C490/G334*D490/F334</f>
        <v>0.1809139784946236</v>
      </c>
      <c r="F490" s="7">
        <f t="shared" ref="F490:F495" si="161">SUMPRODUCT(($C$334:$C$391=B490)*($D$334:$D$391/D490)*LN($D$334:$D$391/D490))/C490</f>
        <v>0.24446703430055525</v>
      </c>
      <c r="G490" s="7">
        <f t="shared" si="123"/>
        <v>4.4227503786095058E-2</v>
      </c>
      <c r="H490" s="7">
        <f>LN(D490/F334)</f>
        <v>0.55894992369589958</v>
      </c>
      <c r="I490" s="7">
        <f t="shared" si="124"/>
        <v>0.10112185447509148</v>
      </c>
      <c r="J490" s="7">
        <f>C490/G334</f>
        <v>0.10344827586206896</v>
      </c>
      <c r="K490" s="7">
        <f t="shared" ref="K490:K495" si="162">SUMPRODUCT(($C$334:$C$391=B490)*LN(D490/$D$334:$D$391))/C490</f>
        <v>0.22938468122564828</v>
      </c>
      <c r="L490" s="7">
        <f t="shared" si="126"/>
        <v>2.3729449781963615E-2</v>
      </c>
      <c r="M490" s="7">
        <f>J490*LN(F334/D490)</f>
        <v>-5.7822405899575817E-2</v>
      </c>
      <c r="N490" s="5">
        <f t="shared" ref="N490:N495" si="163">COUNTIFS($C$334:$C$391,B490,$E$334:$E$391,0)</f>
        <v>5</v>
      </c>
      <c r="O490" s="9">
        <f t="shared" ref="O490:O495" si="164">AVERAGEIFS($D$334:$D$391,$C$334:$C$391,B490,$E$334:$E$391,0)</f>
        <v>22.54</v>
      </c>
      <c r="P490" s="7">
        <f>(N490/(G334-SUM($E$334:$E$391)))*(O490/O334)*LN(O490/O334)</f>
        <v>3.5158878706647113E-2</v>
      </c>
    </row>
    <row r="491" spans="1:16" x14ac:dyDescent="0.25">
      <c r="A491">
        <v>2023</v>
      </c>
      <c r="B491" t="s">
        <v>99</v>
      </c>
      <c r="C491" s="5">
        <f t="shared" si="159"/>
        <v>11</v>
      </c>
      <c r="D491" s="9">
        <f t="shared" si="160"/>
        <v>25.963636363636361</v>
      </c>
      <c r="E491" s="7">
        <f>C491/G334*D491/F334</f>
        <v>0.25591397849462355</v>
      </c>
      <c r="F491" s="7">
        <f t="shared" si="161"/>
        <v>0.18431177586148009</v>
      </c>
      <c r="G491" s="7">
        <f t="shared" si="123"/>
        <v>4.7167959844120692E-2</v>
      </c>
      <c r="H491" s="7">
        <f>LN(D491/F334)</f>
        <v>0.29963382527222154</v>
      </c>
      <c r="I491" s="7">
        <f t="shared" si="124"/>
        <v>7.6680484316977091E-2</v>
      </c>
      <c r="J491" s="7">
        <f>C491/G334</f>
        <v>0.18965517241379309</v>
      </c>
      <c r="K491" s="7">
        <f t="shared" si="162"/>
        <v>0.14024881819000481</v>
      </c>
      <c r="L491" s="7">
        <f t="shared" si="126"/>
        <v>2.6598913794656086E-2</v>
      </c>
      <c r="M491" s="7">
        <f>J491*LN(F334/D491)</f>
        <v>-5.6827104793007531E-2</v>
      </c>
      <c r="N491" s="5">
        <f t="shared" si="163"/>
        <v>10</v>
      </c>
      <c r="O491" s="9">
        <f t="shared" si="164"/>
        <v>19.990000000000002</v>
      </c>
      <c r="P491" s="7">
        <f>(N491/(G334-SUM($E$334:$E$391)))*(O491/O334)*LN(O491/O334)</f>
        <v>3.6860624410801082E-2</v>
      </c>
    </row>
    <row r="492" spans="1:16" x14ac:dyDescent="0.25">
      <c r="A492">
        <v>2023</v>
      </c>
      <c r="B492" t="s">
        <v>92</v>
      </c>
      <c r="C492" s="5">
        <f t="shared" si="159"/>
        <v>14</v>
      </c>
      <c r="D492" s="9">
        <f t="shared" si="160"/>
        <v>17.492857142857144</v>
      </c>
      <c r="E492" s="7">
        <f>C492/G334*D492/F334</f>
        <v>0.21944444444444444</v>
      </c>
      <c r="F492" s="7">
        <f t="shared" si="161"/>
        <v>6.058117311594137E-2</v>
      </c>
      <c r="G492" s="7">
        <f t="shared" si="123"/>
        <v>1.3294201878220467E-2</v>
      </c>
      <c r="H492" s="7">
        <f>LN(D492/F334)</f>
        <v>-9.5270498051973726E-2</v>
      </c>
      <c r="I492" s="7">
        <f t="shared" si="124"/>
        <v>-2.0906581516960902E-2</v>
      </c>
      <c r="J492" s="7">
        <f>C492/G334</f>
        <v>0.2413793103448276</v>
      </c>
      <c r="K492" s="7">
        <f t="shared" si="162"/>
        <v>5.1813321324664666E-2</v>
      </c>
      <c r="L492" s="7">
        <f t="shared" si="126"/>
        <v>1.2506663768022506E-2</v>
      </c>
      <c r="M492" s="7">
        <f>J492*LN(F334/D492)</f>
        <v>2.2996327115993663E-2</v>
      </c>
      <c r="N492" s="5">
        <f t="shared" si="163"/>
        <v>14</v>
      </c>
      <c r="O492" s="9">
        <f t="shared" si="164"/>
        <v>17.492857142857144</v>
      </c>
      <c r="P492" s="7">
        <f>(N492/(G334-SUM($E$334:$E$391)))*(O492/O334)*LN(O492/O334)</f>
        <v>1.0433796838943715E-2</v>
      </c>
    </row>
    <row r="493" spans="1:16" x14ac:dyDescent="0.25">
      <c r="A493">
        <v>2023</v>
      </c>
      <c r="B493" t="s">
        <v>86</v>
      </c>
      <c r="C493" s="5">
        <f t="shared" si="159"/>
        <v>13</v>
      </c>
      <c r="D493" s="9">
        <f t="shared" si="160"/>
        <v>13.676923076923076</v>
      </c>
      <c r="E493" s="7">
        <f>C493/G334*D493/F334</f>
        <v>0.15931899641577055</v>
      </c>
      <c r="F493" s="7">
        <f t="shared" si="161"/>
        <v>2.3234796404917442E-2</v>
      </c>
      <c r="G493" s="7">
        <f t="shared" si="123"/>
        <v>3.7017444451562004E-3</v>
      </c>
      <c r="H493" s="7">
        <f>LN(D493/F334)</f>
        <v>-0.34135316677656968</v>
      </c>
      <c r="I493" s="7">
        <f t="shared" si="124"/>
        <v>-5.4384043954188228E-2</v>
      </c>
      <c r="J493" s="7">
        <f>C493/G334</f>
        <v>0.22413793103448276</v>
      </c>
      <c r="K493" s="7">
        <f t="shared" si="162"/>
        <v>2.1978469842095234E-2</v>
      </c>
      <c r="L493" s="7">
        <f t="shared" si="126"/>
        <v>4.9262087577110012E-3</v>
      </c>
      <c r="M493" s="7">
        <f>J493*LN(F334/D493)</f>
        <v>7.6510192553369091E-2</v>
      </c>
      <c r="N493" s="5">
        <f t="shared" si="163"/>
        <v>13</v>
      </c>
      <c r="O493" s="9">
        <f t="shared" si="164"/>
        <v>13.676923076923076</v>
      </c>
      <c r="P493" s="7">
        <f>(N493/(G334-SUM($E$334:$E$391)))*(O493/O334)*LN(O493/O334)</f>
        <v>-3.89168223435487E-2</v>
      </c>
    </row>
    <row r="494" spans="1:16" x14ac:dyDescent="0.25">
      <c r="A494">
        <v>2023</v>
      </c>
      <c r="B494" t="s">
        <v>105</v>
      </c>
      <c r="C494" s="5">
        <f t="shared" si="159"/>
        <v>5</v>
      </c>
      <c r="D494" s="9">
        <f t="shared" si="160"/>
        <v>14.599999999999998</v>
      </c>
      <c r="E494" s="7">
        <f>C494/G334*D494/F334</f>
        <v>6.5412186379928294E-2</v>
      </c>
      <c r="F494" s="7">
        <f t="shared" si="161"/>
        <v>3.7928715936220256E-2</v>
      </c>
      <c r="G494" s="7">
        <f t="shared" si="123"/>
        <v>2.4810002359713958E-3</v>
      </c>
      <c r="H494" s="7">
        <f>LN(D494/F334)</f>
        <v>-0.27604160368054653</v>
      </c>
      <c r="I494" s="7">
        <f t="shared" si="124"/>
        <v>-1.805648482856621E-2</v>
      </c>
      <c r="J494" s="7">
        <f>C494/G334</f>
        <v>8.6206896551724144E-2</v>
      </c>
      <c r="K494" s="7">
        <f t="shared" si="162"/>
        <v>3.8451464376961363E-2</v>
      </c>
      <c r="L494" s="7">
        <f t="shared" si="126"/>
        <v>3.3147814118070144E-3</v>
      </c>
      <c r="M494" s="7">
        <f>J494*LN(F334/D494)</f>
        <v>2.3796689972460906E-2</v>
      </c>
      <c r="N494" s="5">
        <f t="shared" si="163"/>
        <v>5</v>
      </c>
      <c r="O494" s="9">
        <f t="shared" si="164"/>
        <v>14.599999999999998</v>
      </c>
      <c r="P494" s="7">
        <f>(N494/(G334-SUM($E$334:$E$391)))*(O494/O334)*LN(O494/O334)</f>
        <v>-1.0912083160468676E-2</v>
      </c>
    </row>
    <row r="495" spans="1:16" x14ac:dyDescent="0.25">
      <c r="A495">
        <v>2023</v>
      </c>
      <c r="B495" t="s">
        <v>96</v>
      </c>
      <c r="C495" s="5">
        <f t="shared" si="159"/>
        <v>9</v>
      </c>
      <c r="D495" s="9">
        <f t="shared" si="160"/>
        <v>14.755555555555556</v>
      </c>
      <c r="E495" s="7">
        <f>C495/G334*D495/F334</f>
        <v>0.11899641577060929</v>
      </c>
      <c r="F495" s="7">
        <f t="shared" si="161"/>
        <v>2.036857311727662E-2</v>
      </c>
      <c r="G495" s="7">
        <f t="shared" si="123"/>
        <v>2.4237871953175041E-3</v>
      </c>
      <c r="H495" s="7">
        <f>LN(D495/F334)</f>
        <v>-0.26544347268872304</v>
      </c>
      <c r="I495" s="7">
        <f t="shared" si="124"/>
        <v>-3.1586821839661661E-2</v>
      </c>
      <c r="J495" s="7">
        <f>C495/G334</f>
        <v>0.15517241379310345</v>
      </c>
      <c r="K495" s="7">
        <f t="shared" si="162"/>
        <v>2.0511418311849553E-2</v>
      </c>
      <c r="L495" s="7">
        <f t="shared" si="126"/>
        <v>3.1828062897697584E-3</v>
      </c>
      <c r="M495" s="7">
        <f>J495*LN(F334/D495)</f>
        <v>4.1189504382732889E-2</v>
      </c>
      <c r="N495" s="5">
        <f t="shared" si="163"/>
        <v>9</v>
      </c>
      <c r="O495" s="9">
        <f t="shared" si="164"/>
        <v>14.755555555555556</v>
      </c>
      <c r="P495" s="7">
        <f>(N495/(G334-SUM($E$334:$E$391)))*(O495/O334)*LN(O495/O334)</f>
        <v>-1.8355504722811587E-2</v>
      </c>
    </row>
    <row r="496" spans="1:16" x14ac:dyDescent="0.25">
      <c r="A496">
        <v>2024</v>
      </c>
      <c r="B496" t="s">
        <v>88</v>
      </c>
      <c r="C496" s="5">
        <f t="shared" ref="C496:C501" si="165">COUNTIFS($C$392:$C$449,B496)</f>
        <v>6</v>
      </c>
      <c r="D496" s="9">
        <f t="shared" ref="D496:D501" si="166">AVERAGEIFS($D$392:$D$449,$C$392:$C$449,B496)</f>
        <v>38.5</v>
      </c>
      <c r="E496" s="7">
        <f>C496/G392*D496/F392</f>
        <v>0.17251680358476476</v>
      </c>
      <c r="F496" s="7">
        <f t="shared" ref="F496:F501" si="167">SUMPRODUCT(($C$392:$C$449=B496)*($D$392:$D$449/D496)*LN($D$392:$D$449/D496))/C496</f>
        <v>0.17921414609439412</v>
      </c>
      <c r="G496" s="7">
        <f t="shared" si="123"/>
        <v>3.0917451641377929E-2</v>
      </c>
      <c r="H496" s="7">
        <f>LN(D496/F392)</f>
        <v>0.51142290614898545</v>
      </c>
      <c r="I496" s="7">
        <f t="shared" si="124"/>
        <v>8.8229045048854107E-2</v>
      </c>
      <c r="J496" s="7">
        <f>C496/G392</f>
        <v>0.10344827586206896</v>
      </c>
      <c r="K496" s="7">
        <f t="shared" ref="K496:K501" si="168">SUMPRODUCT(($C$392:$C$449=B496)*LN(D496/$D$392:$D$449))/C496</f>
        <v>0.17596435052332346</v>
      </c>
      <c r="L496" s="7">
        <f t="shared" si="126"/>
        <v>1.8203208674826565E-2</v>
      </c>
      <c r="M496" s="7">
        <f>J496*LN(F392/D496)</f>
        <v>-5.2905817877481241E-2</v>
      </c>
      <c r="N496" s="5">
        <f t="shared" ref="N496:N501" si="169">COUNTIFS($C$392:$C$449,B496,$E$392:$E$449,0)</f>
        <v>5</v>
      </c>
      <c r="O496" s="9">
        <f t="shared" ref="O496:O501" si="170">AVERAGEIFS($D$392:$D$449,$C$392:$C$449,B496,$E$392:$E$449,0)</f>
        <v>28.8</v>
      </c>
      <c r="P496" s="7">
        <f>(N496/(G392-SUM($E$392:$E$449)))*(O496/O392)*LN(O496/O392)</f>
        <v>3.9782331923286229E-2</v>
      </c>
    </row>
    <row r="497" spans="1:16" x14ac:dyDescent="0.25">
      <c r="A497">
        <v>2024</v>
      </c>
      <c r="B497" t="s">
        <v>99</v>
      </c>
      <c r="C497" s="5">
        <f t="shared" si="165"/>
        <v>11</v>
      </c>
      <c r="D497" s="9">
        <f t="shared" si="166"/>
        <v>31.181818181818183</v>
      </c>
      <c r="E497" s="7">
        <f>C497/G392*D497/F392</f>
        <v>0.25616131441374163</v>
      </c>
      <c r="F497" s="7">
        <f t="shared" si="167"/>
        <v>0.11188694133360716</v>
      </c>
      <c r="G497" s="7">
        <f t="shared" si="123"/>
        <v>2.8661105957750007E-2</v>
      </c>
      <c r="H497" s="7">
        <f>LN(D497/F392)</f>
        <v>0.3005998392228163</v>
      </c>
      <c r="I497" s="7">
        <f t="shared" si="124"/>
        <v>7.7002049927876029E-2</v>
      </c>
      <c r="J497" s="7">
        <f>C497/G392</f>
        <v>0.18965517241379309</v>
      </c>
      <c r="K497" s="7">
        <f t="shared" si="168"/>
        <v>8.9405189938873808E-2</v>
      </c>
      <c r="L497" s="7">
        <f t="shared" si="126"/>
        <v>1.6956156712545033E-2</v>
      </c>
      <c r="M497" s="7">
        <f>J497*LN(F392/D497)</f>
        <v>-5.701031433536171E-2</v>
      </c>
      <c r="N497" s="5">
        <f t="shared" si="169"/>
        <v>10</v>
      </c>
      <c r="O497" s="9">
        <f t="shared" si="170"/>
        <v>25.9</v>
      </c>
      <c r="P497" s="7">
        <f>(N497/(G392-SUM($E$392:$E$449)))*(O497/O392)*LN(O497/O392)</f>
        <v>4.8018443902045752E-2</v>
      </c>
    </row>
    <row r="498" spans="1:16" x14ac:dyDescent="0.25">
      <c r="A498">
        <v>2024</v>
      </c>
      <c r="B498" t="s">
        <v>92</v>
      </c>
      <c r="C498" s="5">
        <f t="shared" si="165"/>
        <v>14</v>
      </c>
      <c r="D498" s="9">
        <f t="shared" si="166"/>
        <v>21.571428571428573</v>
      </c>
      <c r="E498" s="7">
        <f>C498/G392*D498/F392</f>
        <v>0.22554144884241978</v>
      </c>
      <c r="F498" s="7">
        <f t="shared" si="167"/>
        <v>4.9034115367394819E-2</v>
      </c>
      <c r="G498" s="7">
        <f t="shared" si="123"/>
        <v>1.1059225422668588E-2</v>
      </c>
      <c r="H498" s="7">
        <f>LN(D498/F392)</f>
        <v>-6.7865647385142031E-2</v>
      </c>
      <c r="I498" s="7">
        <f t="shared" si="124"/>
        <v>-1.530651643787371E-2</v>
      </c>
      <c r="J498" s="7">
        <f>C498/G392</f>
        <v>0.2413793103448276</v>
      </c>
      <c r="K498" s="7">
        <f t="shared" si="168"/>
        <v>4.1483731301307121E-2</v>
      </c>
      <c r="L498" s="7">
        <f t="shared" si="126"/>
        <v>1.0013314452039651E-2</v>
      </c>
      <c r="M498" s="7">
        <f>J498*LN(F392/D498)</f>
        <v>1.6381363161930809E-2</v>
      </c>
      <c r="N498" s="5">
        <f t="shared" si="169"/>
        <v>14</v>
      </c>
      <c r="O498" s="9">
        <f t="shared" si="170"/>
        <v>21.571428571428573</v>
      </c>
      <c r="P498" s="7">
        <f>(N498/(G392-SUM($E$392:$E$449)))*(O498/O392)*LN(O498/O392)</f>
        <v>8.706601851189712E-3</v>
      </c>
    </row>
    <row r="499" spans="1:16" x14ac:dyDescent="0.25">
      <c r="A499">
        <v>2024</v>
      </c>
      <c r="B499" t="s">
        <v>86</v>
      </c>
      <c r="C499" s="5">
        <f t="shared" si="165"/>
        <v>13</v>
      </c>
      <c r="D499" s="9">
        <f t="shared" si="166"/>
        <v>17.307692307692307</v>
      </c>
      <c r="E499" s="7">
        <f>C499/G392*D499/F392</f>
        <v>0.16803584764749813</v>
      </c>
      <c r="F499" s="7">
        <f t="shared" si="167"/>
        <v>2.2864056375718343E-2</v>
      </c>
      <c r="G499" s="7">
        <f t="shared" si="123"/>
        <v>3.8419810937540158E-3</v>
      </c>
      <c r="H499" s="7">
        <f>LN(D499/F392)</f>
        <v>-0.28808429040186984</v>
      </c>
      <c r="I499" s="7">
        <f t="shared" si="124"/>
        <v>-4.8408487931606209E-2</v>
      </c>
      <c r="J499" s="7">
        <f>C499/G392</f>
        <v>0.22413793103448276</v>
      </c>
      <c r="K499" s="7">
        <f t="shared" si="168"/>
        <v>2.1304231356603306E-2</v>
      </c>
      <c r="L499" s="7">
        <f t="shared" si="126"/>
        <v>4.7750863385490165E-3</v>
      </c>
      <c r="M499" s="7">
        <f>J499*LN(F392/D499)</f>
        <v>6.4570616814212167E-2</v>
      </c>
      <c r="N499" s="5">
        <f t="shared" si="169"/>
        <v>13</v>
      </c>
      <c r="O499" s="9">
        <f t="shared" si="170"/>
        <v>17.307692307692307</v>
      </c>
      <c r="P499" s="7">
        <f>(N499/(G392-SUM($E$392:$E$449)))*(O499/O392)*LN(O499/O392)</f>
        <v>-3.5935549040908774E-2</v>
      </c>
    </row>
    <row r="500" spans="1:16" x14ac:dyDescent="0.25">
      <c r="A500">
        <v>2024</v>
      </c>
      <c r="B500" t="s">
        <v>105</v>
      </c>
      <c r="C500" s="5">
        <f t="shared" si="165"/>
        <v>5</v>
      </c>
      <c r="D500" s="9">
        <f t="shared" si="166"/>
        <v>18</v>
      </c>
      <c r="E500" s="7">
        <f>C500/G392*D500/F392</f>
        <v>6.7214339058999262E-2</v>
      </c>
      <c r="F500" s="7">
        <f t="shared" si="167"/>
        <v>4.4476167275636178E-2</v>
      </c>
      <c r="G500" s="7">
        <f t="shared" si="123"/>
        <v>2.9894361873093775E-3</v>
      </c>
      <c r="H500" s="7">
        <f>LN(D500/F392)</f>
        <v>-0.2488635772485884</v>
      </c>
      <c r="I500" s="7">
        <f t="shared" si="124"/>
        <v>-1.6727200860622075E-2</v>
      </c>
      <c r="J500" s="7">
        <f>C500/G392</f>
        <v>8.6206896551724144E-2</v>
      </c>
      <c r="K500" s="7">
        <f t="shared" si="168"/>
        <v>4.4063823900981632E-2</v>
      </c>
      <c r="L500" s="7">
        <f t="shared" si="126"/>
        <v>3.7986055087053132E-3</v>
      </c>
      <c r="M500" s="7">
        <f>J500*LN(F392/D500)</f>
        <v>2.1453756659361067E-2</v>
      </c>
      <c r="N500" s="5">
        <f t="shared" si="169"/>
        <v>5</v>
      </c>
      <c r="O500" s="9">
        <f t="shared" si="170"/>
        <v>18</v>
      </c>
      <c r="P500" s="7">
        <f>(N500/(G392-SUM($E$392:$E$449)))*(O500/O392)*LN(O500/O392)</f>
        <v>-1.1352075623388065E-2</v>
      </c>
    </row>
    <row r="501" spans="1:16" x14ac:dyDescent="0.25">
      <c r="A501">
        <v>2024</v>
      </c>
      <c r="B501" t="s">
        <v>96</v>
      </c>
      <c r="C501" s="5">
        <f t="shared" si="165"/>
        <v>9</v>
      </c>
      <c r="D501" s="9">
        <f t="shared" si="166"/>
        <v>16.444444444444443</v>
      </c>
      <c r="E501" s="7">
        <f>C501/G392*D501/F392</f>
        <v>0.11053024645257654</v>
      </c>
      <c r="F501" s="7">
        <f t="shared" si="167"/>
        <v>2.9244280816994553E-2</v>
      </c>
      <c r="G501" s="7">
        <f t="shared" si="123"/>
        <v>3.2323775660307646E-3</v>
      </c>
      <c r="H501" s="7">
        <f>LN(D501/F392)</f>
        <v>-0.33924763871685748</v>
      </c>
      <c r="I501" s="7">
        <f t="shared" si="124"/>
        <v>-3.7497125115828908E-2</v>
      </c>
      <c r="J501" s="7">
        <f>C501/G392</f>
        <v>0.15517241379310345</v>
      </c>
      <c r="K501" s="7">
        <f t="shared" si="168"/>
        <v>2.9661242523264259E-2</v>
      </c>
      <c r="L501" s="7">
        <f t="shared" si="126"/>
        <v>4.6026065984375577E-3</v>
      </c>
      <c r="M501" s="7">
        <f>J501*LN(F392/D501)</f>
        <v>5.2641874973305483E-2</v>
      </c>
      <c r="N501" s="5">
        <f t="shared" si="169"/>
        <v>9</v>
      </c>
      <c r="O501" s="9">
        <f t="shared" si="170"/>
        <v>16.444444444444443</v>
      </c>
      <c r="P501" s="7">
        <f>(N501/(G392-SUM($E$392:$E$449)))*(O501/O392)*LN(O501/O392)</f>
        <v>-3.0120632603868897E-2</v>
      </c>
    </row>
    <row r="504" spans="1:16" x14ac:dyDescent="0.25">
      <c r="A504" s="10" t="s">
        <v>250</v>
      </c>
    </row>
    <row r="505" spans="1:16" ht="32.1" customHeight="1" x14ac:dyDescent="0.25">
      <c r="A505" s="3" t="s">
        <v>53</v>
      </c>
      <c r="B505" s="3" t="s">
        <v>157</v>
      </c>
      <c r="C505" s="3" t="s">
        <v>251</v>
      </c>
      <c r="D505" s="3" t="s">
        <v>252</v>
      </c>
      <c r="E505" s="3" t="s">
        <v>253</v>
      </c>
      <c r="F505" s="3" t="s">
        <v>254</v>
      </c>
      <c r="G505" s="3" t="s">
        <v>255</v>
      </c>
      <c r="H505" s="3" t="s">
        <v>256</v>
      </c>
      <c r="I505" s="3" t="s">
        <v>257</v>
      </c>
      <c r="J505" s="3" t="s">
        <v>258</v>
      </c>
      <c r="K505" s="3" t="s">
        <v>259</v>
      </c>
      <c r="L505" s="3" t="s">
        <v>260</v>
      </c>
      <c r="M505" s="3" t="s">
        <v>261</v>
      </c>
      <c r="N505" s="3" t="s">
        <v>262</v>
      </c>
      <c r="O505" s="3" t="s">
        <v>263</v>
      </c>
      <c r="P505" s="3" t="s">
        <v>264</v>
      </c>
    </row>
    <row r="506" spans="1:16" x14ac:dyDescent="0.25">
      <c r="A506">
        <v>2017</v>
      </c>
      <c r="B506" s="5">
        <f>G5</f>
        <v>54</v>
      </c>
      <c r="C506" s="12">
        <f>2*SUM($I$5:$I$58)/(B506*SUM($D$5:$D$58))-(B506+1)/B506</f>
        <v>0.14543943646469559</v>
      </c>
      <c r="D506" s="12">
        <f>_xlfn.STDEV.S($D$5:$D$58)/F5</f>
        <v>0.34793752770433223</v>
      </c>
      <c r="E506" s="12">
        <f>_xlfn.STDEV.S($N$5:$N$58)</f>
        <v>0.26052801942956832</v>
      </c>
      <c r="F506" s="12">
        <f>SUM($L$5:$L$58)/B506</f>
        <v>4.7161429224344076E-2</v>
      </c>
      <c r="G506" s="12">
        <f>SUM($I$454:$I$459)</f>
        <v>1.5361506623416902E-2</v>
      </c>
      <c r="H506" s="12">
        <f>SUM($G$454:$G$459)</f>
        <v>3.179992260092715E-2</v>
      </c>
      <c r="I506" s="13">
        <f t="shared" ref="I506:I513" si="171">G506/F506*100</f>
        <v>32.572182132867816</v>
      </c>
      <c r="J506" s="12">
        <f>SUM($M$5:$M$58)/B506</f>
        <v>3.9781367970685738E-2</v>
      </c>
      <c r="K506" s="12">
        <f>SUM($M$454:$M$459)</f>
        <v>1.5040513177143597E-2</v>
      </c>
      <c r="L506" s="13">
        <f t="shared" ref="L506:L513" si="172">K506/J506*100</f>
        <v>37.807933573894978</v>
      </c>
      <c r="M506" s="12">
        <f>SUM($P$5:$P$58)/(B506-SUM($E$5:$E$58))</f>
        <v>1.8746503190777856E-2</v>
      </c>
      <c r="N506" s="12">
        <f>SUM($P$454:$P$459)</f>
        <v>5.9989671272508635E-3</v>
      </c>
      <c r="O506" s="13">
        <f t="shared" ref="O506:O513" si="173">N506/M506*100</f>
        <v>32.000459318738393</v>
      </c>
      <c r="P506" s="12">
        <f>2*SUMPRODUCT((1-$E$5:$E$58)*(COUNTIFS($D$5:$D$58,"&lt;"&amp;$D$5:$D$58,$E$5:$E$58,0)+(COUNTIFS($D$5:$D$58,$D$5:$D$58,$E$5:$E$58,0)+1)/2)*$D$5:$D$58)/((B506-2)*SUMPRODUCT((1-$E$5:$E$58)*$D$5:$D$58))-(B506-1)/(B506-2)</f>
        <v>0.10367953164563271</v>
      </c>
    </row>
    <row r="507" spans="1:16" x14ac:dyDescent="0.25">
      <c r="A507">
        <v>2018</v>
      </c>
      <c r="B507" s="5">
        <f>G59</f>
        <v>54</v>
      </c>
      <c r="C507" s="12">
        <f>2*SUM($I$59:$I$112)/(B507*SUM($D$59:$D$112))-(B507+1)/B507</f>
        <v>0.12890223062934703</v>
      </c>
      <c r="D507" s="12">
        <f>_xlfn.STDEV.S($D$59:$D$112)/F59</f>
        <v>0.28597974451666208</v>
      </c>
      <c r="E507" s="12">
        <f>_xlfn.STDEV.S($N$59:$N$112)</f>
        <v>0.23122665909950918</v>
      </c>
      <c r="F507" s="12">
        <f>SUM($L$59:$L$112)/B507</f>
        <v>3.3861553182801582E-2</v>
      </c>
      <c r="G507" s="12">
        <f>SUM($I$460:$I$465)</f>
        <v>1.1408942854868511E-2</v>
      </c>
      <c r="H507" s="12">
        <f>SUM($G$460:$G$465)</f>
        <v>2.2452610327933081E-2</v>
      </c>
      <c r="I507" s="13">
        <f t="shared" si="171"/>
        <v>33.692910639028689</v>
      </c>
      <c r="J507" s="12">
        <f>SUM($M$59:$M$112)/B507</f>
        <v>2.9849959162668721E-2</v>
      </c>
      <c r="K507" s="12">
        <f>SUM($M$460:$M$465)</f>
        <v>1.1139786318723789E-2</v>
      </c>
      <c r="L507" s="13">
        <f t="shared" si="172"/>
        <v>37.31926820407697</v>
      </c>
      <c r="M507" s="12">
        <f>SUM($P$59:$P$112)/(B507-SUM($E$59:$E$112))</f>
        <v>1.5566957411304658E-2</v>
      </c>
      <c r="N507" s="12">
        <f>SUM($P$460:$P$465)</f>
        <v>4.7940157909148497E-3</v>
      </c>
      <c r="O507" s="13">
        <f t="shared" si="173"/>
        <v>30.796100125728206</v>
      </c>
      <c r="P507" s="12">
        <f>2*SUMPRODUCT((1-$E$59:$E$112)*(COUNTIFS($D$59:$D$112,"&lt;"&amp;$D$59:$D$112,$E$59:$E$112,0)+(COUNTIFS($D$59:$D$112,$D$59:$D$112,$E$59:$E$112,0)+1)/2)*$D$59:$D$112)/((B507-2)*SUMPRODUCT((1-$E$59:$E$112)*$D$59:$D$112))-(B507-1)/(B507-2)</f>
        <v>9.7092385250704183E-2</v>
      </c>
    </row>
    <row r="508" spans="1:16" x14ac:dyDescent="0.25">
      <c r="A508">
        <v>2019</v>
      </c>
      <c r="B508" s="5">
        <f>G113</f>
        <v>54</v>
      </c>
      <c r="C508" s="12">
        <f>2*SUM($I$113:$I$166)/(B508*SUM($D$113:$D$166))-(B508+1)/B508</f>
        <v>0.13374183256633398</v>
      </c>
      <c r="D508" s="12">
        <f>_xlfn.STDEV.S($D$113:$D$166)/F113</f>
        <v>0.28632025810787187</v>
      </c>
      <c r="E508" s="12">
        <f>_xlfn.STDEV.S($N$113:$N$166)</f>
        <v>0.23704148585034987</v>
      </c>
      <c r="F508" s="12">
        <f>SUM($L$113:$L$166)/B508</f>
        <v>3.4511133898795891E-2</v>
      </c>
      <c r="G508" s="12">
        <f>SUM($I$466:$I$471)</f>
        <v>1.2076840616590853E-2</v>
      </c>
      <c r="H508" s="12">
        <f>SUM($G$466:$G$471)</f>
        <v>2.2434293282204993E-2</v>
      </c>
      <c r="I508" s="13">
        <f t="shared" si="171"/>
        <v>34.994041783750895</v>
      </c>
      <c r="J508" s="12">
        <f>SUM($M$113:$M$166)/B508</f>
        <v>3.0883936552732857E-2</v>
      </c>
      <c r="K508" s="12">
        <f>SUM($M$466:$M$471)</f>
        <v>1.1809353292455686E-2</v>
      </c>
      <c r="L508" s="13">
        <f t="shared" si="172"/>
        <v>38.23784986830217</v>
      </c>
      <c r="M508" s="12">
        <f>SUM($P$113:$P$166)/(B508-SUM($E$113:$E$166))</f>
        <v>1.7407840270738925E-2</v>
      </c>
      <c r="N508" s="12">
        <f>SUM($P$466:$P$471)</f>
        <v>5.5558723452264099E-3</v>
      </c>
      <c r="O508" s="13">
        <f t="shared" si="173"/>
        <v>31.915919831625246</v>
      </c>
      <c r="P508" s="12">
        <f>2*SUMPRODUCT((1-$E$113:$E$166)*(COUNTIFS($D$113:$D$166,"&lt;"&amp;$D$113:$D$166,$E$113:$E$166,0)+(COUNTIFS($D$113:$D$166,$D$113:$D$166,$E$113:$E$166,0)+1)/2)*$D$113:$D$166)/((B508-2)*SUMPRODUCT((1-$E$113:$E$166)*$D$113:$D$166))-(B508-1)/(B508-2)</f>
        <v>0.10390097021133027</v>
      </c>
    </row>
    <row r="509" spans="1:16" x14ac:dyDescent="0.25">
      <c r="A509">
        <v>2020</v>
      </c>
      <c r="B509" s="5">
        <f>G167</f>
        <v>55</v>
      </c>
      <c r="C509" s="12">
        <f>2*SUM($I$167:$I$221)/(B509*SUM($D$167:$D$221))-(B509+1)/B509</f>
        <v>0.13511214199754518</v>
      </c>
      <c r="D509" s="12">
        <f>_xlfn.STDEV.S($D$167:$D$221)/F167</f>
        <v>0.28262513403316475</v>
      </c>
      <c r="E509" s="12">
        <f>_xlfn.STDEV.S($N$167:$N$221)</f>
        <v>0.23941386094791395</v>
      </c>
      <c r="F509" s="12">
        <f>SUM($L$167:$L$221)/B509</f>
        <v>3.4112131582640669E-2</v>
      </c>
      <c r="G509" s="12">
        <f>SUM($I$472:$I$477)</f>
        <v>1.175272755917221E-2</v>
      </c>
      <c r="H509" s="12">
        <f>SUM($G$472:$G$477)</f>
        <v>2.2359404023468466E-2</v>
      </c>
      <c r="I509" s="13">
        <f t="shared" si="171"/>
        <v>34.453219467390475</v>
      </c>
      <c r="J509" s="12">
        <f>SUM($M$167:$M$221)/B509</f>
        <v>3.0984958422924969E-2</v>
      </c>
      <c r="K509" s="12">
        <f>SUM($M$472:$M$477)</f>
        <v>1.151891327725011E-2</v>
      </c>
      <c r="L509" s="13">
        <f t="shared" si="172"/>
        <v>37.175822926802979</v>
      </c>
      <c r="M509" s="12">
        <f>SUM($P$167:$P$221)/(B509-SUM($E$167:$E$221))</f>
        <v>1.7966980035924947E-2</v>
      </c>
      <c r="N509" s="12">
        <f>SUM($P$472:$P$477)</f>
        <v>5.5592230592409614E-3</v>
      </c>
      <c r="O509" s="13">
        <f t="shared" si="173"/>
        <v>30.94133264536001</v>
      </c>
      <c r="P509" s="12">
        <f>2*SUMPRODUCT((1-$E$167:$E$221)*(COUNTIFS($D$167:$D$221,"&lt;"&amp;$D$167:$D$221,$E$167:$E$221,0)+(COUNTIFS($D$167:$D$221,$D$167:$D$221,$E$167:$E$221,0)+1)/2)*$D$167:$D$221)/((B509-2)*SUMPRODUCT((1-$E$167:$E$221)*$D$167:$D$221))-(B509-1)/(B509-2)</f>
        <v>0.10682631353008887</v>
      </c>
    </row>
    <row r="510" spans="1:16" x14ac:dyDescent="0.25">
      <c r="A510">
        <v>2021</v>
      </c>
      <c r="B510" s="5">
        <f>G222</f>
        <v>56</v>
      </c>
      <c r="C510" s="12">
        <f>2*SUM($I$222:$I$277)/(B510*SUM($D$222:$D$277))-(B510+1)/B510</f>
        <v>0.35278455047702706</v>
      </c>
      <c r="D510" s="12">
        <f>_xlfn.STDEV.S($D$222:$D$277)/F222</f>
        <v>1.2534100744940726</v>
      </c>
      <c r="E510" s="12">
        <f>_xlfn.STDEV.S($N$222:$N$277)</f>
        <v>0.52838400881692471</v>
      </c>
      <c r="F510" s="12">
        <f>SUM($L$222:$L$277)/B510</f>
        <v>0.36490225071010857</v>
      </c>
      <c r="G510" s="12">
        <f>SUM($I$478:$I$483)</f>
        <v>0.11282820578230432</v>
      </c>
      <c r="H510" s="12">
        <f>SUM($G$478:$G$483)</f>
        <v>0.25207404492780433</v>
      </c>
      <c r="I510" s="13">
        <f t="shared" si="171"/>
        <v>30.920117802161514</v>
      </c>
      <c r="J510" s="12">
        <f>SUM($M$222:$M$277)/B510</f>
        <v>0.23630268942737201</v>
      </c>
      <c r="K510" s="12">
        <f>SUM($M$478:$M$483)</f>
        <v>0.10393291445399555</v>
      </c>
      <c r="L510" s="13">
        <f t="shared" si="172"/>
        <v>43.982958766086952</v>
      </c>
      <c r="M510" s="12">
        <f>SUM($P$222:$P$277)/(B510-SUM($E$222:$E$277))</f>
        <v>6.4999532162738682E-2</v>
      </c>
      <c r="N510" s="12">
        <f>SUM($P$478:$P$483)</f>
        <v>1.84611914532153E-2</v>
      </c>
      <c r="O510" s="13">
        <f t="shared" si="173"/>
        <v>28.402037428506716</v>
      </c>
      <c r="P510" s="12">
        <f>2*SUMPRODUCT((1-$E$222:$E$277)*(COUNTIFS($D$222:$D$277,"&lt;"&amp;$D$222:$D$277,$E$222:$E$277,0)+(COUNTIFS($D$222:$D$277,$D$222:$D$277,$E$222:$E$277,0)+1)/2)*$D$222:$D$277)/((B510-2)*SUMPRODUCT((1-$E$222:$E$277)*$D$222:$D$277))-(B510-1)/(B510-2)</f>
        <v>0.18191383424459362</v>
      </c>
    </row>
    <row r="511" spans="1:16" x14ac:dyDescent="0.25">
      <c r="A511">
        <v>2022</v>
      </c>
      <c r="B511" s="5">
        <f>G278</f>
        <v>56</v>
      </c>
      <c r="C511" s="12">
        <f>2*SUM($I$278:$I$333)/(B511*SUM($D$278:$D$333))-(B511+1)/B511</f>
        <v>0.27625129887201627</v>
      </c>
      <c r="D511" s="12">
        <f>_xlfn.STDEV.S($D$278:$D$333)/F278</f>
        <v>0.71994938147609389</v>
      </c>
      <c r="E511" s="12">
        <f>_xlfn.STDEV.S($N$278:$N$333)</f>
        <v>0.4510117405440302</v>
      </c>
      <c r="F511" s="12">
        <f>SUM($L$278:$L$333)/B511</f>
        <v>0.1664089121595235</v>
      </c>
      <c r="G511" s="12">
        <f>SUM($I$484:$I$489)</f>
        <v>6.0161562900629142E-2</v>
      </c>
      <c r="H511" s="12">
        <f>SUM($G$484:$G$489)</f>
        <v>0.10624734925889441</v>
      </c>
      <c r="I511" s="13">
        <f t="shared" si="171"/>
        <v>36.152849099185779</v>
      </c>
      <c r="J511" s="12">
        <f>SUM($M$278:$M$333)/B511</f>
        <v>0.13021083885549603</v>
      </c>
      <c r="K511" s="12">
        <f>SUM($M$484:$M$489)</f>
        <v>5.7345235145279984E-2</v>
      </c>
      <c r="L511" s="13">
        <f t="shared" si="172"/>
        <v>44.040293150188489</v>
      </c>
      <c r="M511" s="12">
        <f>SUM($P$278:$P$333)/(B511-SUM($E$278:$E$333))</f>
        <v>6.0255799518733513E-2</v>
      </c>
      <c r="N511" s="12">
        <f>SUM($P$484:$P$489)</f>
        <v>2.0807992857058449E-2</v>
      </c>
      <c r="O511" s="13">
        <f t="shared" si="173"/>
        <v>34.532763689558628</v>
      </c>
      <c r="P511" s="12">
        <f>2*SUMPRODUCT((1-$E$278:$E$333)*(COUNTIFS($D$278:$D$333,"&lt;"&amp;$D$278:$D$333,$E$278:$E$333,0)+(COUNTIFS($D$278:$D$333,$D$278:$D$333,$E$278:$E$333,0)+1)/2)*$D$278:$D$333)/((B511-2)*SUMPRODUCT((1-$E$278:$E$333)*$D$278:$D$333))-(B511-1)/(B511-2)</f>
        <v>0.1928721174004191</v>
      </c>
    </row>
    <row r="512" spans="1:16" x14ac:dyDescent="0.25">
      <c r="A512">
        <v>2023</v>
      </c>
      <c r="B512" s="5">
        <f>G334</f>
        <v>58</v>
      </c>
      <c r="C512" s="12">
        <f>2*SUM($I$334:$I$391)/(B512*SUM($D$334:$D$391))-(B512+1)/B512</f>
        <v>0.26224199728092934</v>
      </c>
      <c r="D512" s="12">
        <f>_xlfn.STDEV.S($D$334:$D$391)/F334</f>
        <v>0.73753746646604701</v>
      </c>
      <c r="E512" s="12">
        <f>_xlfn.STDEV.S($N$334:$N$391)</f>
        <v>0.42804913876202499</v>
      </c>
      <c r="F512" s="12">
        <f>SUM($L$334:$L$391)/B512</f>
        <v>0.16616460403757286</v>
      </c>
      <c r="G512" s="12">
        <f>SUM($I$490:$I$495)</f>
        <v>5.2868406652691588E-2</v>
      </c>
      <c r="H512" s="12">
        <f>SUM($G$490:$G$495)</f>
        <v>0.11329619738488132</v>
      </c>
      <c r="I512" s="13">
        <f t="shared" si="171"/>
        <v>31.816888415499772</v>
      </c>
      <c r="J512" s="12">
        <f>SUM($M$334:$M$391)/B512</f>
        <v>0.12410202713590317</v>
      </c>
      <c r="K512" s="12">
        <f>SUM($M$490:$M$495)</f>
        <v>4.9843203331973195E-2</v>
      </c>
      <c r="L512" s="13">
        <f t="shared" si="172"/>
        <v>40.163085553300668</v>
      </c>
      <c r="M512" s="12">
        <f>SUM($P$334:$P$391)/(B512-SUM($E$334:$E$391))</f>
        <v>5.1001764049518408E-2</v>
      </c>
      <c r="N512" s="12">
        <f>SUM($P$490:$P$495)</f>
        <v>1.4268889729562955E-2</v>
      </c>
      <c r="O512" s="13">
        <f t="shared" si="173"/>
        <v>27.977247445223792</v>
      </c>
      <c r="P512" s="12">
        <f>2*SUMPRODUCT((1-$E$334:$E$391)*(COUNTIFS($D$334:$D$391,"&lt;"&amp;$D$334:$D$391,$E$334:$E$391,0)+(COUNTIFS($D$334:$D$391,$D$334:$D$391,$E$334:$E$391,0)+1)/2)*$D$334:$D$391)/((B512-2)*SUMPRODUCT((1-$E$334:$E$391)*$D$334:$D$391))-(B512-1)/(B512-2)</f>
        <v>0.17188662203804062</v>
      </c>
    </row>
    <row r="513" spans="1:16" x14ac:dyDescent="0.25">
      <c r="A513">
        <v>2024</v>
      </c>
      <c r="B513" s="5">
        <f>G392</f>
        <v>58</v>
      </c>
      <c r="C513" s="12">
        <f>2*SUM($I$392:$I$449)/(B513*SUM($D$392:$D$449))-(B513+1)/B513</f>
        <v>0.24504905874172711</v>
      </c>
      <c r="D513" s="12">
        <f>_xlfn.STDEV.S($D$392:$D$449)/F392</f>
        <v>0.60822672138593215</v>
      </c>
      <c r="E513" s="12">
        <f>_xlfn.STDEV.S($N$392:$N$449)</f>
        <v>0.4096248690714519</v>
      </c>
      <c r="F513" s="12">
        <f>SUM($L$392:$L$449)/B513</f>
        <v>0.12799334249968994</v>
      </c>
      <c r="G513" s="12">
        <f>SUM($I$496:$I$501)</f>
        <v>4.7291764630799246E-2</v>
      </c>
      <c r="H513" s="12">
        <f>SUM($G$496:$G$501)</f>
        <v>8.0701577868890664E-2</v>
      </c>
      <c r="I513" s="13">
        <f t="shared" si="171"/>
        <v>36.948612878762667</v>
      </c>
      <c r="J513" s="12">
        <f>SUM($M$392:$M$449)/B513</f>
        <v>0.1034804576810697</v>
      </c>
      <c r="K513" s="12">
        <f>SUM($M$496:$M$501)</f>
        <v>4.5131479395966581E-2</v>
      </c>
      <c r="L513" s="13">
        <f t="shared" si="172"/>
        <v>43.613528976711081</v>
      </c>
      <c r="M513" s="12">
        <f>SUM($P$392:$P$449)/(B513-SUM($E$392:$E$449))</f>
        <v>5.6564299555985451E-2</v>
      </c>
      <c r="N513" s="12">
        <f>SUM($P$496:$P$501)</f>
        <v>1.9099120408355954E-2</v>
      </c>
      <c r="O513" s="13">
        <f t="shared" si="173"/>
        <v>33.765326466126012</v>
      </c>
      <c r="P513" s="12">
        <f>2*SUMPRODUCT((1-$E$392:$E$449)*(COUNTIFS($D$392:$D$449,"&lt;"&amp;$D$392:$D$449,$E$392:$E$449,0)+(COUNTIFS($D$392:$D$449,$D$392:$D$449,$E$392:$E$449,0)+1)/2)*$D$392:$D$449)/((B513-2)*SUMPRODUCT((1-$E$392:$E$449)*$D$392:$D$449))-(B513-1)/(B513-2)</f>
        <v>0.18022260273972601</v>
      </c>
    </row>
  </sheetData>
  <mergeCells count="1">
    <mergeCell ref="A2:L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6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6" customWidth="1"/>
    <col min="3" max="6" width="8" customWidth="1"/>
    <col min="7" max="12" width="9" customWidth="1"/>
    <col min="13" max="21" width="10" customWidth="1"/>
    <col min="22" max="25" width="12" customWidth="1"/>
  </cols>
  <sheetData>
    <row r="1" spans="1:32" ht="17.25" x14ac:dyDescent="0.3">
      <c r="A1" s="1" t="s">
        <v>265</v>
      </c>
    </row>
    <row r="2" spans="1:32" ht="44.1" customHeight="1" x14ac:dyDescent="0.25">
      <c r="A2" s="26" t="s">
        <v>266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32" x14ac:dyDescent="0.25">
      <c r="AB3" s="14" t="s">
        <v>267</v>
      </c>
      <c r="AC3" s="14" t="s">
        <v>57</v>
      </c>
      <c r="AD3" s="14" t="s">
        <v>58</v>
      </c>
      <c r="AE3" s="14" t="s">
        <v>59</v>
      </c>
      <c r="AF3" s="14" t="s">
        <v>268</v>
      </c>
    </row>
    <row r="4" spans="1:32" ht="32.1" customHeight="1" x14ac:dyDescent="0.25">
      <c r="A4" s="3" t="s">
        <v>52</v>
      </c>
      <c r="B4" s="3" t="s">
        <v>53</v>
      </c>
      <c r="C4" s="3" t="s">
        <v>57</v>
      </c>
      <c r="D4" s="3" t="s">
        <v>58</v>
      </c>
      <c r="E4" s="3" t="s">
        <v>59</v>
      </c>
      <c r="F4" s="3" t="s">
        <v>268</v>
      </c>
      <c r="G4" s="3" t="s">
        <v>269</v>
      </c>
      <c r="H4" s="3" t="s">
        <v>270</v>
      </c>
      <c r="I4" s="3" t="s">
        <v>271</v>
      </c>
      <c r="J4" s="3" t="s">
        <v>272</v>
      </c>
      <c r="K4" s="3" t="s">
        <v>273</v>
      </c>
      <c r="L4" s="3" t="s">
        <v>274</v>
      </c>
      <c r="M4" s="3" t="s">
        <v>275</v>
      </c>
      <c r="N4" s="3" t="s">
        <v>276</v>
      </c>
      <c r="O4" s="3" t="s">
        <v>277</v>
      </c>
      <c r="P4" s="3" t="s">
        <v>278</v>
      </c>
      <c r="AB4">
        <v>2017</v>
      </c>
      <c r="AC4" s="15">
        <v>0.3</v>
      </c>
      <c r="AD4" s="15">
        <v>0.3</v>
      </c>
      <c r="AE4" s="15">
        <v>0.3</v>
      </c>
      <c r="AF4" s="15">
        <v>0.1</v>
      </c>
    </row>
    <row r="5" spans="1:32" x14ac:dyDescent="0.25">
      <c r="A5" t="s">
        <v>85</v>
      </c>
      <c r="B5">
        <v>2017</v>
      </c>
      <c r="C5" s="8">
        <f>'1_Du_lieu'!F5</f>
        <v>12.4</v>
      </c>
      <c r="D5" s="8">
        <f>'1_Du_lieu'!G5</f>
        <v>40.4</v>
      </c>
      <c r="E5" s="8">
        <f>'1_Du_lieu'!H5</f>
        <v>14.5</v>
      </c>
      <c r="F5" s="8">
        <f>'1_Du_lieu'!I5</f>
        <v>70.5</v>
      </c>
      <c r="G5" s="6">
        <f t="shared" ref="G5:G36" si="0">C5*$AC$4</f>
        <v>3.7199999999999998</v>
      </c>
      <c r="H5" s="6">
        <f t="shared" ref="H5:H36" si="1">D5*$AD$4</f>
        <v>12.12</v>
      </c>
      <c r="I5" s="6">
        <f t="shared" ref="I5:I36" si="2">E5*$AE$4</f>
        <v>4.3499999999999996</v>
      </c>
      <c r="J5" s="6">
        <f t="shared" ref="J5:J36" si="3">F5*$AF$4</f>
        <v>7.0500000000000007</v>
      </c>
      <c r="K5" s="6">
        <f t="shared" ref="K5:K68" si="4">SUM(G5:J5)</f>
        <v>27.24</v>
      </c>
      <c r="L5" s="9">
        <f t="shared" ref="L5:L36" si="5">_xlfn.RANK.AVG(K5,$K$5:$K$58,1)/54</f>
        <v>0.40740740740740738</v>
      </c>
      <c r="M5" s="9">
        <f t="shared" ref="M5:M36" si="6">_xlfn.RANK.AVG(G5,$G$5:$G$58,1)/54</f>
        <v>0.28703703703703703</v>
      </c>
      <c r="N5" s="9">
        <f t="shared" ref="N5:N36" si="7">_xlfn.RANK.AVG(H5,$H$5:$H$58,1)/54</f>
        <v>0.60185185185185186</v>
      </c>
      <c r="O5" s="9">
        <f t="shared" ref="O5:O36" si="8">_xlfn.RANK.AVG(I5,$I$5:$I$58,1)/54</f>
        <v>5.5555555555555552E-2</v>
      </c>
      <c r="P5" s="9">
        <f t="shared" ref="P5:P36" si="9">_xlfn.RANK.AVG(J5,$J$5:$J$58,1)/54</f>
        <v>0.78703703703703709</v>
      </c>
      <c r="AB5">
        <v>2018</v>
      </c>
      <c r="AC5" s="15">
        <v>0.2</v>
      </c>
      <c r="AD5" s="15">
        <v>0.35</v>
      </c>
      <c r="AE5" s="15">
        <v>0.35</v>
      </c>
      <c r="AF5" s="15">
        <v>0.1</v>
      </c>
    </row>
    <row r="6" spans="1:32" x14ac:dyDescent="0.25">
      <c r="A6" t="s">
        <v>87</v>
      </c>
      <c r="B6">
        <v>2017</v>
      </c>
      <c r="C6" s="8">
        <f>'1_Du_lieu'!F6</f>
        <v>21.3</v>
      </c>
      <c r="D6" s="8">
        <f>'1_Du_lieu'!G6</f>
        <v>57</v>
      </c>
      <c r="E6" s="8">
        <f>'1_Du_lieu'!H6</f>
        <v>28.6</v>
      </c>
      <c r="F6" s="8">
        <f>'1_Du_lieu'!I6</f>
        <v>57</v>
      </c>
      <c r="G6" s="6">
        <f t="shared" si="0"/>
        <v>6.39</v>
      </c>
      <c r="H6" s="6">
        <f t="shared" si="1"/>
        <v>17.099999999999998</v>
      </c>
      <c r="I6" s="6">
        <f t="shared" si="2"/>
        <v>8.58</v>
      </c>
      <c r="J6" s="6">
        <f t="shared" si="3"/>
        <v>5.7</v>
      </c>
      <c r="K6" s="6">
        <f t="shared" si="4"/>
        <v>37.770000000000003</v>
      </c>
      <c r="L6" s="9">
        <f t="shared" si="5"/>
        <v>0.88888888888888884</v>
      </c>
      <c r="M6" s="9">
        <f t="shared" si="6"/>
        <v>0.90740740740740744</v>
      </c>
      <c r="N6" s="9">
        <f t="shared" si="7"/>
        <v>0.88888888888888884</v>
      </c>
      <c r="O6" s="9">
        <f t="shared" si="8"/>
        <v>0.88888888888888884</v>
      </c>
      <c r="P6" s="9">
        <f t="shared" si="9"/>
        <v>0.24074074074074073</v>
      </c>
      <c r="AB6">
        <v>2019</v>
      </c>
      <c r="AC6" s="15">
        <v>0.2</v>
      </c>
      <c r="AD6" s="15">
        <v>0.35</v>
      </c>
      <c r="AE6" s="15">
        <v>0.35</v>
      </c>
      <c r="AF6" s="15">
        <v>0.1</v>
      </c>
    </row>
    <row r="7" spans="1:32" x14ac:dyDescent="0.25">
      <c r="A7" t="s">
        <v>89</v>
      </c>
      <c r="B7">
        <v>2017</v>
      </c>
      <c r="C7" s="8">
        <f>'1_Du_lieu'!F7</f>
        <v>21.2</v>
      </c>
      <c r="D7" s="8">
        <f>'1_Du_lieu'!G7</f>
        <v>62.1</v>
      </c>
      <c r="E7" s="8">
        <f>'1_Du_lieu'!H7</f>
        <v>36.700000000000003</v>
      </c>
      <c r="F7" s="8">
        <f>'1_Du_lieu'!I7</f>
        <v>69.5</v>
      </c>
      <c r="G7" s="6">
        <f t="shared" si="0"/>
        <v>6.3599999999999994</v>
      </c>
      <c r="H7" s="6">
        <f t="shared" si="1"/>
        <v>18.63</v>
      </c>
      <c r="I7" s="6">
        <f t="shared" si="2"/>
        <v>11.01</v>
      </c>
      <c r="J7" s="6">
        <f t="shared" si="3"/>
        <v>6.95</v>
      </c>
      <c r="K7" s="6">
        <f t="shared" si="4"/>
        <v>42.95</v>
      </c>
      <c r="L7" s="9">
        <f t="shared" si="5"/>
        <v>0.94444444444444442</v>
      </c>
      <c r="M7" s="9">
        <f t="shared" si="6"/>
        <v>0.88888888888888884</v>
      </c>
      <c r="N7" s="9">
        <f t="shared" si="7"/>
        <v>0.96296296296296291</v>
      </c>
      <c r="O7" s="9">
        <f t="shared" si="8"/>
        <v>0.94444444444444442</v>
      </c>
      <c r="P7" s="9">
        <f t="shared" si="9"/>
        <v>0.7592592592592593</v>
      </c>
      <c r="AB7">
        <v>2020</v>
      </c>
      <c r="AC7" s="15">
        <v>0.2</v>
      </c>
      <c r="AD7" s="15">
        <v>0.35</v>
      </c>
      <c r="AE7" s="15">
        <v>0.35</v>
      </c>
      <c r="AF7" s="15">
        <v>0.1</v>
      </c>
    </row>
    <row r="8" spans="1:32" x14ac:dyDescent="0.25">
      <c r="A8" t="s">
        <v>90</v>
      </c>
      <c r="B8">
        <v>2017</v>
      </c>
      <c r="C8" s="8">
        <f>'1_Du_lieu'!F8</f>
        <v>11</v>
      </c>
      <c r="D8" s="8">
        <f>'1_Du_lieu'!G8</f>
        <v>35</v>
      </c>
      <c r="E8" s="8">
        <f>'1_Du_lieu'!H8</f>
        <v>17.8</v>
      </c>
      <c r="F8" s="8">
        <f>'1_Du_lieu'!I8</f>
        <v>49</v>
      </c>
      <c r="G8" s="6">
        <f t="shared" si="0"/>
        <v>3.3</v>
      </c>
      <c r="H8" s="6">
        <f t="shared" si="1"/>
        <v>10.5</v>
      </c>
      <c r="I8" s="6">
        <f t="shared" si="2"/>
        <v>5.34</v>
      </c>
      <c r="J8" s="6">
        <f t="shared" si="3"/>
        <v>4.9000000000000004</v>
      </c>
      <c r="K8" s="6">
        <f t="shared" si="4"/>
        <v>24.04</v>
      </c>
      <c r="L8" s="9">
        <f t="shared" si="5"/>
        <v>0.12962962962962962</v>
      </c>
      <c r="M8" s="9">
        <f t="shared" si="6"/>
        <v>9.2592592592592587E-2</v>
      </c>
      <c r="N8" s="9">
        <f t="shared" si="7"/>
        <v>0.33333333333333331</v>
      </c>
      <c r="O8" s="9">
        <f t="shared" si="8"/>
        <v>0.14814814814814814</v>
      </c>
      <c r="P8" s="9">
        <f t="shared" si="9"/>
        <v>9.2592592592592587E-2</v>
      </c>
      <c r="AB8">
        <v>2021</v>
      </c>
      <c r="AC8" s="15">
        <v>0.2</v>
      </c>
      <c r="AD8" s="15">
        <v>0.4</v>
      </c>
      <c r="AE8" s="15">
        <v>0.4</v>
      </c>
      <c r="AF8" s="15">
        <v>0</v>
      </c>
    </row>
    <row r="9" spans="1:32" x14ac:dyDescent="0.25">
      <c r="A9" t="s">
        <v>91</v>
      </c>
      <c r="B9">
        <v>2017</v>
      </c>
      <c r="C9" s="8">
        <f>'1_Du_lieu'!F9</f>
        <v>14.5</v>
      </c>
      <c r="D9" s="8">
        <f>'1_Du_lieu'!G9</f>
        <v>41.5</v>
      </c>
      <c r="E9" s="8">
        <f>'1_Du_lieu'!H9</f>
        <v>21.9</v>
      </c>
      <c r="F9" s="8">
        <f>'1_Du_lieu'!I9</f>
        <v>60.9</v>
      </c>
      <c r="G9" s="6">
        <f t="shared" si="0"/>
        <v>4.3499999999999996</v>
      </c>
      <c r="H9" s="6">
        <f t="shared" si="1"/>
        <v>12.45</v>
      </c>
      <c r="I9" s="6">
        <f t="shared" si="2"/>
        <v>6.5699999999999994</v>
      </c>
      <c r="J9" s="6">
        <f t="shared" si="3"/>
        <v>6.09</v>
      </c>
      <c r="K9" s="6">
        <f t="shared" si="4"/>
        <v>29.459999999999997</v>
      </c>
      <c r="L9" s="9">
        <f t="shared" si="5"/>
        <v>0.61111111111111116</v>
      </c>
      <c r="M9" s="9">
        <f t="shared" si="6"/>
        <v>0.52777777777777779</v>
      </c>
      <c r="N9" s="9">
        <f t="shared" si="7"/>
        <v>0.70370370370370372</v>
      </c>
      <c r="O9" s="9">
        <f t="shared" si="8"/>
        <v>0.53703703703703709</v>
      </c>
      <c r="P9" s="9">
        <f t="shared" si="9"/>
        <v>0.44444444444444442</v>
      </c>
      <c r="AB9">
        <v>2022</v>
      </c>
      <c r="AC9" s="15">
        <v>0.2</v>
      </c>
      <c r="AD9" s="15">
        <v>0.4</v>
      </c>
      <c r="AE9" s="15">
        <v>0.4</v>
      </c>
      <c r="AF9" s="15">
        <v>0</v>
      </c>
    </row>
    <row r="10" spans="1:32" x14ac:dyDescent="0.25">
      <c r="A10" t="s">
        <v>93</v>
      </c>
      <c r="B10">
        <v>2017</v>
      </c>
      <c r="C10" s="8">
        <f>'1_Du_lieu'!F10</f>
        <v>15.5</v>
      </c>
      <c r="D10" s="8">
        <f>'1_Du_lieu'!G10</f>
        <v>41</v>
      </c>
      <c r="E10" s="8">
        <f>'1_Du_lieu'!H10</f>
        <v>24.4</v>
      </c>
      <c r="F10" s="8">
        <f>'1_Du_lieu'!I10</f>
        <v>56.5</v>
      </c>
      <c r="G10" s="6">
        <f t="shared" si="0"/>
        <v>4.6499999999999995</v>
      </c>
      <c r="H10" s="6">
        <f t="shared" si="1"/>
        <v>12.299999999999999</v>
      </c>
      <c r="I10" s="6">
        <f t="shared" si="2"/>
        <v>7.3199999999999994</v>
      </c>
      <c r="J10" s="6">
        <f t="shared" si="3"/>
        <v>5.65</v>
      </c>
      <c r="K10" s="6">
        <f t="shared" si="4"/>
        <v>29.92</v>
      </c>
      <c r="L10" s="9">
        <f t="shared" si="5"/>
        <v>0.66666666666666663</v>
      </c>
      <c r="M10" s="9">
        <f t="shared" si="6"/>
        <v>0.67592592592592593</v>
      </c>
      <c r="N10" s="9">
        <f t="shared" si="7"/>
        <v>0.64814814814814814</v>
      </c>
      <c r="O10" s="9">
        <f t="shared" si="8"/>
        <v>0.70370370370370372</v>
      </c>
      <c r="P10" s="9">
        <f t="shared" si="9"/>
        <v>0.22222222222222221</v>
      </c>
      <c r="AB10">
        <v>2023</v>
      </c>
      <c r="AC10" s="15">
        <v>0.2</v>
      </c>
      <c r="AD10" s="15">
        <v>0.4</v>
      </c>
      <c r="AE10" s="15">
        <v>0.4</v>
      </c>
      <c r="AF10" s="15">
        <v>0</v>
      </c>
    </row>
    <row r="11" spans="1:32" x14ac:dyDescent="0.25">
      <c r="A11" t="s">
        <v>95</v>
      </c>
      <c r="B11">
        <v>2017</v>
      </c>
      <c r="C11" s="8">
        <f>'1_Du_lieu'!F12</f>
        <v>11.6</v>
      </c>
      <c r="D11" s="8">
        <f>'1_Du_lieu'!G12</f>
        <v>40.5</v>
      </c>
      <c r="E11" s="8">
        <f>'1_Du_lieu'!H12</f>
        <v>25</v>
      </c>
      <c r="F11" s="8">
        <f>'1_Du_lieu'!I12</f>
        <v>69</v>
      </c>
      <c r="G11" s="6">
        <f t="shared" si="0"/>
        <v>3.48</v>
      </c>
      <c r="H11" s="6">
        <f t="shared" si="1"/>
        <v>12.15</v>
      </c>
      <c r="I11" s="6">
        <f t="shared" si="2"/>
        <v>7.5</v>
      </c>
      <c r="J11" s="6">
        <f t="shared" si="3"/>
        <v>6.9</v>
      </c>
      <c r="K11" s="6">
        <f t="shared" si="4"/>
        <v>30.03</v>
      </c>
      <c r="L11" s="9">
        <f t="shared" si="5"/>
        <v>0.68518518518518523</v>
      </c>
      <c r="M11" s="9">
        <f t="shared" si="6"/>
        <v>0.16666666666666666</v>
      </c>
      <c r="N11" s="9">
        <f t="shared" si="7"/>
        <v>0.62962962962962965</v>
      </c>
      <c r="O11" s="9">
        <f t="shared" si="8"/>
        <v>0.73148148148148151</v>
      </c>
      <c r="P11" s="9">
        <f t="shared" si="9"/>
        <v>0.72222222222222221</v>
      </c>
      <c r="AB11">
        <v>2024</v>
      </c>
      <c r="AC11" s="15">
        <v>0.2</v>
      </c>
      <c r="AD11" s="15">
        <v>0.4</v>
      </c>
      <c r="AE11" s="15">
        <v>0.4</v>
      </c>
      <c r="AF11" s="15">
        <v>0</v>
      </c>
    </row>
    <row r="12" spans="1:32" x14ac:dyDescent="0.25">
      <c r="A12" t="s">
        <v>97</v>
      </c>
      <c r="B12">
        <v>2017</v>
      </c>
      <c r="C12" s="8">
        <f>'1_Du_lieu'!F13</f>
        <v>13.8</v>
      </c>
      <c r="D12" s="8">
        <f>'1_Du_lieu'!G13</f>
        <v>26.8</v>
      </c>
      <c r="E12" s="8">
        <f>'1_Du_lieu'!H13</f>
        <v>18.5</v>
      </c>
      <c r="F12" s="8">
        <f>'1_Du_lieu'!I13</f>
        <v>48.6</v>
      </c>
      <c r="G12" s="6">
        <f t="shared" si="0"/>
        <v>4.1399999999999997</v>
      </c>
      <c r="H12" s="6">
        <f t="shared" si="1"/>
        <v>8.0399999999999991</v>
      </c>
      <c r="I12" s="6">
        <f t="shared" si="2"/>
        <v>5.55</v>
      </c>
      <c r="J12" s="6">
        <f t="shared" si="3"/>
        <v>4.8600000000000003</v>
      </c>
      <c r="K12" s="6">
        <f t="shared" si="4"/>
        <v>22.59</v>
      </c>
      <c r="L12" s="9">
        <f t="shared" si="5"/>
        <v>5.5555555555555552E-2</v>
      </c>
      <c r="M12" s="9">
        <f t="shared" si="6"/>
        <v>0.46296296296296297</v>
      </c>
      <c r="N12" s="9">
        <f t="shared" si="7"/>
        <v>4.6296296296296294E-2</v>
      </c>
      <c r="O12" s="9">
        <f t="shared" si="8"/>
        <v>0.16666666666666666</v>
      </c>
      <c r="P12" s="9">
        <f t="shared" si="9"/>
        <v>7.407407407407407E-2</v>
      </c>
    </row>
    <row r="13" spans="1:32" x14ac:dyDescent="0.25">
      <c r="A13" t="s">
        <v>98</v>
      </c>
      <c r="B13">
        <v>2017</v>
      </c>
      <c r="C13" s="8">
        <f>'1_Du_lieu'!F14</f>
        <v>19.8</v>
      </c>
      <c r="D13" s="8">
        <f>'1_Du_lieu'!G14</f>
        <v>57.8</v>
      </c>
      <c r="E13" s="8">
        <f>'1_Du_lieu'!H14</f>
        <v>30.3</v>
      </c>
      <c r="F13" s="8">
        <f>'1_Du_lieu'!I14</f>
        <v>65.099999999999994</v>
      </c>
      <c r="G13" s="6">
        <f t="shared" si="0"/>
        <v>5.94</v>
      </c>
      <c r="H13" s="6">
        <f t="shared" si="1"/>
        <v>17.34</v>
      </c>
      <c r="I13" s="6">
        <f t="shared" si="2"/>
        <v>9.09</v>
      </c>
      <c r="J13" s="6">
        <f t="shared" si="3"/>
        <v>6.51</v>
      </c>
      <c r="K13" s="6">
        <f t="shared" si="4"/>
        <v>38.880000000000003</v>
      </c>
      <c r="L13" s="9">
        <f t="shared" si="5"/>
        <v>0.90740740740740744</v>
      </c>
      <c r="M13" s="9">
        <f t="shared" si="6"/>
        <v>0.87037037037037035</v>
      </c>
      <c r="N13" s="9">
        <f t="shared" si="7"/>
        <v>0.90740740740740744</v>
      </c>
      <c r="O13" s="9">
        <f t="shared" si="8"/>
        <v>0.90740740740740744</v>
      </c>
      <c r="P13" s="9">
        <f t="shared" si="9"/>
        <v>0.55555555555555558</v>
      </c>
    </row>
    <row r="14" spans="1:32" x14ac:dyDescent="0.25">
      <c r="A14" t="s">
        <v>100</v>
      </c>
      <c r="B14">
        <v>2017</v>
      </c>
      <c r="C14" s="8">
        <f>'1_Du_lieu'!F15</f>
        <v>15.8</v>
      </c>
      <c r="D14" s="8">
        <f>'1_Du_lieu'!G15</f>
        <v>36.5</v>
      </c>
      <c r="E14" s="8">
        <f>'1_Du_lieu'!H15</f>
        <v>19.5</v>
      </c>
      <c r="F14" s="8">
        <f>'1_Du_lieu'!I15</f>
        <v>66</v>
      </c>
      <c r="G14" s="6">
        <f t="shared" si="0"/>
        <v>4.74</v>
      </c>
      <c r="H14" s="6">
        <f t="shared" si="1"/>
        <v>10.95</v>
      </c>
      <c r="I14" s="6">
        <f t="shared" si="2"/>
        <v>5.85</v>
      </c>
      <c r="J14" s="6">
        <f t="shared" si="3"/>
        <v>6.6000000000000005</v>
      </c>
      <c r="K14" s="6">
        <f t="shared" si="4"/>
        <v>28.14</v>
      </c>
      <c r="L14" s="9">
        <f t="shared" si="5"/>
        <v>0.51851851851851849</v>
      </c>
      <c r="M14" s="9">
        <f t="shared" si="6"/>
        <v>0.7407407407407407</v>
      </c>
      <c r="N14" s="9">
        <f t="shared" si="7"/>
        <v>0.44444444444444442</v>
      </c>
      <c r="O14" s="9">
        <f t="shared" si="8"/>
        <v>0.27777777777777779</v>
      </c>
      <c r="P14" s="9">
        <f t="shared" si="9"/>
        <v>0.61111111111111116</v>
      </c>
    </row>
    <row r="15" spans="1:32" x14ac:dyDescent="0.25">
      <c r="A15" t="s">
        <v>102</v>
      </c>
      <c r="B15">
        <v>2017</v>
      </c>
      <c r="C15" s="8">
        <f>'1_Du_lieu'!F17</f>
        <v>11.1</v>
      </c>
      <c r="D15" s="8">
        <f>'1_Du_lieu'!G17</f>
        <v>24</v>
      </c>
      <c r="E15" s="8">
        <f>'1_Du_lieu'!H17</f>
        <v>18.600000000000001</v>
      </c>
      <c r="F15" s="8">
        <f>'1_Du_lieu'!I17</f>
        <v>51</v>
      </c>
      <c r="G15" s="6">
        <f t="shared" si="0"/>
        <v>3.3299999999999996</v>
      </c>
      <c r="H15" s="6">
        <f t="shared" si="1"/>
        <v>7.1999999999999993</v>
      </c>
      <c r="I15" s="6">
        <f t="shared" si="2"/>
        <v>5.58</v>
      </c>
      <c r="J15" s="6">
        <f t="shared" si="3"/>
        <v>5.1000000000000005</v>
      </c>
      <c r="K15" s="6">
        <f t="shared" si="4"/>
        <v>21.21</v>
      </c>
      <c r="L15" s="9">
        <f t="shared" si="5"/>
        <v>3.7037037037037035E-2</v>
      </c>
      <c r="M15" s="9">
        <f t="shared" si="6"/>
        <v>0.1111111111111111</v>
      </c>
      <c r="N15" s="9">
        <f t="shared" si="7"/>
        <v>1.8518518518518517E-2</v>
      </c>
      <c r="O15" s="9">
        <f t="shared" si="8"/>
        <v>0.20370370370370369</v>
      </c>
      <c r="P15" s="9">
        <f t="shared" si="9"/>
        <v>0.18518518518518517</v>
      </c>
    </row>
    <row r="16" spans="1:32" x14ac:dyDescent="0.25">
      <c r="A16" t="s">
        <v>103</v>
      </c>
      <c r="B16">
        <v>2017</v>
      </c>
      <c r="C16" s="8">
        <f>'1_Du_lieu'!F18</f>
        <v>17.3</v>
      </c>
      <c r="D16" s="8">
        <f>'1_Du_lieu'!G18</f>
        <v>55.5</v>
      </c>
      <c r="E16" s="8">
        <f>'1_Du_lieu'!H18</f>
        <v>26.2</v>
      </c>
      <c r="F16" s="8">
        <f>'1_Du_lieu'!I18</f>
        <v>75</v>
      </c>
      <c r="G16" s="6">
        <f t="shared" si="0"/>
        <v>5.19</v>
      </c>
      <c r="H16" s="6">
        <f t="shared" si="1"/>
        <v>16.649999999999999</v>
      </c>
      <c r="I16" s="6">
        <f t="shared" si="2"/>
        <v>7.8599999999999994</v>
      </c>
      <c r="J16" s="6">
        <f t="shared" si="3"/>
        <v>7.5</v>
      </c>
      <c r="K16" s="6">
        <f t="shared" si="4"/>
        <v>37.200000000000003</v>
      </c>
      <c r="L16" s="9">
        <f t="shared" si="5"/>
        <v>0.87037037037037035</v>
      </c>
      <c r="M16" s="9">
        <f t="shared" si="6"/>
        <v>0.81481481481481477</v>
      </c>
      <c r="N16" s="9">
        <f t="shared" si="7"/>
        <v>0.85185185185185186</v>
      </c>
      <c r="O16" s="9">
        <f t="shared" si="8"/>
        <v>0.81481481481481477</v>
      </c>
      <c r="P16" s="9">
        <f t="shared" si="9"/>
        <v>0.94444444444444442</v>
      </c>
    </row>
    <row r="17" spans="1:16" x14ac:dyDescent="0.25">
      <c r="A17" t="s">
        <v>104</v>
      </c>
      <c r="B17">
        <v>2017</v>
      </c>
      <c r="C17" s="8">
        <f>'1_Du_lieu'!F19</f>
        <v>10</v>
      </c>
      <c r="D17" s="8">
        <f>'1_Du_lieu'!G19</f>
        <v>33</v>
      </c>
      <c r="E17" s="8">
        <f>'1_Du_lieu'!H19</f>
        <v>21</v>
      </c>
      <c r="F17" s="8">
        <f>'1_Du_lieu'!I19</f>
        <v>45</v>
      </c>
      <c r="G17" s="6">
        <f t="shared" si="0"/>
        <v>3</v>
      </c>
      <c r="H17" s="6">
        <f t="shared" si="1"/>
        <v>9.9</v>
      </c>
      <c r="I17" s="6">
        <f t="shared" si="2"/>
        <v>6.3</v>
      </c>
      <c r="J17" s="6">
        <f t="shared" si="3"/>
        <v>4.5</v>
      </c>
      <c r="K17" s="6">
        <f t="shared" si="4"/>
        <v>23.7</v>
      </c>
      <c r="L17" s="9">
        <f t="shared" si="5"/>
        <v>0.1111111111111111</v>
      </c>
      <c r="M17" s="9">
        <f t="shared" si="6"/>
        <v>1.8518518518518517E-2</v>
      </c>
      <c r="N17" s="9">
        <f t="shared" si="7"/>
        <v>0.24074074074074073</v>
      </c>
      <c r="O17" s="9">
        <f t="shared" si="8"/>
        <v>0.45370370370370372</v>
      </c>
      <c r="P17" s="9">
        <f t="shared" si="9"/>
        <v>1.8518518518518517E-2</v>
      </c>
    </row>
    <row r="18" spans="1:16" x14ac:dyDescent="0.25">
      <c r="A18" t="s">
        <v>107</v>
      </c>
      <c r="B18">
        <v>2017</v>
      </c>
      <c r="C18" s="8">
        <f>'1_Du_lieu'!F21</f>
        <v>15.8</v>
      </c>
      <c r="D18" s="8">
        <f>'1_Du_lieu'!G21</f>
        <v>40.4</v>
      </c>
      <c r="E18" s="8">
        <f>'1_Du_lieu'!H21</f>
        <v>20.8</v>
      </c>
      <c r="F18" s="8">
        <f>'1_Du_lieu'!I21</f>
        <v>61.5</v>
      </c>
      <c r="G18" s="6">
        <f t="shared" si="0"/>
        <v>4.74</v>
      </c>
      <c r="H18" s="6">
        <f t="shared" si="1"/>
        <v>12.12</v>
      </c>
      <c r="I18" s="6">
        <f t="shared" si="2"/>
        <v>6.24</v>
      </c>
      <c r="J18" s="6">
        <f t="shared" si="3"/>
        <v>6.15</v>
      </c>
      <c r="K18" s="6">
        <f t="shared" si="4"/>
        <v>29.25</v>
      </c>
      <c r="L18" s="9">
        <f t="shared" si="5"/>
        <v>0.59259259259259256</v>
      </c>
      <c r="M18" s="9">
        <f t="shared" si="6"/>
        <v>0.7407407407407407</v>
      </c>
      <c r="N18" s="9">
        <f t="shared" si="7"/>
        <v>0.60185185185185186</v>
      </c>
      <c r="O18" s="9">
        <f t="shared" si="8"/>
        <v>0.42592592592592593</v>
      </c>
      <c r="P18" s="9">
        <f t="shared" si="9"/>
        <v>0.5</v>
      </c>
    </row>
    <row r="19" spans="1:16" x14ac:dyDescent="0.25">
      <c r="A19" t="s">
        <v>108</v>
      </c>
      <c r="B19">
        <v>2017</v>
      </c>
      <c r="C19" s="8">
        <f>'1_Du_lieu'!F22</f>
        <v>93.7</v>
      </c>
      <c r="D19" s="8">
        <f>'1_Du_lieu'!G22</f>
        <v>69.2</v>
      </c>
      <c r="E19" s="8">
        <f>'1_Du_lieu'!H22</f>
        <v>64.400000000000006</v>
      </c>
      <c r="F19" s="8">
        <f>'1_Du_lieu'!I22</f>
        <v>76</v>
      </c>
      <c r="G19" s="6">
        <f t="shared" si="0"/>
        <v>28.11</v>
      </c>
      <c r="H19" s="6">
        <f t="shared" si="1"/>
        <v>20.76</v>
      </c>
      <c r="I19" s="6">
        <f t="shared" si="2"/>
        <v>19.32</v>
      </c>
      <c r="J19" s="6">
        <f t="shared" si="3"/>
        <v>7.6000000000000005</v>
      </c>
      <c r="K19" s="6">
        <f t="shared" si="4"/>
        <v>75.789999999999992</v>
      </c>
      <c r="L19" s="9">
        <f t="shared" si="5"/>
        <v>0.98148148148148151</v>
      </c>
      <c r="M19" s="9">
        <f t="shared" si="6"/>
        <v>1</v>
      </c>
      <c r="N19" s="9">
        <f t="shared" si="7"/>
        <v>0.98148148148148151</v>
      </c>
      <c r="O19" s="9">
        <f t="shared" si="8"/>
        <v>0.98148148148148151</v>
      </c>
      <c r="P19" s="9">
        <f t="shared" si="9"/>
        <v>0.96296296296296291</v>
      </c>
    </row>
    <row r="20" spans="1:16" x14ac:dyDescent="0.25">
      <c r="A20" t="s">
        <v>109</v>
      </c>
      <c r="B20">
        <v>2017</v>
      </c>
      <c r="C20" s="8">
        <f>'1_Du_lieu'!F23</f>
        <v>11.9</v>
      </c>
      <c r="D20" s="8">
        <f>'1_Du_lieu'!G23</f>
        <v>33.200000000000003</v>
      </c>
      <c r="E20" s="8">
        <f>'1_Du_lieu'!H23</f>
        <v>25</v>
      </c>
      <c r="F20" s="8">
        <f>'1_Du_lieu'!I23</f>
        <v>60.8</v>
      </c>
      <c r="G20" s="6">
        <f t="shared" si="0"/>
        <v>3.57</v>
      </c>
      <c r="H20" s="6">
        <f t="shared" si="1"/>
        <v>9.9600000000000009</v>
      </c>
      <c r="I20" s="6">
        <f t="shared" si="2"/>
        <v>7.5</v>
      </c>
      <c r="J20" s="6">
        <f t="shared" si="3"/>
        <v>6.08</v>
      </c>
      <c r="K20" s="6">
        <f t="shared" si="4"/>
        <v>27.11</v>
      </c>
      <c r="L20" s="9">
        <f t="shared" si="5"/>
        <v>0.3888888888888889</v>
      </c>
      <c r="M20" s="9">
        <f t="shared" si="6"/>
        <v>0.19444444444444445</v>
      </c>
      <c r="N20" s="9">
        <f t="shared" si="7"/>
        <v>0.25925925925925924</v>
      </c>
      <c r="O20" s="9">
        <f t="shared" si="8"/>
        <v>0.73148148148148151</v>
      </c>
      <c r="P20" s="9">
        <f t="shared" si="9"/>
        <v>0.42592592592592593</v>
      </c>
    </row>
    <row r="21" spans="1:16" x14ac:dyDescent="0.25">
      <c r="A21" t="s">
        <v>110</v>
      </c>
      <c r="B21">
        <v>2017</v>
      </c>
      <c r="C21" s="8">
        <f>'1_Du_lieu'!F24</f>
        <v>10.8</v>
      </c>
      <c r="D21" s="8">
        <f>'1_Du_lieu'!G24</f>
        <v>30.1</v>
      </c>
      <c r="E21" s="8">
        <f>'1_Du_lieu'!H24</f>
        <v>22.3</v>
      </c>
      <c r="F21" s="8">
        <f>'1_Du_lieu'!I24</f>
        <v>61</v>
      </c>
      <c r="G21" s="6">
        <f t="shared" si="0"/>
        <v>3.24</v>
      </c>
      <c r="H21" s="6">
        <f t="shared" si="1"/>
        <v>9.0299999999999994</v>
      </c>
      <c r="I21" s="6">
        <f t="shared" si="2"/>
        <v>6.69</v>
      </c>
      <c r="J21" s="6">
        <f t="shared" si="3"/>
        <v>6.1000000000000005</v>
      </c>
      <c r="K21" s="6">
        <f t="shared" si="4"/>
        <v>25.060000000000002</v>
      </c>
      <c r="L21" s="9">
        <f t="shared" si="5"/>
        <v>0.18518518518518517</v>
      </c>
      <c r="M21" s="9">
        <f t="shared" si="6"/>
        <v>6.4814814814814811E-2</v>
      </c>
      <c r="N21" s="9">
        <f t="shared" si="7"/>
        <v>0.1388888888888889</v>
      </c>
      <c r="O21" s="9">
        <f t="shared" si="8"/>
        <v>0.57407407407407407</v>
      </c>
      <c r="P21" s="9">
        <f t="shared" si="9"/>
        <v>0.47222222222222221</v>
      </c>
    </row>
    <row r="22" spans="1:16" x14ac:dyDescent="0.25">
      <c r="A22" t="s">
        <v>111</v>
      </c>
      <c r="B22">
        <v>2017</v>
      </c>
      <c r="C22" s="8">
        <f>'1_Du_lieu'!F25</f>
        <v>14.2</v>
      </c>
      <c r="D22" s="8">
        <f>'1_Du_lieu'!G25</f>
        <v>36.299999999999997</v>
      </c>
      <c r="E22" s="8">
        <f>'1_Du_lieu'!H25</f>
        <v>21</v>
      </c>
      <c r="F22" s="8">
        <f>'1_Du_lieu'!I25</f>
        <v>65.8</v>
      </c>
      <c r="G22" s="6">
        <f t="shared" si="0"/>
        <v>4.26</v>
      </c>
      <c r="H22" s="6">
        <f t="shared" si="1"/>
        <v>10.889999999999999</v>
      </c>
      <c r="I22" s="6">
        <f t="shared" si="2"/>
        <v>6.3</v>
      </c>
      <c r="J22" s="6">
        <f t="shared" si="3"/>
        <v>6.58</v>
      </c>
      <c r="K22" s="6">
        <f t="shared" si="4"/>
        <v>28.03</v>
      </c>
      <c r="L22" s="9">
        <f t="shared" si="5"/>
        <v>0.48148148148148145</v>
      </c>
      <c r="M22" s="9">
        <f t="shared" si="6"/>
        <v>0.5</v>
      </c>
      <c r="N22" s="9">
        <f t="shared" si="7"/>
        <v>0.41666666666666669</v>
      </c>
      <c r="O22" s="9">
        <f t="shared" si="8"/>
        <v>0.45370370370370372</v>
      </c>
      <c r="P22" s="9">
        <f t="shared" si="9"/>
        <v>0.59259259259259256</v>
      </c>
    </row>
    <row r="23" spans="1:16" x14ac:dyDescent="0.25">
      <c r="A23" t="s">
        <v>112</v>
      </c>
      <c r="B23">
        <v>2017</v>
      </c>
      <c r="C23" s="8">
        <f>'1_Du_lieu'!F26</f>
        <v>15.3</v>
      </c>
      <c r="D23" s="8">
        <f>'1_Du_lieu'!G26</f>
        <v>54.9</v>
      </c>
      <c r="E23" s="8">
        <f>'1_Du_lieu'!H26</f>
        <v>21.2</v>
      </c>
      <c r="F23" s="8">
        <f>'1_Du_lieu'!I26</f>
        <v>71.8</v>
      </c>
      <c r="G23" s="6">
        <f t="shared" si="0"/>
        <v>4.59</v>
      </c>
      <c r="H23" s="6">
        <f t="shared" si="1"/>
        <v>16.47</v>
      </c>
      <c r="I23" s="6">
        <f t="shared" si="2"/>
        <v>6.3599999999999994</v>
      </c>
      <c r="J23" s="6">
        <f t="shared" si="3"/>
        <v>7.18</v>
      </c>
      <c r="K23" s="6">
        <f t="shared" si="4"/>
        <v>34.599999999999994</v>
      </c>
      <c r="L23" s="9">
        <f t="shared" si="5"/>
        <v>0.81481481481481477</v>
      </c>
      <c r="M23" s="9">
        <f t="shared" si="6"/>
        <v>0.63888888888888884</v>
      </c>
      <c r="N23" s="9">
        <f t="shared" si="7"/>
        <v>0.83333333333333337</v>
      </c>
      <c r="O23" s="9">
        <f t="shared" si="8"/>
        <v>0.48148148148148145</v>
      </c>
      <c r="P23" s="9">
        <f t="shared" si="9"/>
        <v>0.83333333333333337</v>
      </c>
    </row>
    <row r="24" spans="1:16" x14ac:dyDescent="0.25">
      <c r="A24" t="s">
        <v>113</v>
      </c>
      <c r="B24">
        <v>2017</v>
      </c>
      <c r="C24" s="8">
        <f>'1_Du_lieu'!F27</f>
        <v>22.1</v>
      </c>
      <c r="D24" s="8">
        <f>'1_Du_lieu'!G27</f>
        <v>61.6</v>
      </c>
      <c r="E24" s="8">
        <f>'1_Du_lieu'!H27</f>
        <v>32.299999999999997</v>
      </c>
      <c r="F24" s="8">
        <f>'1_Du_lieu'!I27</f>
        <v>73.900000000000006</v>
      </c>
      <c r="G24" s="6">
        <f t="shared" si="0"/>
        <v>6.63</v>
      </c>
      <c r="H24" s="6">
        <f t="shared" si="1"/>
        <v>18.48</v>
      </c>
      <c r="I24" s="6">
        <f t="shared" si="2"/>
        <v>9.69</v>
      </c>
      <c r="J24" s="6">
        <f t="shared" si="3"/>
        <v>7.3900000000000006</v>
      </c>
      <c r="K24" s="6">
        <f t="shared" si="4"/>
        <v>42.19</v>
      </c>
      <c r="L24" s="9">
        <f t="shared" si="5"/>
        <v>0.92592592592592593</v>
      </c>
      <c r="M24" s="9">
        <f t="shared" si="6"/>
        <v>0.94444444444444442</v>
      </c>
      <c r="N24" s="9">
        <f t="shared" si="7"/>
        <v>0.94444444444444442</v>
      </c>
      <c r="O24" s="9">
        <f t="shared" si="8"/>
        <v>0.92592592592592593</v>
      </c>
      <c r="P24" s="9">
        <f t="shared" si="9"/>
        <v>0.90740740740740744</v>
      </c>
    </row>
    <row r="25" spans="1:16" x14ac:dyDescent="0.25">
      <c r="A25" t="s">
        <v>115</v>
      </c>
      <c r="B25">
        <v>2017</v>
      </c>
      <c r="C25" s="8">
        <f>'1_Du_lieu'!F29</f>
        <v>21.5</v>
      </c>
      <c r="D25" s="8">
        <f>'1_Du_lieu'!G29</f>
        <v>47.3</v>
      </c>
      <c r="E25" s="8">
        <f>'1_Du_lieu'!H29</f>
        <v>25.9</v>
      </c>
      <c r="F25" s="8">
        <f>'1_Du_lieu'!I29</f>
        <v>62</v>
      </c>
      <c r="G25" s="6">
        <f t="shared" si="0"/>
        <v>6.45</v>
      </c>
      <c r="H25" s="6">
        <f t="shared" si="1"/>
        <v>14.19</v>
      </c>
      <c r="I25" s="6">
        <f t="shared" si="2"/>
        <v>7.77</v>
      </c>
      <c r="J25" s="6">
        <f t="shared" si="3"/>
        <v>6.2</v>
      </c>
      <c r="K25" s="6">
        <f t="shared" si="4"/>
        <v>34.61</v>
      </c>
      <c r="L25" s="9">
        <f t="shared" si="5"/>
        <v>0.83333333333333337</v>
      </c>
      <c r="M25" s="9">
        <f t="shared" si="6"/>
        <v>0.92592592592592593</v>
      </c>
      <c r="N25" s="9">
        <f t="shared" si="7"/>
        <v>0.77777777777777779</v>
      </c>
      <c r="O25" s="9">
        <f t="shared" si="8"/>
        <v>0.79629629629629628</v>
      </c>
      <c r="P25" s="9">
        <f t="shared" si="9"/>
        <v>0.51851851851851849</v>
      </c>
    </row>
    <row r="26" spans="1:16" x14ac:dyDescent="0.25">
      <c r="A26" t="s">
        <v>116</v>
      </c>
      <c r="B26">
        <v>2017</v>
      </c>
      <c r="C26" s="8">
        <f>'1_Du_lieu'!F30</f>
        <v>14.9</v>
      </c>
      <c r="D26" s="8">
        <f>'1_Du_lieu'!G30</f>
        <v>35</v>
      </c>
      <c r="E26" s="8">
        <f>'1_Du_lieu'!H30</f>
        <v>21.4</v>
      </c>
      <c r="F26" s="8">
        <f>'1_Du_lieu'!I30</f>
        <v>61</v>
      </c>
      <c r="G26" s="6">
        <f t="shared" si="0"/>
        <v>4.47</v>
      </c>
      <c r="H26" s="6">
        <f t="shared" si="1"/>
        <v>10.5</v>
      </c>
      <c r="I26" s="6">
        <f t="shared" si="2"/>
        <v>6.419999999999999</v>
      </c>
      <c r="J26" s="6">
        <f t="shared" si="3"/>
        <v>6.1000000000000005</v>
      </c>
      <c r="K26" s="6">
        <f t="shared" si="4"/>
        <v>27.49</v>
      </c>
      <c r="L26" s="9">
        <f t="shared" si="5"/>
        <v>0.44444444444444442</v>
      </c>
      <c r="M26" s="9">
        <f t="shared" si="6"/>
        <v>0.60185185185185186</v>
      </c>
      <c r="N26" s="9">
        <f t="shared" si="7"/>
        <v>0.33333333333333331</v>
      </c>
      <c r="O26" s="9">
        <f t="shared" si="8"/>
        <v>0.5</v>
      </c>
      <c r="P26" s="9">
        <f t="shared" si="9"/>
        <v>0.47222222222222221</v>
      </c>
    </row>
    <row r="27" spans="1:16" x14ac:dyDescent="0.25">
      <c r="A27" t="s">
        <v>117</v>
      </c>
      <c r="B27">
        <v>2017</v>
      </c>
      <c r="C27" s="8">
        <f>'1_Du_lieu'!F31</f>
        <v>15.5</v>
      </c>
      <c r="D27" s="8">
        <f>'1_Du_lieu'!G31</f>
        <v>26.8</v>
      </c>
      <c r="E27" s="8">
        <f>'1_Du_lieu'!H31</f>
        <v>20.6</v>
      </c>
      <c r="F27" s="8">
        <f>'1_Du_lieu'!I31</f>
        <v>53</v>
      </c>
      <c r="G27" s="6">
        <f t="shared" si="0"/>
        <v>4.6499999999999995</v>
      </c>
      <c r="H27" s="6">
        <f t="shared" si="1"/>
        <v>8.0399999999999991</v>
      </c>
      <c r="I27" s="6">
        <f t="shared" si="2"/>
        <v>6.1800000000000006</v>
      </c>
      <c r="J27" s="6">
        <f t="shared" si="3"/>
        <v>5.3000000000000007</v>
      </c>
      <c r="K27" s="6">
        <f t="shared" si="4"/>
        <v>24.169999999999998</v>
      </c>
      <c r="L27" s="9">
        <f t="shared" si="5"/>
        <v>0.14814814814814814</v>
      </c>
      <c r="M27" s="9">
        <f t="shared" si="6"/>
        <v>0.67592592592592593</v>
      </c>
      <c r="N27" s="9">
        <f t="shared" si="7"/>
        <v>4.6296296296296294E-2</v>
      </c>
      <c r="O27" s="9">
        <f t="shared" si="8"/>
        <v>0.39814814814814814</v>
      </c>
      <c r="P27" s="9">
        <f t="shared" si="9"/>
        <v>0.20370370370370369</v>
      </c>
    </row>
    <row r="28" spans="1:16" x14ac:dyDescent="0.25">
      <c r="A28" t="s">
        <v>119</v>
      </c>
      <c r="B28">
        <v>2017</v>
      </c>
      <c r="C28" s="8">
        <f>'1_Du_lieu'!F33</f>
        <v>14.8</v>
      </c>
      <c r="D28" s="8">
        <f>'1_Du_lieu'!G33</f>
        <v>35</v>
      </c>
      <c r="E28" s="8">
        <f>'1_Du_lieu'!H33</f>
        <v>23.2</v>
      </c>
      <c r="F28" s="8">
        <f>'1_Du_lieu'!I33</f>
        <v>59.6</v>
      </c>
      <c r="G28" s="6">
        <f t="shared" si="0"/>
        <v>4.4400000000000004</v>
      </c>
      <c r="H28" s="6">
        <f t="shared" si="1"/>
        <v>10.5</v>
      </c>
      <c r="I28" s="6">
        <f t="shared" si="2"/>
        <v>6.96</v>
      </c>
      <c r="J28" s="6">
        <f t="shared" si="3"/>
        <v>5.9600000000000009</v>
      </c>
      <c r="K28" s="6">
        <f t="shared" si="4"/>
        <v>27.860000000000003</v>
      </c>
      <c r="L28" s="9">
        <f t="shared" si="5"/>
        <v>0.46296296296296297</v>
      </c>
      <c r="M28" s="9">
        <f t="shared" si="6"/>
        <v>0.56481481481481477</v>
      </c>
      <c r="N28" s="9">
        <f t="shared" si="7"/>
        <v>0.33333333333333331</v>
      </c>
      <c r="O28" s="9">
        <f t="shared" si="8"/>
        <v>0.61111111111111116</v>
      </c>
      <c r="P28" s="9">
        <f t="shared" si="9"/>
        <v>0.28703703703703703</v>
      </c>
    </row>
    <row r="29" spans="1:16" x14ac:dyDescent="0.25">
      <c r="A29" t="s">
        <v>120</v>
      </c>
      <c r="B29">
        <v>2017</v>
      </c>
      <c r="C29" s="8">
        <f>'1_Du_lieu'!F34</f>
        <v>12.3</v>
      </c>
      <c r="D29" s="8">
        <f>'1_Du_lieu'!G34</f>
        <v>35</v>
      </c>
      <c r="E29" s="8">
        <f>'1_Du_lieu'!H34</f>
        <v>18.600000000000001</v>
      </c>
      <c r="F29" s="8">
        <f>'1_Du_lieu'!I34</f>
        <v>68.5</v>
      </c>
      <c r="G29" s="6">
        <f t="shared" si="0"/>
        <v>3.69</v>
      </c>
      <c r="H29" s="6">
        <f t="shared" si="1"/>
        <v>10.5</v>
      </c>
      <c r="I29" s="6">
        <f t="shared" si="2"/>
        <v>5.58</v>
      </c>
      <c r="J29" s="6">
        <f t="shared" si="3"/>
        <v>6.8500000000000005</v>
      </c>
      <c r="K29" s="6">
        <f t="shared" si="4"/>
        <v>26.62</v>
      </c>
      <c r="L29" s="9">
        <f t="shared" si="5"/>
        <v>0.33333333333333331</v>
      </c>
      <c r="M29" s="9">
        <f t="shared" si="6"/>
        <v>0.25925925925925924</v>
      </c>
      <c r="N29" s="9">
        <f t="shared" si="7"/>
        <v>0.33333333333333331</v>
      </c>
      <c r="O29" s="9">
        <f t="shared" si="8"/>
        <v>0.20370370370370369</v>
      </c>
      <c r="P29" s="9">
        <f t="shared" si="9"/>
        <v>0.70370370370370372</v>
      </c>
    </row>
    <row r="30" spans="1:16" x14ac:dyDescent="0.25">
      <c r="A30" t="s">
        <v>121</v>
      </c>
      <c r="B30">
        <v>2017</v>
      </c>
      <c r="C30" s="8">
        <f>'1_Du_lieu'!F35</f>
        <v>16.600000000000001</v>
      </c>
      <c r="D30" s="8">
        <f>'1_Du_lieu'!G35</f>
        <v>30</v>
      </c>
      <c r="E30" s="8">
        <f>'1_Du_lieu'!H35</f>
        <v>24.2</v>
      </c>
      <c r="F30" s="8">
        <f>'1_Du_lieu'!I35</f>
        <v>60</v>
      </c>
      <c r="G30" s="6">
        <f t="shared" si="0"/>
        <v>4.9800000000000004</v>
      </c>
      <c r="H30" s="6">
        <f t="shared" si="1"/>
        <v>9</v>
      </c>
      <c r="I30" s="6">
        <f t="shared" si="2"/>
        <v>7.26</v>
      </c>
      <c r="J30" s="6">
        <f t="shared" si="3"/>
        <v>6</v>
      </c>
      <c r="K30" s="6">
        <f t="shared" si="4"/>
        <v>27.240000000000002</v>
      </c>
      <c r="L30" s="9">
        <f t="shared" si="5"/>
        <v>0.42592592592592593</v>
      </c>
      <c r="M30" s="9">
        <f t="shared" si="6"/>
        <v>0.77777777777777779</v>
      </c>
      <c r="N30" s="9">
        <f t="shared" si="7"/>
        <v>0.1111111111111111</v>
      </c>
      <c r="O30" s="9">
        <f t="shared" si="8"/>
        <v>0.68518518518518523</v>
      </c>
      <c r="P30" s="9">
        <f t="shared" si="9"/>
        <v>0.34259259259259262</v>
      </c>
    </row>
    <row r="31" spans="1:16" x14ac:dyDescent="0.25">
      <c r="A31" t="s">
        <v>122</v>
      </c>
      <c r="B31">
        <v>2017</v>
      </c>
      <c r="C31" s="8">
        <f>'1_Du_lieu'!F36</f>
        <v>13.4</v>
      </c>
      <c r="D31" s="8">
        <f>'1_Du_lieu'!G36</f>
        <v>27.6</v>
      </c>
      <c r="E31" s="8">
        <f>'1_Du_lieu'!H36</f>
        <v>12.7</v>
      </c>
      <c r="F31" s="8">
        <f>'1_Du_lieu'!I36</f>
        <v>50.5</v>
      </c>
      <c r="G31" s="6">
        <f t="shared" si="0"/>
        <v>4.0199999999999996</v>
      </c>
      <c r="H31" s="6">
        <f t="shared" si="1"/>
        <v>8.2799999999999994</v>
      </c>
      <c r="I31" s="6">
        <f t="shared" si="2"/>
        <v>3.8099999999999996</v>
      </c>
      <c r="J31" s="6">
        <f t="shared" si="3"/>
        <v>5.0500000000000007</v>
      </c>
      <c r="K31" s="6">
        <f t="shared" si="4"/>
        <v>21.16</v>
      </c>
      <c r="L31" s="9">
        <f t="shared" si="5"/>
        <v>1.8518518518518517E-2</v>
      </c>
      <c r="M31" s="9">
        <f t="shared" si="6"/>
        <v>0.42592592592592593</v>
      </c>
      <c r="N31" s="9">
        <f t="shared" si="7"/>
        <v>7.407407407407407E-2</v>
      </c>
      <c r="O31" s="9">
        <f t="shared" si="8"/>
        <v>1.8518518518518517E-2</v>
      </c>
      <c r="P31" s="9">
        <f t="shared" si="9"/>
        <v>0.14814814814814814</v>
      </c>
    </row>
    <row r="32" spans="1:16" x14ac:dyDescent="0.25">
      <c r="A32" t="s">
        <v>123</v>
      </c>
      <c r="B32">
        <v>2017</v>
      </c>
      <c r="C32" s="8">
        <f>'1_Du_lieu'!F37</f>
        <v>18.3</v>
      </c>
      <c r="D32" s="8">
        <f>'1_Du_lieu'!G37</f>
        <v>48.3</v>
      </c>
      <c r="E32" s="8">
        <f>'1_Du_lieu'!H37</f>
        <v>19.600000000000001</v>
      </c>
      <c r="F32" s="8">
        <f>'1_Du_lieu'!I37</f>
        <v>74.5</v>
      </c>
      <c r="G32" s="6">
        <f t="shared" si="0"/>
        <v>5.49</v>
      </c>
      <c r="H32" s="6">
        <f t="shared" si="1"/>
        <v>14.489999999999998</v>
      </c>
      <c r="I32" s="6">
        <f t="shared" si="2"/>
        <v>5.88</v>
      </c>
      <c r="J32" s="6">
        <f t="shared" si="3"/>
        <v>7.45</v>
      </c>
      <c r="K32" s="6">
        <f t="shared" si="4"/>
        <v>33.309999999999995</v>
      </c>
      <c r="L32" s="9">
        <f t="shared" si="5"/>
        <v>0.77777777777777779</v>
      </c>
      <c r="M32" s="9">
        <f t="shared" si="6"/>
        <v>0.84259259259259256</v>
      </c>
      <c r="N32" s="9">
        <f t="shared" si="7"/>
        <v>0.79629629629629628</v>
      </c>
      <c r="O32" s="9">
        <f t="shared" si="8"/>
        <v>0.30555555555555558</v>
      </c>
      <c r="P32" s="9">
        <f t="shared" si="9"/>
        <v>0.92592592592592593</v>
      </c>
    </row>
    <row r="33" spans="1:16" x14ac:dyDescent="0.25">
      <c r="A33" t="s">
        <v>124</v>
      </c>
      <c r="B33">
        <v>2017</v>
      </c>
      <c r="C33" s="8">
        <f>'1_Du_lieu'!F38</f>
        <v>14.8</v>
      </c>
      <c r="D33" s="8">
        <f>'1_Du_lieu'!G38</f>
        <v>36.299999999999997</v>
      </c>
      <c r="E33" s="8">
        <f>'1_Du_lieu'!H38</f>
        <v>26.8</v>
      </c>
      <c r="F33" s="8">
        <f>'1_Du_lieu'!I38</f>
        <v>72.8</v>
      </c>
      <c r="G33" s="6">
        <f t="shared" si="0"/>
        <v>4.4400000000000004</v>
      </c>
      <c r="H33" s="6">
        <f t="shared" si="1"/>
        <v>10.889999999999999</v>
      </c>
      <c r="I33" s="6">
        <f t="shared" si="2"/>
        <v>8.0399999999999991</v>
      </c>
      <c r="J33" s="6">
        <f t="shared" si="3"/>
        <v>7.28</v>
      </c>
      <c r="K33" s="6">
        <f t="shared" si="4"/>
        <v>30.65</v>
      </c>
      <c r="L33" s="9">
        <f t="shared" si="5"/>
        <v>0.70370370370370372</v>
      </c>
      <c r="M33" s="9">
        <f t="shared" si="6"/>
        <v>0.56481481481481477</v>
      </c>
      <c r="N33" s="9">
        <f t="shared" si="7"/>
        <v>0.41666666666666669</v>
      </c>
      <c r="O33" s="9">
        <f t="shared" si="8"/>
        <v>0.83333333333333337</v>
      </c>
      <c r="P33" s="9">
        <f t="shared" si="9"/>
        <v>0.87037037037037035</v>
      </c>
    </row>
    <row r="34" spans="1:16" x14ac:dyDescent="0.25">
      <c r="A34" t="s">
        <v>125</v>
      </c>
      <c r="B34">
        <v>2017</v>
      </c>
      <c r="C34" s="8">
        <f>'1_Du_lieu'!F39</f>
        <v>13.3</v>
      </c>
      <c r="D34" s="8">
        <f>'1_Du_lieu'!G39</f>
        <v>40.299999999999997</v>
      </c>
      <c r="E34" s="8">
        <f>'1_Du_lieu'!H39</f>
        <v>22.1</v>
      </c>
      <c r="F34" s="8">
        <f>'1_Du_lieu'!I39</f>
        <v>69.3</v>
      </c>
      <c r="G34" s="6">
        <f t="shared" si="0"/>
        <v>3.99</v>
      </c>
      <c r="H34" s="6">
        <f t="shared" si="1"/>
        <v>12.089999999999998</v>
      </c>
      <c r="I34" s="6">
        <f t="shared" si="2"/>
        <v>6.63</v>
      </c>
      <c r="J34" s="6">
        <f t="shared" si="3"/>
        <v>6.93</v>
      </c>
      <c r="K34" s="6">
        <f t="shared" si="4"/>
        <v>29.639999999999997</v>
      </c>
      <c r="L34" s="9">
        <f t="shared" si="5"/>
        <v>0.64814814814814814</v>
      </c>
      <c r="M34" s="9">
        <f t="shared" si="6"/>
        <v>0.40740740740740738</v>
      </c>
      <c r="N34" s="9">
        <f t="shared" si="7"/>
        <v>0.57407407407407407</v>
      </c>
      <c r="O34" s="9">
        <f t="shared" si="8"/>
        <v>0.55555555555555558</v>
      </c>
      <c r="P34" s="9">
        <f t="shared" si="9"/>
        <v>0.7407407407407407</v>
      </c>
    </row>
    <row r="35" spans="1:16" x14ac:dyDescent="0.25">
      <c r="A35" t="s">
        <v>126</v>
      </c>
      <c r="B35">
        <v>2017</v>
      </c>
      <c r="C35" s="8">
        <f>'1_Du_lieu'!F40</f>
        <v>10.8</v>
      </c>
      <c r="D35" s="8">
        <f>'1_Du_lieu'!G40</f>
        <v>39.200000000000003</v>
      </c>
      <c r="E35" s="8">
        <f>'1_Du_lieu'!H40</f>
        <v>18.899999999999999</v>
      </c>
      <c r="F35" s="8">
        <f>'1_Du_lieu'!I40</f>
        <v>46</v>
      </c>
      <c r="G35" s="6">
        <f t="shared" si="0"/>
        <v>3.24</v>
      </c>
      <c r="H35" s="6">
        <f t="shared" si="1"/>
        <v>11.76</v>
      </c>
      <c r="I35" s="6">
        <f t="shared" si="2"/>
        <v>5.669999999999999</v>
      </c>
      <c r="J35" s="6">
        <f t="shared" si="3"/>
        <v>4.6000000000000005</v>
      </c>
      <c r="K35" s="6">
        <f t="shared" si="4"/>
        <v>25.27</v>
      </c>
      <c r="L35" s="9">
        <f t="shared" si="5"/>
        <v>0.22222222222222221</v>
      </c>
      <c r="M35" s="9">
        <f t="shared" si="6"/>
        <v>6.4814814814814811E-2</v>
      </c>
      <c r="N35" s="9">
        <f t="shared" si="7"/>
        <v>0.55555555555555558</v>
      </c>
      <c r="O35" s="9">
        <f t="shared" si="8"/>
        <v>0.24074074074074073</v>
      </c>
      <c r="P35" s="9">
        <f t="shared" si="9"/>
        <v>3.7037037037037035E-2</v>
      </c>
    </row>
    <row r="36" spans="1:16" x14ac:dyDescent="0.25">
      <c r="A36" t="s">
        <v>127</v>
      </c>
      <c r="B36">
        <v>2017</v>
      </c>
      <c r="C36" s="8">
        <f>'1_Du_lieu'!F41</f>
        <v>13.2</v>
      </c>
      <c r="D36" s="8">
        <f>'1_Du_lieu'!G41</f>
        <v>38.200000000000003</v>
      </c>
      <c r="E36" s="8">
        <f>'1_Du_lieu'!H41</f>
        <v>23.7</v>
      </c>
      <c r="F36" s="8">
        <f>'1_Du_lieu'!I41</f>
        <v>60.1</v>
      </c>
      <c r="G36" s="6">
        <f t="shared" si="0"/>
        <v>3.9599999999999995</v>
      </c>
      <c r="H36" s="6">
        <f t="shared" si="1"/>
        <v>11.46</v>
      </c>
      <c r="I36" s="6">
        <f t="shared" si="2"/>
        <v>7.1099999999999994</v>
      </c>
      <c r="J36" s="6">
        <f t="shared" si="3"/>
        <v>6.0100000000000007</v>
      </c>
      <c r="K36" s="6">
        <f t="shared" si="4"/>
        <v>28.540000000000003</v>
      </c>
      <c r="L36" s="9">
        <f t="shared" si="5"/>
        <v>0.55555555555555558</v>
      </c>
      <c r="M36" s="9">
        <f t="shared" si="6"/>
        <v>0.37962962962962965</v>
      </c>
      <c r="N36" s="9">
        <f t="shared" si="7"/>
        <v>0.51851851851851849</v>
      </c>
      <c r="O36" s="9">
        <f t="shared" si="8"/>
        <v>0.66666666666666663</v>
      </c>
      <c r="P36" s="9">
        <f t="shared" si="9"/>
        <v>0.37037037037037035</v>
      </c>
    </row>
    <row r="37" spans="1:16" x14ac:dyDescent="0.25">
      <c r="A37" t="s">
        <v>128</v>
      </c>
      <c r="B37">
        <v>2017</v>
      </c>
      <c r="C37" s="8">
        <f>'1_Du_lieu'!F42</f>
        <v>12.5</v>
      </c>
      <c r="D37" s="8">
        <f>'1_Du_lieu'!G42</f>
        <v>37</v>
      </c>
      <c r="E37" s="8">
        <f>'1_Du_lieu'!H42</f>
        <v>18.600000000000001</v>
      </c>
      <c r="F37" s="8">
        <f>'1_Du_lieu'!I42</f>
        <v>50</v>
      </c>
      <c r="G37" s="6">
        <f t="shared" ref="G37:G58" si="10">C37*$AC$4</f>
        <v>3.75</v>
      </c>
      <c r="H37" s="6">
        <f t="shared" ref="H37:H58" si="11">D37*$AD$4</f>
        <v>11.1</v>
      </c>
      <c r="I37" s="6">
        <f t="shared" ref="I37:I58" si="12">E37*$AE$4</f>
        <v>5.58</v>
      </c>
      <c r="J37" s="6">
        <f t="shared" ref="J37:J58" si="13">F37*$AF$4</f>
        <v>5</v>
      </c>
      <c r="K37" s="6">
        <f t="shared" si="4"/>
        <v>25.43</v>
      </c>
      <c r="L37" s="9">
        <f t="shared" ref="L37:L68" si="14">_xlfn.RANK.AVG(K37,$K$5:$K$58,1)/54</f>
        <v>0.25925925925925924</v>
      </c>
      <c r="M37" s="9">
        <f t="shared" ref="M37:M58" si="15">_xlfn.RANK.AVG(G37,$G$5:$G$58,1)/54</f>
        <v>0.31481481481481483</v>
      </c>
      <c r="N37" s="9">
        <f t="shared" ref="N37:N58" si="16">_xlfn.RANK.AVG(H37,$H$5:$H$58,1)/54</f>
        <v>0.48148148148148145</v>
      </c>
      <c r="O37" s="9">
        <f t="shared" ref="O37:O58" si="17">_xlfn.RANK.AVG(I37,$I$5:$I$58,1)/54</f>
        <v>0.20370370370370369</v>
      </c>
      <c r="P37" s="9">
        <f t="shared" ref="P37:P58" si="18">_xlfn.RANK.AVG(J37,$J$5:$J$58,1)/54</f>
        <v>0.12037037037037036</v>
      </c>
    </row>
    <row r="38" spans="1:16" x14ac:dyDescent="0.25">
      <c r="A38" t="s">
        <v>129</v>
      </c>
      <c r="B38">
        <v>2017</v>
      </c>
      <c r="C38" s="8">
        <f>'1_Du_lieu'!F43</f>
        <v>14.5</v>
      </c>
      <c r="D38" s="8">
        <f>'1_Du_lieu'!G43</f>
        <v>32.5</v>
      </c>
      <c r="E38" s="8">
        <f>'1_Du_lieu'!H43</f>
        <v>20.6</v>
      </c>
      <c r="F38" s="8">
        <f>'1_Du_lieu'!I43</f>
        <v>50.6</v>
      </c>
      <c r="G38" s="6">
        <f t="shared" si="10"/>
        <v>4.3499999999999996</v>
      </c>
      <c r="H38" s="6">
        <f t="shared" si="11"/>
        <v>9.75</v>
      </c>
      <c r="I38" s="6">
        <f t="shared" si="12"/>
        <v>6.1800000000000006</v>
      </c>
      <c r="J38" s="6">
        <f t="shared" si="13"/>
        <v>5.0600000000000005</v>
      </c>
      <c r="K38" s="6">
        <f t="shared" si="4"/>
        <v>25.340000000000003</v>
      </c>
      <c r="L38" s="9">
        <f t="shared" si="14"/>
        <v>0.24074074074074073</v>
      </c>
      <c r="M38" s="9">
        <f t="shared" si="15"/>
        <v>0.52777777777777779</v>
      </c>
      <c r="N38" s="9">
        <f t="shared" si="16"/>
        <v>0.22222222222222221</v>
      </c>
      <c r="O38" s="9">
        <f t="shared" si="17"/>
        <v>0.39814814814814814</v>
      </c>
      <c r="P38" s="9">
        <f t="shared" si="18"/>
        <v>0.16666666666666666</v>
      </c>
    </row>
    <row r="39" spans="1:16" x14ac:dyDescent="0.25">
      <c r="A39" t="s">
        <v>130</v>
      </c>
      <c r="B39">
        <v>2017</v>
      </c>
      <c r="C39" s="8">
        <f>'1_Du_lieu'!F44</f>
        <v>16.899999999999999</v>
      </c>
      <c r="D39" s="8">
        <f>'1_Du_lieu'!G44</f>
        <v>36.700000000000003</v>
      </c>
      <c r="E39" s="8">
        <f>'1_Du_lieu'!H44</f>
        <v>23.5</v>
      </c>
      <c r="F39" s="8">
        <f>'1_Du_lieu'!I44</f>
        <v>60.2</v>
      </c>
      <c r="G39" s="6">
        <f t="shared" si="10"/>
        <v>5.0699999999999994</v>
      </c>
      <c r="H39" s="6">
        <f t="shared" si="11"/>
        <v>11.01</v>
      </c>
      <c r="I39" s="6">
        <f t="shared" si="12"/>
        <v>7.05</v>
      </c>
      <c r="J39" s="6">
        <f t="shared" si="13"/>
        <v>6.0200000000000005</v>
      </c>
      <c r="K39" s="6">
        <f t="shared" si="4"/>
        <v>29.15</v>
      </c>
      <c r="L39" s="9">
        <f t="shared" si="14"/>
        <v>0.57407407407407407</v>
      </c>
      <c r="M39" s="9">
        <f t="shared" si="15"/>
        <v>0.79629629629629628</v>
      </c>
      <c r="N39" s="9">
        <f t="shared" si="16"/>
        <v>0.46296296296296297</v>
      </c>
      <c r="O39" s="9">
        <f t="shared" si="17"/>
        <v>0.64814814814814814</v>
      </c>
      <c r="P39" s="9">
        <f t="shared" si="18"/>
        <v>0.3888888888888889</v>
      </c>
    </row>
    <row r="40" spans="1:16" x14ac:dyDescent="0.25">
      <c r="A40" t="s">
        <v>131</v>
      </c>
      <c r="B40">
        <v>2017</v>
      </c>
      <c r="C40" s="8">
        <f>'1_Du_lieu'!F45</f>
        <v>15.7</v>
      </c>
      <c r="D40" s="8">
        <f>'1_Du_lieu'!G45</f>
        <v>30.1</v>
      </c>
      <c r="E40" s="8">
        <f>'1_Du_lieu'!H45</f>
        <v>19.600000000000001</v>
      </c>
      <c r="F40" s="8">
        <f>'1_Du_lieu'!I45</f>
        <v>60</v>
      </c>
      <c r="G40" s="6">
        <f t="shared" si="10"/>
        <v>4.71</v>
      </c>
      <c r="H40" s="6">
        <f t="shared" si="11"/>
        <v>9.0299999999999994</v>
      </c>
      <c r="I40" s="6">
        <f t="shared" si="12"/>
        <v>5.88</v>
      </c>
      <c r="J40" s="6">
        <f t="shared" si="13"/>
        <v>6</v>
      </c>
      <c r="K40" s="6">
        <f t="shared" si="4"/>
        <v>25.619999999999997</v>
      </c>
      <c r="L40" s="9">
        <f t="shared" si="14"/>
        <v>0.27777777777777779</v>
      </c>
      <c r="M40" s="9">
        <f t="shared" si="15"/>
        <v>0.70370370370370372</v>
      </c>
      <c r="N40" s="9">
        <f t="shared" si="16"/>
        <v>0.1388888888888889</v>
      </c>
      <c r="O40" s="9">
        <f t="shared" si="17"/>
        <v>0.30555555555555558</v>
      </c>
      <c r="P40" s="9">
        <f t="shared" si="18"/>
        <v>0.34259259259259262</v>
      </c>
    </row>
    <row r="41" spans="1:16" x14ac:dyDescent="0.25">
      <c r="A41" t="s">
        <v>132</v>
      </c>
      <c r="B41">
        <v>2017</v>
      </c>
      <c r="C41" s="8">
        <f>'1_Du_lieu'!F46</f>
        <v>13.2</v>
      </c>
      <c r="D41" s="8">
        <f>'1_Du_lieu'!G46</f>
        <v>47</v>
      </c>
      <c r="E41" s="8">
        <f>'1_Du_lieu'!H46</f>
        <v>25.2</v>
      </c>
      <c r="F41" s="8">
        <f>'1_Du_lieu'!I46</f>
        <v>70.5</v>
      </c>
      <c r="G41" s="6">
        <f t="shared" si="10"/>
        <v>3.9599999999999995</v>
      </c>
      <c r="H41" s="6">
        <f t="shared" si="11"/>
        <v>14.1</v>
      </c>
      <c r="I41" s="6">
        <f t="shared" si="12"/>
        <v>7.56</v>
      </c>
      <c r="J41" s="6">
        <f t="shared" si="13"/>
        <v>7.0500000000000007</v>
      </c>
      <c r="K41" s="6">
        <f t="shared" si="4"/>
        <v>32.67</v>
      </c>
      <c r="L41" s="9">
        <f t="shared" si="14"/>
        <v>0.7592592592592593</v>
      </c>
      <c r="M41" s="9">
        <f t="shared" si="15"/>
        <v>0.37962962962962965</v>
      </c>
      <c r="N41" s="9">
        <f t="shared" si="16"/>
        <v>0.7592592592592593</v>
      </c>
      <c r="O41" s="9">
        <f t="shared" si="17"/>
        <v>0.77777777777777779</v>
      </c>
      <c r="P41" s="9">
        <f t="shared" si="18"/>
        <v>0.78703703703703709</v>
      </c>
    </row>
    <row r="42" spans="1:16" x14ac:dyDescent="0.25">
      <c r="A42" t="s">
        <v>133</v>
      </c>
      <c r="B42">
        <v>2017</v>
      </c>
      <c r="C42" s="8">
        <f>'1_Du_lieu'!F47</f>
        <v>13.7</v>
      </c>
      <c r="D42" s="8">
        <f>'1_Du_lieu'!G47</f>
        <v>31.1</v>
      </c>
      <c r="E42" s="8">
        <f>'1_Du_lieu'!H47</f>
        <v>25.1</v>
      </c>
      <c r="F42" s="8">
        <f>'1_Du_lieu'!I47</f>
        <v>47.5</v>
      </c>
      <c r="G42" s="6">
        <f t="shared" si="10"/>
        <v>4.1099999999999994</v>
      </c>
      <c r="H42" s="6">
        <f t="shared" si="11"/>
        <v>9.33</v>
      </c>
      <c r="I42" s="6">
        <f t="shared" si="12"/>
        <v>7.53</v>
      </c>
      <c r="J42" s="6">
        <f t="shared" si="13"/>
        <v>4.75</v>
      </c>
      <c r="K42" s="6">
        <f t="shared" si="4"/>
        <v>25.72</v>
      </c>
      <c r="L42" s="9">
        <f t="shared" si="14"/>
        <v>0.29629629629629628</v>
      </c>
      <c r="M42" s="9">
        <f t="shared" si="15"/>
        <v>0.44444444444444442</v>
      </c>
      <c r="N42" s="9">
        <f t="shared" si="16"/>
        <v>0.16666666666666666</v>
      </c>
      <c r="O42" s="9">
        <f t="shared" si="17"/>
        <v>0.7592592592592593</v>
      </c>
      <c r="P42" s="9">
        <f t="shared" si="18"/>
        <v>5.5555555555555552E-2</v>
      </c>
    </row>
    <row r="43" spans="1:16" x14ac:dyDescent="0.25">
      <c r="A43" t="s">
        <v>136</v>
      </c>
      <c r="B43">
        <v>2017</v>
      </c>
      <c r="C43" s="8">
        <f>'1_Du_lieu'!F50</f>
        <v>85.5</v>
      </c>
      <c r="D43" s="8">
        <f>'1_Du_lieu'!G50</f>
        <v>72.400000000000006</v>
      </c>
      <c r="E43" s="8">
        <f>'1_Du_lieu'!H50</f>
        <v>77</v>
      </c>
      <c r="F43" s="8">
        <f>'1_Du_lieu'!I50</f>
        <v>80.8</v>
      </c>
      <c r="G43" s="6">
        <f t="shared" si="10"/>
        <v>25.65</v>
      </c>
      <c r="H43" s="6">
        <f t="shared" si="11"/>
        <v>21.720000000000002</v>
      </c>
      <c r="I43" s="6">
        <f t="shared" si="12"/>
        <v>23.099999999999998</v>
      </c>
      <c r="J43" s="6">
        <f t="shared" si="13"/>
        <v>8.08</v>
      </c>
      <c r="K43" s="6">
        <f t="shared" si="4"/>
        <v>78.55</v>
      </c>
      <c r="L43" s="9">
        <f t="shared" si="14"/>
        <v>1</v>
      </c>
      <c r="M43" s="9">
        <f t="shared" si="15"/>
        <v>0.98148148148148151</v>
      </c>
      <c r="N43" s="9">
        <f t="shared" si="16"/>
        <v>1</v>
      </c>
      <c r="O43" s="9">
        <f t="shared" si="17"/>
        <v>1</v>
      </c>
      <c r="P43" s="9">
        <f t="shared" si="18"/>
        <v>0.98148148148148151</v>
      </c>
    </row>
    <row r="44" spans="1:16" x14ac:dyDescent="0.25">
      <c r="A44" t="s">
        <v>137</v>
      </c>
      <c r="B44">
        <v>2017</v>
      </c>
      <c r="C44" s="8">
        <f>'1_Du_lieu'!F51</f>
        <v>14.1</v>
      </c>
      <c r="D44" s="8">
        <f>'1_Du_lieu'!G51</f>
        <v>35</v>
      </c>
      <c r="E44" s="8">
        <f>'1_Du_lieu'!H51</f>
        <v>27</v>
      </c>
      <c r="F44" s="8">
        <f>'1_Du_lieu'!I51</f>
        <v>67</v>
      </c>
      <c r="G44" s="6">
        <f t="shared" si="10"/>
        <v>4.2299999999999995</v>
      </c>
      <c r="H44" s="6">
        <f t="shared" si="11"/>
        <v>10.5</v>
      </c>
      <c r="I44" s="6">
        <f t="shared" si="12"/>
        <v>8.1</v>
      </c>
      <c r="J44" s="6">
        <f t="shared" si="13"/>
        <v>6.7</v>
      </c>
      <c r="K44" s="6">
        <f t="shared" si="4"/>
        <v>29.529999999999998</v>
      </c>
      <c r="L44" s="9">
        <f t="shared" si="14"/>
        <v>0.62962962962962965</v>
      </c>
      <c r="M44" s="9">
        <f t="shared" si="15"/>
        <v>0.48148148148148145</v>
      </c>
      <c r="N44" s="9">
        <f t="shared" si="16"/>
        <v>0.33333333333333331</v>
      </c>
      <c r="O44" s="9">
        <f t="shared" si="17"/>
        <v>0.85185185185185186</v>
      </c>
      <c r="P44" s="9">
        <f t="shared" si="18"/>
        <v>0.64814814814814814</v>
      </c>
    </row>
    <row r="45" spans="1:16" x14ac:dyDescent="0.25">
      <c r="A45" t="s">
        <v>138</v>
      </c>
      <c r="B45">
        <v>2017</v>
      </c>
      <c r="C45" s="8">
        <f>'1_Du_lieu'!F52</f>
        <v>15.8</v>
      </c>
      <c r="D45" s="8">
        <f>'1_Du_lieu'!G52</f>
        <v>41.2</v>
      </c>
      <c r="E45" s="8">
        <f>'1_Du_lieu'!H52</f>
        <v>15.2</v>
      </c>
      <c r="F45" s="8">
        <f>'1_Du_lieu'!I52</f>
        <v>66.099999999999994</v>
      </c>
      <c r="G45" s="6">
        <f t="shared" si="10"/>
        <v>4.74</v>
      </c>
      <c r="H45" s="6">
        <f t="shared" si="11"/>
        <v>12.360000000000001</v>
      </c>
      <c r="I45" s="6">
        <f t="shared" si="12"/>
        <v>4.5599999999999996</v>
      </c>
      <c r="J45" s="6">
        <f t="shared" si="13"/>
        <v>6.6099999999999994</v>
      </c>
      <c r="K45" s="6">
        <f t="shared" si="4"/>
        <v>28.27</v>
      </c>
      <c r="L45" s="9">
        <f t="shared" si="14"/>
        <v>0.53703703703703709</v>
      </c>
      <c r="M45" s="9">
        <f t="shared" si="15"/>
        <v>0.7407407407407407</v>
      </c>
      <c r="N45" s="9">
        <f t="shared" si="16"/>
        <v>0.68518518518518523</v>
      </c>
      <c r="O45" s="9">
        <f t="shared" si="17"/>
        <v>7.407407407407407E-2</v>
      </c>
      <c r="P45" s="9">
        <f t="shared" si="18"/>
        <v>0.62962962962962965</v>
      </c>
    </row>
    <row r="46" spans="1:16" x14ac:dyDescent="0.25">
      <c r="A46" t="s">
        <v>139</v>
      </c>
      <c r="B46">
        <v>2017</v>
      </c>
      <c r="C46" s="8">
        <f>'1_Du_lieu'!F53</f>
        <v>10.4</v>
      </c>
      <c r="D46" s="8">
        <f>'1_Du_lieu'!G53</f>
        <v>33.4</v>
      </c>
      <c r="E46" s="8">
        <f>'1_Du_lieu'!H53</f>
        <v>20</v>
      </c>
      <c r="F46" s="8">
        <f>'1_Du_lieu'!I53</f>
        <v>60.3</v>
      </c>
      <c r="G46" s="6">
        <f t="shared" si="10"/>
        <v>3.12</v>
      </c>
      <c r="H46" s="6">
        <f t="shared" si="11"/>
        <v>10.02</v>
      </c>
      <c r="I46" s="6">
        <f t="shared" si="12"/>
        <v>6</v>
      </c>
      <c r="J46" s="6">
        <f t="shared" si="13"/>
        <v>6.03</v>
      </c>
      <c r="K46" s="6">
        <f t="shared" si="4"/>
        <v>25.17</v>
      </c>
      <c r="L46" s="9">
        <f t="shared" si="14"/>
        <v>0.20370370370370369</v>
      </c>
      <c r="M46" s="9">
        <f t="shared" si="15"/>
        <v>3.7037037037037035E-2</v>
      </c>
      <c r="N46" s="9">
        <f t="shared" si="16"/>
        <v>0.27777777777777779</v>
      </c>
      <c r="O46" s="9">
        <f t="shared" si="17"/>
        <v>0.33333333333333331</v>
      </c>
      <c r="P46" s="9">
        <f t="shared" si="18"/>
        <v>0.40740740740740738</v>
      </c>
    </row>
    <row r="47" spans="1:16" x14ac:dyDescent="0.25">
      <c r="A47" t="s">
        <v>140</v>
      </c>
      <c r="B47">
        <v>2017</v>
      </c>
      <c r="C47" s="8">
        <f>'1_Du_lieu'!F54</f>
        <v>14.9</v>
      </c>
      <c r="D47" s="8">
        <f>'1_Du_lieu'!G54</f>
        <v>43.2</v>
      </c>
      <c r="E47" s="8">
        <f>'1_Du_lieu'!H54</f>
        <v>27.7</v>
      </c>
      <c r="F47" s="8">
        <f>'1_Du_lieu'!I54</f>
        <v>65.599999999999994</v>
      </c>
      <c r="G47" s="6">
        <f t="shared" si="10"/>
        <v>4.47</v>
      </c>
      <c r="H47" s="6">
        <f t="shared" si="11"/>
        <v>12.96</v>
      </c>
      <c r="I47" s="6">
        <f t="shared" si="12"/>
        <v>8.3099999999999987</v>
      </c>
      <c r="J47" s="6">
        <f t="shared" si="13"/>
        <v>6.56</v>
      </c>
      <c r="K47" s="6">
        <f t="shared" si="4"/>
        <v>32.299999999999997</v>
      </c>
      <c r="L47" s="9">
        <f t="shared" si="14"/>
        <v>0.7407407407407407</v>
      </c>
      <c r="M47" s="9">
        <f t="shared" si="15"/>
        <v>0.60185185185185186</v>
      </c>
      <c r="N47" s="9">
        <f t="shared" si="16"/>
        <v>0.72222222222222221</v>
      </c>
      <c r="O47" s="9">
        <f t="shared" si="17"/>
        <v>0.87037037037037035</v>
      </c>
      <c r="P47" s="9">
        <f t="shared" si="18"/>
        <v>0.57407407407407407</v>
      </c>
    </row>
    <row r="48" spans="1:16" x14ac:dyDescent="0.25">
      <c r="A48" t="s">
        <v>141</v>
      </c>
      <c r="B48">
        <v>2017</v>
      </c>
      <c r="C48" s="8">
        <f>'1_Du_lieu'!F55</f>
        <v>12</v>
      </c>
      <c r="D48" s="8">
        <f>'1_Du_lieu'!G55</f>
        <v>36</v>
      </c>
      <c r="E48" s="8">
        <f>'1_Du_lieu'!H55</f>
        <v>20.399999999999999</v>
      </c>
      <c r="F48" s="8">
        <f>'1_Du_lieu'!I55</f>
        <v>65</v>
      </c>
      <c r="G48" s="6">
        <f t="shared" si="10"/>
        <v>3.5999999999999996</v>
      </c>
      <c r="H48" s="6">
        <f t="shared" si="11"/>
        <v>10.799999999999999</v>
      </c>
      <c r="I48" s="6">
        <f t="shared" si="12"/>
        <v>6.1199999999999992</v>
      </c>
      <c r="J48" s="6">
        <f t="shared" si="13"/>
        <v>6.5</v>
      </c>
      <c r="K48" s="6">
        <f t="shared" si="4"/>
        <v>27.019999999999996</v>
      </c>
      <c r="L48" s="9">
        <f t="shared" si="14"/>
        <v>0.37037037037037035</v>
      </c>
      <c r="M48" s="9">
        <f t="shared" si="15"/>
        <v>0.22222222222222221</v>
      </c>
      <c r="N48" s="9">
        <f t="shared" si="16"/>
        <v>0.3888888888888889</v>
      </c>
      <c r="O48" s="9">
        <f t="shared" si="17"/>
        <v>0.37037037037037035</v>
      </c>
      <c r="P48" s="9">
        <f t="shared" si="18"/>
        <v>0.53703703703703709</v>
      </c>
    </row>
    <row r="49" spans="1:16" x14ac:dyDescent="0.25">
      <c r="A49" t="s">
        <v>142</v>
      </c>
      <c r="B49">
        <v>2017</v>
      </c>
      <c r="C49" s="8">
        <f>'1_Du_lieu'!F56</f>
        <v>12.7</v>
      </c>
      <c r="D49" s="8">
        <f>'1_Du_lieu'!G56</f>
        <v>37.799999999999997</v>
      </c>
      <c r="E49" s="8">
        <f>'1_Du_lieu'!H56</f>
        <v>16.399999999999999</v>
      </c>
      <c r="F49" s="8">
        <f>'1_Du_lieu'!I56</f>
        <v>58.8</v>
      </c>
      <c r="G49" s="6">
        <f t="shared" si="10"/>
        <v>3.8099999999999996</v>
      </c>
      <c r="H49" s="6">
        <f t="shared" si="11"/>
        <v>11.339999999999998</v>
      </c>
      <c r="I49" s="6">
        <f t="shared" si="12"/>
        <v>4.919999999999999</v>
      </c>
      <c r="J49" s="6">
        <f t="shared" si="13"/>
        <v>5.88</v>
      </c>
      <c r="K49" s="6">
        <f t="shared" si="4"/>
        <v>25.949999999999996</v>
      </c>
      <c r="L49" s="9">
        <f t="shared" si="14"/>
        <v>0.31481481481481483</v>
      </c>
      <c r="M49" s="9">
        <f t="shared" si="15"/>
        <v>0.34259259259259262</v>
      </c>
      <c r="N49" s="9">
        <f t="shared" si="16"/>
        <v>0.5</v>
      </c>
      <c r="O49" s="9">
        <f t="shared" si="17"/>
        <v>0.1111111111111111</v>
      </c>
      <c r="P49" s="9">
        <f t="shared" si="18"/>
        <v>0.25925925925925924</v>
      </c>
    </row>
    <row r="50" spans="1:16" x14ac:dyDescent="0.25">
      <c r="A50" t="s">
        <v>143</v>
      </c>
      <c r="B50">
        <v>2017</v>
      </c>
      <c r="C50" s="8">
        <f>'1_Du_lieu'!F57</f>
        <v>12.1</v>
      </c>
      <c r="D50" s="8">
        <f>'1_Du_lieu'!G57</f>
        <v>31.6</v>
      </c>
      <c r="E50" s="8">
        <f>'1_Du_lieu'!H57</f>
        <v>13.9</v>
      </c>
      <c r="F50" s="8">
        <f>'1_Du_lieu'!I57</f>
        <v>59.6</v>
      </c>
      <c r="G50" s="6">
        <f t="shared" si="10"/>
        <v>3.63</v>
      </c>
      <c r="H50" s="6">
        <f t="shared" si="11"/>
        <v>9.48</v>
      </c>
      <c r="I50" s="6">
        <f t="shared" si="12"/>
        <v>4.17</v>
      </c>
      <c r="J50" s="6">
        <f t="shared" si="13"/>
        <v>5.9600000000000009</v>
      </c>
      <c r="K50" s="6">
        <f t="shared" si="4"/>
        <v>23.240000000000002</v>
      </c>
      <c r="L50" s="9">
        <f t="shared" si="14"/>
        <v>7.407407407407407E-2</v>
      </c>
      <c r="M50" s="9">
        <f t="shared" si="15"/>
        <v>0.24074074074074073</v>
      </c>
      <c r="N50" s="9">
        <f t="shared" si="16"/>
        <v>0.18518518518518517</v>
      </c>
      <c r="O50" s="9">
        <f t="shared" si="17"/>
        <v>3.7037037037037035E-2</v>
      </c>
      <c r="P50" s="9">
        <f t="shared" si="18"/>
        <v>0.28703703703703703</v>
      </c>
    </row>
    <row r="51" spans="1:16" x14ac:dyDescent="0.25">
      <c r="A51" t="s">
        <v>144</v>
      </c>
      <c r="B51">
        <v>2017</v>
      </c>
      <c r="C51" s="8">
        <f>'1_Du_lieu'!F58</f>
        <v>12.7</v>
      </c>
      <c r="D51" s="8">
        <f>'1_Du_lieu'!G58</f>
        <v>45.6</v>
      </c>
      <c r="E51" s="8">
        <f>'1_Du_lieu'!H58</f>
        <v>21.8</v>
      </c>
      <c r="F51" s="8">
        <f>'1_Du_lieu'!I58</f>
        <v>67.400000000000006</v>
      </c>
      <c r="G51" s="6">
        <f t="shared" si="10"/>
        <v>3.8099999999999996</v>
      </c>
      <c r="H51" s="6">
        <f t="shared" si="11"/>
        <v>13.68</v>
      </c>
      <c r="I51" s="6">
        <f t="shared" si="12"/>
        <v>6.54</v>
      </c>
      <c r="J51" s="6">
        <f t="shared" si="13"/>
        <v>6.7400000000000011</v>
      </c>
      <c r="K51" s="6">
        <f t="shared" si="4"/>
        <v>30.77</v>
      </c>
      <c r="L51" s="9">
        <f t="shared" si="14"/>
        <v>0.72222222222222221</v>
      </c>
      <c r="M51" s="9">
        <f t="shared" si="15"/>
        <v>0.34259259259259262</v>
      </c>
      <c r="N51" s="9">
        <f t="shared" si="16"/>
        <v>0.7407407407407407</v>
      </c>
      <c r="O51" s="9">
        <f t="shared" si="17"/>
        <v>0.51851851851851849</v>
      </c>
      <c r="P51" s="9">
        <f t="shared" si="18"/>
        <v>0.66666666666666663</v>
      </c>
    </row>
    <row r="52" spans="1:16" x14ac:dyDescent="0.25">
      <c r="A52" t="s">
        <v>146</v>
      </c>
      <c r="B52">
        <v>2017</v>
      </c>
      <c r="C52" s="8">
        <f>'1_Du_lieu'!F60</f>
        <v>15.3</v>
      </c>
      <c r="D52" s="8">
        <f>'1_Du_lieu'!G60</f>
        <v>49.8</v>
      </c>
      <c r="E52" s="8">
        <f>'1_Du_lieu'!H60</f>
        <v>22.6</v>
      </c>
      <c r="F52" s="8">
        <f>'1_Du_lieu'!I60</f>
        <v>72</v>
      </c>
      <c r="G52" s="6">
        <f t="shared" si="10"/>
        <v>4.59</v>
      </c>
      <c r="H52" s="6">
        <f t="shared" si="11"/>
        <v>14.939999999999998</v>
      </c>
      <c r="I52" s="6">
        <f t="shared" si="12"/>
        <v>6.78</v>
      </c>
      <c r="J52" s="6">
        <f t="shared" si="13"/>
        <v>7.2</v>
      </c>
      <c r="K52" s="6">
        <f t="shared" si="4"/>
        <v>33.51</v>
      </c>
      <c r="L52" s="9">
        <f t="shared" si="14"/>
        <v>0.79629629629629628</v>
      </c>
      <c r="M52" s="9">
        <f t="shared" si="15"/>
        <v>0.63888888888888884</v>
      </c>
      <c r="N52" s="9">
        <f t="shared" si="16"/>
        <v>0.81481481481481477</v>
      </c>
      <c r="O52" s="9">
        <f t="shared" si="17"/>
        <v>0.59259259259259256</v>
      </c>
      <c r="P52" s="9">
        <f t="shared" si="18"/>
        <v>0.85185185185185186</v>
      </c>
    </row>
    <row r="53" spans="1:16" x14ac:dyDescent="0.25">
      <c r="A53" t="s">
        <v>147</v>
      </c>
      <c r="B53">
        <v>2017</v>
      </c>
      <c r="C53" s="8">
        <f>'1_Du_lieu'!F61</f>
        <v>11.5</v>
      </c>
      <c r="D53" s="8">
        <f>'1_Du_lieu'!G61</f>
        <v>31.8</v>
      </c>
      <c r="E53" s="8">
        <f>'1_Du_lieu'!H61</f>
        <v>19</v>
      </c>
      <c r="F53" s="8">
        <f>'1_Du_lieu'!I61</f>
        <v>50</v>
      </c>
      <c r="G53" s="6">
        <f t="shared" si="10"/>
        <v>3.4499999999999997</v>
      </c>
      <c r="H53" s="6">
        <f t="shared" si="11"/>
        <v>9.5399999999999991</v>
      </c>
      <c r="I53" s="6">
        <f t="shared" si="12"/>
        <v>5.7</v>
      </c>
      <c r="J53" s="6">
        <f t="shared" si="13"/>
        <v>5</v>
      </c>
      <c r="K53" s="6">
        <f t="shared" si="4"/>
        <v>23.689999999999998</v>
      </c>
      <c r="L53" s="9">
        <f t="shared" si="14"/>
        <v>9.2592592592592587E-2</v>
      </c>
      <c r="M53" s="9">
        <f t="shared" si="15"/>
        <v>0.14814814814814814</v>
      </c>
      <c r="N53" s="9">
        <f t="shared" si="16"/>
        <v>0.20370370370370369</v>
      </c>
      <c r="O53" s="9">
        <f t="shared" si="17"/>
        <v>0.25925925925925924</v>
      </c>
      <c r="P53" s="9">
        <f t="shared" si="18"/>
        <v>0.12037037037037036</v>
      </c>
    </row>
    <row r="54" spans="1:16" x14ac:dyDescent="0.25">
      <c r="A54" t="s">
        <v>149</v>
      </c>
      <c r="B54">
        <v>2017</v>
      </c>
      <c r="C54" s="8">
        <f>'1_Du_lieu'!F63</f>
        <v>37.9</v>
      </c>
      <c r="D54" s="8">
        <f>'1_Du_lieu'!G63</f>
        <v>60.6</v>
      </c>
      <c r="E54" s="8">
        <f>'1_Du_lieu'!H63</f>
        <v>50.4</v>
      </c>
      <c r="F54" s="8">
        <f>'1_Du_lieu'!I63</f>
        <v>81</v>
      </c>
      <c r="G54" s="6">
        <f t="shared" si="10"/>
        <v>11.37</v>
      </c>
      <c r="H54" s="6">
        <f t="shared" si="11"/>
        <v>18.18</v>
      </c>
      <c r="I54" s="6">
        <f t="shared" si="12"/>
        <v>15.12</v>
      </c>
      <c r="J54" s="6">
        <f t="shared" si="13"/>
        <v>8.1</v>
      </c>
      <c r="K54" s="6">
        <f t="shared" si="4"/>
        <v>52.769999999999996</v>
      </c>
      <c r="L54" s="9">
        <f t="shared" si="14"/>
        <v>0.96296296296296291</v>
      </c>
      <c r="M54" s="9">
        <f t="shared" si="15"/>
        <v>0.96296296296296291</v>
      </c>
      <c r="N54" s="9">
        <f t="shared" si="16"/>
        <v>0.92592592592592593</v>
      </c>
      <c r="O54" s="9">
        <f t="shared" si="17"/>
        <v>0.96296296296296291</v>
      </c>
      <c r="P54" s="9">
        <f t="shared" si="18"/>
        <v>1</v>
      </c>
    </row>
    <row r="55" spans="1:16" x14ac:dyDescent="0.25">
      <c r="A55" t="s">
        <v>150</v>
      </c>
      <c r="B55">
        <v>2017</v>
      </c>
      <c r="C55" s="8">
        <f>'1_Du_lieu'!F64</f>
        <v>11.9</v>
      </c>
      <c r="D55" s="8">
        <f>'1_Du_lieu'!G64</f>
        <v>41.1</v>
      </c>
      <c r="E55" s="8">
        <f>'1_Du_lieu'!H64</f>
        <v>16.2</v>
      </c>
      <c r="F55" s="8">
        <f>'1_Du_lieu'!I64</f>
        <v>73.5</v>
      </c>
      <c r="G55" s="6">
        <f t="shared" si="10"/>
        <v>3.57</v>
      </c>
      <c r="H55" s="6">
        <f t="shared" si="11"/>
        <v>12.33</v>
      </c>
      <c r="I55" s="6">
        <f t="shared" si="12"/>
        <v>4.8599999999999994</v>
      </c>
      <c r="J55" s="6">
        <f t="shared" si="13"/>
        <v>7.3500000000000005</v>
      </c>
      <c r="K55" s="6">
        <f t="shared" si="4"/>
        <v>28.11</v>
      </c>
      <c r="L55" s="9">
        <f t="shared" si="14"/>
        <v>0.5</v>
      </c>
      <c r="M55" s="9">
        <f t="shared" si="15"/>
        <v>0.19444444444444445</v>
      </c>
      <c r="N55" s="9">
        <f t="shared" si="16"/>
        <v>0.66666666666666663</v>
      </c>
      <c r="O55" s="9">
        <f t="shared" si="17"/>
        <v>9.2592592592592587E-2</v>
      </c>
      <c r="P55" s="9">
        <f t="shared" si="18"/>
        <v>0.88888888888888884</v>
      </c>
    </row>
    <row r="56" spans="1:16" x14ac:dyDescent="0.25">
      <c r="A56" t="s">
        <v>151</v>
      </c>
      <c r="B56">
        <v>2017</v>
      </c>
      <c r="C56" s="8">
        <f>'1_Du_lieu'!F65</f>
        <v>12.4</v>
      </c>
      <c r="D56" s="8">
        <f>'1_Du_lieu'!G65</f>
        <v>28</v>
      </c>
      <c r="E56" s="8">
        <f>'1_Du_lieu'!H65</f>
        <v>20.3</v>
      </c>
      <c r="F56" s="8">
        <f>'1_Du_lieu'!I65</f>
        <v>59.7</v>
      </c>
      <c r="G56" s="6">
        <f t="shared" si="10"/>
        <v>3.7199999999999998</v>
      </c>
      <c r="H56" s="6">
        <f t="shared" si="11"/>
        <v>8.4</v>
      </c>
      <c r="I56" s="6">
        <f t="shared" si="12"/>
        <v>6.09</v>
      </c>
      <c r="J56" s="6">
        <f t="shared" si="13"/>
        <v>5.9700000000000006</v>
      </c>
      <c r="K56" s="6">
        <f t="shared" si="4"/>
        <v>24.18</v>
      </c>
      <c r="L56" s="9">
        <f t="shared" si="14"/>
        <v>0.16666666666666666</v>
      </c>
      <c r="M56" s="9">
        <f t="shared" si="15"/>
        <v>0.28703703703703703</v>
      </c>
      <c r="N56" s="9">
        <f t="shared" si="16"/>
        <v>9.2592592592592587E-2</v>
      </c>
      <c r="O56" s="9">
        <f t="shared" si="17"/>
        <v>0.35185185185185186</v>
      </c>
      <c r="P56" s="9">
        <f t="shared" si="18"/>
        <v>0.31481481481481483</v>
      </c>
    </row>
    <row r="57" spans="1:16" x14ac:dyDescent="0.25">
      <c r="A57" t="s">
        <v>152</v>
      </c>
      <c r="B57">
        <v>2017</v>
      </c>
      <c r="C57" s="8">
        <f>'1_Du_lieu'!F66</f>
        <v>18.3</v>
      </c>
      <c r="D57" s="8">
        <f>'1_Du_lieu'!G66</f>
        <v>56.8</v>
      </c>
      <c r="E57" s="8">
        <f>'1_Du_lieu'!H66</f>
        <v>23.4</v>
      </c>
      <c r="F57" s="8">
        <f>'1_Du_lieu'!I66</f>
        <v>71</v>
      </c>
      <c r="G57" s="6">
        <f t="shared" si="10"/>
        <v>5.49</v>
      </c>
      <c r="H57" s="6">
        <f t="shared" si="11"/>
        <v>17.04</v>
      </c>
      <c r="I57" s="6">
        <f t="shared" si="12"/>
        <v>7.02</v>
      </c>
      <c r="J57" s="6">
        <f t="shared" si="13"/>
        <v>7.1000000000000005</v>
      </c>
      <c r="K57" s="6">
        <f t="shared" si="4"/>
        <v>36.65</v>
      </c>
      <c r="L57" s="9">
        <f t="shared" si="14"/>
        <v>0.85185185185185186</v>
      </c>
      <c r="M57" s="9">
        <f t="shared" si="15"/>
        <v>0.84259259259259256</v>
      </c>
      <c r="N57" s="9">
        <f t="shared" si="16"/>
        <v>0.87037037037037035</v>
      </c>
      <c r="O57" s="9">
        <f t="shared" si="17"/>
        <v>0.62962962962962965</v>
      </c>
      <c r="P57" s="9">
        <f t="shared" si="18"/>
        <v>0.81481481481481477</v>
      </c>
    </row>
    <row r="58" spans="1:16" x14ac:dyDescent="0.25">
      <c r="A58" t="s">
        <v>153</v>
      </c>
      <c r="B58">
        <v>2017</v>
      </c>
      <c r="C58" s="8">
        <f>'1_Du_lieu'!F67</f>
        <v>11.2</v>
      </c>
      <c r="D58" s="8">
        <f>'1_Du_lieu'!G67</f>
        <v>38.9</v>
      </c>
      <c r="E58" s="8">
        <f>'1_Du_lieu'!H67</f>
        <v>16.8</v>
      </c>
      <c r="F58" s="8">
        <f>'1_Du_lieu'!I67</f>
        <v>68</v>
      </c>
      <c r="G58" s="6">
        <f t="shared" si="10"/>
        <v>3.36</v>
      </c>
      <c r="H58" s="6">
        <f t="shared" si="11"/>
        <v>11.67</v>
      </c>
      <c r="I58" s="6">
        <f t="shared" si="12"/>
        <v>5.04</v>
      </c>
      <c r="J58" s="6">
        <f t="shared" si="13"/>
        <v>6.8000000000000007</v>
      </c>
      <c r="K58" s="6">
        <f t="shared" si="4"/>
        <v>26.87</v>
      </c>
      <c r="L58" s="9">
        <f t="shared" si="14"/>
        <v>0.35185185185185186</v>
      </c>
      <c r="M58" s="9">
        <f t="shared" si="15"/>
        <v>0.12962962962962962</v>
      </c>
      <c r="N58" s="9">
        <f t="shared" si="16"/>
        <v>0.53703703703703709</v>
      </c>
      <c r="O58" s="9">
        <f t="shared" si="17"/>
        <v>0.12962962962962962</v>
      </c>
      <c r="P58" s="9">
        <f t="shared" si="18"/>
        <v>0.68518518518518523</v>
      </c>
    </row>
    <row r="59" spans="1:16" x14ac:dyDescent="0.25">
      <c r="A59" t="s">
        <v>85</v>
      </c>
      <c r="B59">
        <v>2018</v>
      </c>
      <c r="C59" s="8">
        <f>'1_Du_lieu'!F68</f>
        <v>29.5</v>
      </c>
      <c r="D59" s="8">
        <f>'1_Du_lieu'!G68</f>
        <v>43.4</v>
      </c>
      <c r="E59" s="8">
        <f>'1_Du_lieu'!H68</f>
        <v>15.9</v>
      </c>
      <c r="F59" s="8">
        <f>'1_Du_lieu'!I68</f>
        <v>58.3</v>
      </c>
      <c r="G59" s="6">
        <f t="shared" ref="G59:G90" si="19">C59*$AC$5</f>
        <v>5.9</v>
      </c>
      <c r="H59" s="6">
        <f t="shared" ref="H59:H90" si="20">D59*$AD$5</f>
        <v>15.189999999999998</v>
      </c>
      <c r="I59" s="6">
        <f t="shared" ref="I59:I90" si="21">E59*$AE$5</f>
        <v>5.5649999999999995</v>
      </c>
      <c r="J59" s="6">
        <f t="shared" ref="J59:J90" si="22">F59*$AF$5</f>
        <v>5.83</v>
      </c>
      <c r="K59" s="6">
        <f t="shared" si="4"/>
        <v>32.484999999999992</v>
      </c>
      <c r="L59" s="9">
        <f t="shared" ref="L59:L90" si="23">_xlfn.RANK.AVG(K59,$K$59:$K$112,1)/54</f>
        <v>0.29629629629629628</v>
      </c>
      <c r="M59" s="9">
        <f t="shared" ref="M59:M90" si="24">_xlfn.RANK.AVG(G59,$G$59:$G$112,1)/54</f>
        <v>0.31481481481481483</v>
      </c>
      <c r="N59" s="9">
        <f t="shared" ref="N59:N90" si="25">_xlfn.RANK.AVG(H59,$H$59:$H$112,1)/54</f>
        <v>0.66666666666666663</v>
      </c>
      <c r="O59" s="9">
        <f t="shared" ref="O59:O90" si="26">_xlfn.RANK.AVG(I59,$I$59:$I$112,1)/54</f>
        <v>1.8518518518518517E-2</v>
      </c>
      <c r="P59" s="9">
        <f t="shared" ref="P59:P90" si="27">_xlfn.RANK.AVG(J59,$J$59:$J$112,1)/54</f>
        <v>0.29629629629629628</v>
      </c>
    </row>
    <row r="60" spans="1:16" x14ac:dyDescent="0.25">
      <c r="A60" t="s">
        <v>87</v>
      </c>
      <c r="B60">
        <v>2018</v>
      </c>
      <c r="C60" s="8">
        <f>'1_Du_lieu'!F69</f>
        <v>35</v>
      </c>
      <c r="D60" s="8">
        <f>'1_Du_lieu'!G69</f>
        <v>58</v>
      </c>
      <c r="E60" s="8">
        <f>'1_Du_lieu'!H69</f>
        <v>31.8</v>
      </c>
      <c r="F60" s="8">
        <f>'1_Du_lieu'!I69</f>
        <v>59.8</v>
      </c>
      <c r="G60" s="6">
        <f t="shared" si="19"/>
        <v>7</v>
      </c>
      <c r="H60" s="6">
        <f t="shared" si="20"/>
        <v>20.299999999999997</v>
      </c>
      <c r="I60" s="6">
        <f t="shared" si="21"/>
        <v>11.129999999999999</v>
      </c>
      <c r="J60" s="6">
        <f t="shared" si="22"/>
        <v>5.98</v>
      </c>
      <c r="K60" s="6">
        <f t="shared" si="4"/>
        <v>44.41</v>
      </c>
      <c r="L60" s="9">
        <f t="shared" si="23"/>
        <v>0.87037037037037035</v>
      </c>
      <c r="M60" s="9">
        <f t="shared" si="24"/>
        <v>0.73148148148148151</v>
      </c>
      <c r="N60" s="9">
        <f t="shared" si="25"/>
        <v>0.87037037037037035</v>
      </c>
      <c r="O60" s="9">
        <f t="shared" si="26"/>
        <v>0.83333333333333337</v>
      </c>
      <c r="P60" s="9">
        <f t="shared" si="27"/>
        <v>0.31481481481481483</v>
      </c>
    </row>
    <row r="61" spans="1:16" x14ac:dyDescent="0.25">
      <c r="A61" t="s">
        <v>89</v>
      </c>
      <c r="B61">
        <v>2018</v>
      </c>
      <c r="C61" s="8">
        <f>'1_Du_lieu'!F70</f>
        <v>39</v>
      </c>
      <c r="D61" s="8">
        <f>'1_Du_lieu'!G70</f>
        <v>69.099999999999994</v>
      </c>
      <c r="E61" s="8">
        <f>'1_Du_lieu'!H70</f>
        <v>36.299999999999997</v>
      </c>
      <c r="F61" s="8">
        <f>'1_Du_lieu'!I70</f>
        <v>57.4</v>
      </c>
      <c r="G61" s="6">
        <f t="shared" si="19"/>
        <v>7.8000000000000007</v>
      </c>
      <c r="H61" s="6">
        <f t="shared" si="20"/>
        <v>24.184999999999995</v>
      </c>
      <c r="I61" s="6">
        <f t="shared" si="21"/>
        <v>12.704999999999998</v>
      </c>
      <c r="J61" s="6">
        <f t="shared" si="22"/>
        <v>5.74</v>
      </c>
      <c r="K61" s="6">
        <f t="shared" si="4"/>
        <v>50.43</v>
      </c>
      <c r="L61" s="9">
        <f t="shared" si="23"/>
        <v>0.92592592592592593</v>
      </c>
      <c r="M61" s="9">
        <f t="shared" si="24"/>
        <v>0.88888888888888884</v>
      </c>
      <c r="N61" s="9">
        <f t="shared" si="25"/>
        <v>0.96296296296296291</v>
      </c>
      <c r="O61" s="9">
        <f t="shared" si="26"/>
        <v>0.88888888888888884</v>
      </c>
      <c r="P61" s="9">
        <f t="shared" si="27"/>
        <v>0.24074074074074073</v>
      </c>
    </row>
    <row r="62" spans="1:16" x14ac:dyDescent="0.25">
      <c r="A62" t="s">
        <v>90</v>
      </c>
      <c r="B62">
        <v>2018</v>
      </c>
      <c r="C62" s="8">
        <f>'1_Du_lieu'!F71</f>
        <v>24.4</v>
      </c>
      <c r="D62" s="8">
        <f>'1_Du_lieu'!G71</f>
        <v>28.6</v>
      </c>
      <c r="E62" s="8">
        <f>'1_Du_lieu'!H71</f>
        <v>18.2</v>
      </c>
      <c r="F62" s="8">
        <f>'1_Du_lieu'!I71</f>
        <v>65.5</v>
      </c>
      <c r="G62" s="6">
        <f t="shared" si="19"/>
        <v>4.88</v>
      </c>
      <c r="H62" s="6">
        <f t="shared" si="20"/>
        <v>10.01</v>
      </c>
      <c r="I62" s="6">
        <f t="shared" si="21"/>
        <v>6.3699999999999992</v>
      </c>
      <c r="J62" s="6">
        <f t="shared" si="22"/>
        <v>6.5500000000000007</v>
      </c>
      <c r="K62" s="6">
        <f t="shared" si="4"/>
        <v>27.81</v>
      </c>
      <c r="L62" s="9">
        <f t="shared" si="23"/>
        <v>7.407407407407407E-2</v>
      </c>
      <c r="M62" s="9">
        <f t="shared" si="24"/>
        <v>9.2592592592592587E-2</v>
      </c>
      <c r="N62" s="9">
        <f t="shared" si="25"/>
        <v>7.407407407407407E-2</v>
      </c>
      <c r="O62" s="9">
        <f t="shared" si="26"/>
        <v>5.5555555555555552E-2</v>
      </c>
      <c r="P62" s="9">
        <f t="shared" si="27"/>
        <v>0.61111111111111116</v>
      </c>
    </row>
    <row r="63" spans="1:16" x14ac:dyDescent="0.25">
      <c r="A63" t="s">
        <v>91</v>
      </c>
      <c r="B63">
        <v>2018</v>
      </c>
      <c r="C63" s="8">
        <f>'1_Du_lieu'!F72</f>
        <v>31.6</v>
      </c>
      <c r="D63" s="8">
        <f>'1_Du_lieu'!G72</f>
        <v>39.799999999999997</v>
      </c>
      <c r="E63" s="8">
        <f>'1_Du_lieu'!H72</f>
        <v>22.7</v>
      </c>
      <c r="F63" s="8">
        <f>'1_Du_lieu'!I72</f>
        <v>62.1</v>
      </c>
      <c r="G63" s="6">
        <f t="shared" si="19"/>
        <v>6.32</v>
      </c>
      <c r="H63" s="6">
        <f t="shared" si="20"/>
        <v>13.929999999999998</v>
      </c>
      <c r="I63" s="6">
        <f t="shared" si="21"/>
        <v>7.9449999999999994</v>
      </c>
      <c r="J63" s="6">
        <f t="shared" si="22"/>
        <v>6.2100000000000009</v>
      </c>
      <c r="K63" s="6">
        <f t="shared" si="4"/>
        <v>34.405000000000001</v>
      </c>
      <c r="L63" s="9">
        <f t="shared" si="23"/>
        <v>0.46296296296296297</v>
      </c>
      <c r="M63" s="9">
        <f t="shared" si="24"/>
        <v>0.37962962962962965</v>
      </c>
      <c r="N63" s="9">
        <f t="shared" si="25"/>
        <v>0.53703703703703709</v>
      </c>
      <c r="O63" s="9">
        <f t="shared" si="26"/>
        <v>0.3611111111111111</v>
      </c>
      <c r="P63" s="9">
        <f t="shared" si="27"/>
        <v>0.35185185185185186</v>
      </c>
    </row>
    <row r="64" spans="1:16" x14ac:dyDescent="0.25">
      <c r="A64" t="s">
        <v>93</v>
      </c>
      <c r="B64">
        <v>2018</v>
      </c>
      <c r="C64" s="8">
        <f>'1_Du_lieu'!F73</f>
        <v>33</v>
      </c>
      <c r="D64" s="8">
        <f>'1_Du_lieu'!G73</f>
        <v>40.1</v>
      </c>
      <c r="E64" s="8">
        <f>'1_Du_lieu'!H73</f>
        <v>26.1</v>
      </c>
      <c r="F64" s="8">
        <f>'1_Du_lieu'!I73</f>
        <v>70.7</v>
      </c>
      <c r="G64" s="6">
        <f t="shared" si="19"/>
        <v>6.6000000000000005</v>
      </c>
      <c r="H64" s="6">
        <f t="shared" si="20"/>
        <v>14.035</v>
      </c>
      <c r="I64" s="6">
        <f t="shared" si="21"/>
        <v>9.1349999999999998</v>
      </c>
      <c r="J64" s="6">
        <f t="shared" si="22"/>
        <v>7.07</v>
      </c>
      <c r="K64" s="6">
        <f t="shared" si="4"/>
        <v>36.840000000000003</v>
      </c>
      <c r="L64" s="9">
        <f t="shared" si="23"/>
        <v>0.66666666666666663</v>
      </c>
      <c r="M64" s="9">
        <f t="shared" si="24"/>
        <v>0.52777777777777779</v>
      </c>
      <c r="N64" s="9">
        <f t="shared" si="25"/>
        <v>0.55555555555555558</v>
      </c>
      <c r="O64" s="9">
        <f t="shared" si="26"/>
        <v>0.65740740740740744</v>
      </c>
      <c r="P64" s="9">
        <f t="shared" si="27"/>
        <v>0.77777777777777779</v>
      </c>
    </row>
    <row r="65" spans="1:16" x14ac:dyDescent="0.25">
      <c r="A65" t="s">
        <v>95</v>
      </c>
      <c r="B65">
        <v>2018</v>
      </c>
      <c r="C65" s="8">
        <f>'1_Du_lieu'!F75</f>
        <v>35</v>
      </c>
      <c r="D65" s="8">
        <f>'1_Du_lieu'!G75</f>
        <v>42.6</v>
      </c>
      <c r="E65" s="8">
        <f>'1_Du_lieu'!H75</f>
        <v>35.6</v>
      </c>
      <c r="F65" s="8">
        <f>'1_Du_lieu'!I75</f>
        <v>63.9</v>
      </c>
      <c r="G65" s="6">
        <f t="shared" si="19"/>
        <v>7</v>
      </c>
      <c r="H65" s="6">
        <f t="shared" si="20"/>
        <v>14.91</v>
      </c>
      <c r="I65" s="6">
        <f t="shared" si="21"/>
        <v>12.459999999999999</v>
      </c>
      <c r="J65" s="6">
        <f t="shared" si="22"/>
        <v>6.3900000000000006</v>
      </c>
      <c r="K65" s="6">
        <f t="shared" si="4"/>
        <v>40.76</v>
      </c>
      <c r="L65" s="9">
        <f t="shared" si="23"/>
        <v>0.79629629629629628</v>
      </c>
      <c r="M65" s="9">
        <f t="shared" si="24"/>
        <v>0.73148148148148151</v>
      </c>
      <c r="N65" s="9">
        <f t="shared" si="25"/>
        <v>0.62962962962962965</v>
      </c>
      <c r="O65" s="9">
        <f t="shared" si="26"/>
        <v>0.87037037037037035</v>
      </c>
      <c r="P65" s="9">
        <f t="shared" si="27"/>
        <v>0.46296296296296297</v>
      </c>
    </row>
    <row r="66" spans="1:16" x14ac:dyDescent="0.25">
      <c r="A66" t="s">
        <v>97</v>
      </c>
      <c r="B66">
        <v>2018</v>
      </c>
      <c r="C66" s="8">
        <f>'1_Du_lieu'!F76</f>
        <v>22.6</v>
      </c>
      <c r="D66" s="8">
        <f>'1_Du_lieu'!G76</f>
        <v>23.5</v>
      </c>
      <c r="E66" s="8">
        <f>'1_Du_lieu'!H76</f>
        <v>19.899999999999999</v>
      </c>
      <c r="F66" s="8">
        <f>'1_Du_lieu'!I76</f>
        <v>63.2</v>
      </c>
      <c r="G66" s="6">
        <f t="shared" si="19"/>
        <v>4.5200000000000005</v>
      </c>
      <c r="H66" s="6">
        <f t="shared" si="20"/>
        <v>8.2249999999999996</v>
      </c>
      <c r="I66" s="6">
        <f t="shared" si="21"/>
        <v>6.964999999999999</v>
      </c>
      <c r="J66" s="6">
        <f t="shared" si="22"/>
        <v>6.32</v>
      </c>
      <c r="K66" s="6">
        <f t="shared" si="4"/>
        <v>26.03</v>
      </c>
      <c r="L66" s="9">
        <f t="shared" si="23"/>
        <v>1.8518518518518517E-2</v>
      </c>
      <c r="M66" s="9">
        <f t="shared" si="24"/>
        <v>3.7037037037037035E-2</v>
      </c>
      <c r="N66" s="9">
        <f t="shared" si="25"/>
        <v>1.8518518518518517E-2</v>
      </c>
      <c r="O66" s="9">
        <f t="shared" si="26"/>
        <v>0.22222222222222221</v>
      </c>
      <c r="P66" s="9">
        <f t="shared" si="27"/>
        <v>0.3888888888888889</v>
      </c>
    </row>
    <row r="67" spans="1:16" x14ac:dyDescent="0.25">
      <c r="A67" t="s">
        <v>98</v>
      </c>
      <c r="B67">
        <v>2018</v>
      </c>
      <c r="C67" s="8">
        <f>'1_Du_lieu'!F77</f>
        <v>40</v>
      </c>
      <c r="D67" s="8">
        <f>'1_Du_lieu'!G77</f>
        <v>63</v>
      </c>
      <c r="E67" s="8">
        <f>'1_Du_lieu'!H77</f>
        <v>25.5</v>
      </c>
      <c r="F67" s="8">
        <f>'1_Du_lieu'!I77</f>
        <v>73.2</v>
      </c>
      <c r="G67" s="6">
        <f t="shared" si="19"/>
        <v>8</v>
      </c>
      <c r="H67" s="6">
        <f t="shared" si="20"/>
        <v>22.049999999999997</v>
      </c>
      <c r="I67" s="6">
        <f t="shared" si="21"/>
        <v>8.9249999999999989</v>
      </c>
      <c r="J67" s="6">
        <f t="shared" si="22"/>
        <v>7.32</v>
      </c>
      <c r="K67" s="6">
        <f t="shared" si="4"/>
        <v>46.294999999999995</v>
      </c>
      <c r="L67" s="9">
        <f t="shared" si="23"/>
        <v>0.88888888888888884</v>
      </c>
      <c r="M67" s="9">
        <f t="shared" si="24"/>
        <v>0.92592592592592593</v>
      </c>
      <c r="N67" s="9">
        <f t="shared" si="25"/>
        <v>0.92592592592592593</v>
      </c>
      <c r="O67" s="9">
        <f t="shared" si="26"/>
        <v>0.59259259259259256</v>
      </c>
      <c r="P67" s="9">
        <f t="shared" si="27"/>
        <v>0.94444444444444442</v>
      </c>
    </row>
    <row r="68" spans="1:16" x14ac:dyDescent="0.25">
      <c r="A68" t="s">
        <v>100</v>
      </c>
      <c r="B68">
        <v>2018</v>
      </c>
      <c r="C68" s="8">
        <f>'1_Du_lieu'!F78</f>
        <v>33.200000000000003</v>
      </c>
      <c r="D68" s="8">
        <f>'1_Du_lieu'!G78</f>
        <v>39.1</v>
      </c>
      <c r="E68" s="8">
        <f>'1_Du_lieu'!H78</f>
        <v>25.2</v>
      </c>
      <c r="F68" s="8">
        <f>'1_Du_lieu'!I78</f>
        <v>64.8</v>
      </c>
      <c r="G68" s="6">
        <f t="shared" si="19"/>
        <v>6.6400000000000006</v>
      </c>
      <c r="H68" s="6">
        <f t="shared" si="20"/>
        <v>13.685</v>
      </c>
      <c r="I68" s="6">
        <f t="shared" si="21"/>
        <v>8.8199999999999985</v>
      </c>
      <c r="J68" s="6">
        <f t="shared" si="22"/>
        <v>6.48</v>
      </c>
      <c r="K68" s="6">
        <f t="shared" si="4"/>
        <v>35.625</v>
      </c>
      <c r="L68" s="9">
        <f t="shared" si="23"/>
        <v>0.53703703703703709</v>
      </c>
      <c r="M68" s="9">
        <f t="shared" si="24"/>
        <v>0.55555555555555558</v>
      </c>
      <c r="N68" s="9">
        <f t="shared" si="25"/>
        <v>0.5</v>
      </c>
      <c r="O68" s="9">
        <f t="shared" si="26"/>
        <v>0.55555555555555558</v>
      </c>
      <c r="P68" s="9">
        <f t="shared" si="27"/>
        <v>0.53703703703703709</v>
      </c>
    </row>
    <row r="69" spans="1:16" x14ac:dyDescent="0.25">
      <c r="A69" t="s">
        <v>103</v>
      </c>
      <c r="B69">
        <v>2018</v>
      </c>
      <c r="C69" s="8">
        <f>'1_Du_lieu'!F81</f>
        <v>38</v>
      </c>
      <c r="D69" s="8">
        <f>'1_Du_lieu'!G81</f>
        <v>49.1</v>
      </c>
      <c r="E69" s="8">
        <f>'1_Du_lieu'!H81</f>
        <v>26.2</v>
      </c>
      <c r="F69" s="8">
        <f>'1_Du_lieu'!I81</f>
        <v>71.5</v>
      </c>
      <c r="G69" s="6">
        <f t="shared" si="19"/>
        <v>7.6000000000000005</v>
      </c>
      <c r="H69" s="6">
        <f t="shared" si="20"/>
        <v>17.184999999999999</v>
      </c>
      <c r="I69" s="6">
        <f t="shared" si="21"/>
        <v>9.17</v>
      </c>
      <c r="J69" s="6">
        <f t="shared" si="22"/>
        <v>7.15</v>
      </c>
      <c r="K69" s="6">
        <f t="shared" ref="K69:K132" si="28">SUM(G69:J69)</f>
        <v>41.104999999999997</v>
      </c>
      <c r="L69" s="9">
        <f t="shared" si="23"/>
        <v>0.81481481481481477</v>
      </c>
      <c r="M69" s="9">
        <f t="shared" si="24"/>
        <v>0.87037037037037035</v>
      </c>
      <c r="N69" s="9">
        <f t="shared" si="25"/>
        <v>0.81481481481481477</v>
      </c>
      <c r="O69" s="9">
        <f t="shared" si="26"/>
        <v>0.68518518518518523</v>
      </c>
      <c r="P69" s="9">
        <f t="shared" si="27"/>
        <v>0.85185185185185186</v>
      </c>
    </row>
    <row r="70" spans="1:16" x14ac:dyDescent="0.25">
      <c r="A70" t="s">
        <v>104</v>
      </c>
      <c r="B70">
        <v>2018</v>
      </c>
      <c r="C70" s="8">
        <f>'1_Du_lieu'!F82</f>
        <v>20.8</v>
      </c>
      <c r="D70" s="8">
        <f>'1_Du_lieu'!G82</f>
        <v>35.799999999999997</v>
      </c>
      <c r="E70" s="8">
        <f>'1_Du_lieu'!H82</f>
        <v>20</v>
      </c>
      <c r="F70" s="8">
        <f>'1_Du_lieu'!I82</f>
        <v>63.6</v>
      </c>
      <c r="G70" s="6">
        <f t="shared" si="19"/>
        <v>4.16</v>
      </c>
      <c r="H70" s="6">
        <f t="shared" si="20"/>
        <v>12.529999999999998</v>
      </c>
      <c r="I70" s="6">
        <f t="shared" si="21"/>
        <v>7</v>
      </c>
      <c r="J70" s="6">
        <f t="shared" si="22"/>
        <v>6.36</v>
      </c>
      <c r="K70" s="6">
        <f t="shared" si="28"/>
        <v>30.049999999999997</v>
      </c>
      <c r="L70" s="9">
        <f t="shared" si="23"/>
        <v>0.18518518518518517</v>
      </c>
      <c r="M70" s="9">
        <f t="shared" si="24"/>
        <v>1.8518518518518517E-2</v>
      </c>
      <c r="N70" s="9">
        <f t="shared" si="25"/>
        <v>0.33333333333333331</v>
      </c>
      <c r="O70" s="9">
        <f t="shared" si="26"/>
        <v>0.25</v>
      </c>
      <c r="P70" s="9">
        <f t="shared" si="27"/>
        <v>0.41666666666666669</v>
      </c>
    </row>
    <row r="71" spans="1:16" x14ac:dyDescent="0.25">
      <c r="A71" t="s">
        <v>107</v>
      </c>
      <c r="B71">
        <v>2018</v>
      </c>
      <c r="C71" s="8">
        <f>'1_Du_lieu'!F84</f>
        <v>35.4</v>
      </c>
      <c r="D71" s="8">
        <f>'1_Du_lieu'!G84</f>
        <v>42.2</v>
      </c>
      <c r="E71" s="8">
        <f>'1_Du_lieu'!H84</f>
        <v>25</v>
      </c>
      <c r="F71" s="8">
        <f>'1_Du_lieu'!I84</f>
        <v>43.7</v>
      </c>
      <c r="G71" s="6">
        <f t="shared" si="19"/>
        <v>7.08</v>
      </c>
      <c r="H71" s="6">
        <f t="shared" si="20"/>
        <v>14.77</v>
      </c>
      <c r="I71" s="6">
        <f t="shared" si="21"/>
        <v>8.75</v>
      </c>
      <c r="J71" s="6">
        <f t="shared" si="22"/>
        <v>4.37</v>
      </c>
      <c r="K71" s="6">
        <f t="shared" si="28"/>
        <v>34.97</v>
      </c>
      <c r="L71" s="9">
        <f t="shared" si="23"/>
        <v>0.5</v>
      </c>
      <c r="M71" s="9">
        <f t="shared" si="24"/>
        <v>0.77777777777777779</v>
      </c>
      <c r="N71" s="9">
        <f t="shared" si="25"/>
        <v>0.61111111111111116</v>
      </c>
      <c r="O71" s="9">
        <f t="shared" si="26"/>
        <v>0.53703703703703709</v>
      </c>
      <c r="P71" s="9">
        <f t="shared" si="27"/>
        <v>3.7037037037037035E-2</v>
      </c>
    </row>
    <row r="72" spans="1:16" x14ac:dyDescent="0.25">
      <c r="A72" t="s">
        <v>108</v>
      </c>
      <c r="B72">
        <v>2018</v>
      </c>
      <c r="C72" s="8">
        <f>'1_Du_lieu'!F85</f>
        <v>84.2</v>
      </c>
      <c r="D72" s="8">
        <f>'1_Du_lieu'!G85</f>
        <v>79.400000000000006</v>
      </c>
      <c r="E72" s="8">
        <f>'1_Du_lieu'!H85</f>
        <v>78.599999999999994</v>
      </c>
      <c r="F72" s="8">
        <f>'1_Du_lieu'!I85</f>
        <v>76.2</v>
      </c>
      <c r="G72" s="6">
        <f t="shared" si="19"/>
        <v>16.84</v>
      </c>
      <c r="H72" s="6">
        <f t="shared" si="20"/>
        <v>27.79</v>
      </c>
      <c r="I72" s="6">
        <f t="shared" si="21"/>
        <v>27.509999999999998</v>
      </c>
      <c r="J72" s="6">
        <f t="shared" si="22"/>
        <v>7.620000000000001</v>
      </c>
      <c r="K72" s="6">
        <f t="shared" si="28"/>
        <v>79.759999999999991</v>
      </c>
      <c r="L72" s="9">
        <f t="shared" si="23"/>
        <v>0.98148148148148151</v>
      </c>
      <c r="M72" s="9">
        <f t="shared" si="24"/>
        <v>1</v>
      </c>
      <c r="N72" s="9">
        <f t="shared" si="25"/>
        <v>0.98148148148148151</v>
      </c>
      <c r="O72" s="9">
        <f t="shared" si="26"/>
        <v>0.98148148148148151</v>
      </c>
      <c r="P72" s="9">
        <f t="shared" si="27"/>
        <v>0.98148148148148151</v>
      </c>
    </row>
    <row r="73" spans="1:16" x14ac:dyDescent="0.25">
      <c r="A73" t="s">
        <v>109</v>
      </c>
      <c r="B73">
        <v>2018</v>
      </c>
      <c r="C73" s="8">
        <f>'1_Du_lieu'!F86</f>
        <v>32.4</v>
      </c>
      <c r="D73" s="8">
        <f>'1_Du_lieu'!G86</f>
        <v>32.799999999999997</v>
      </c>
      <c r="E73" s="8">
        <f>'1_Du_lieu'!H86</f>
        <v>28.7</v>
      </c>
      <c r="F73" s="8">
        <f>'1_Du_lieu'!I86</f>
        <v>57.5</v>
      </c>
      <c r="G73" s="6">
        <f t="shared" si="19"/>
        <v>6.48</v>
      </c>
      <c r="H73" s="6">
        <f t="shared" si="20"/>
        <v>11.479999999999999</v>
      </c>
      <c r="I73" s="6">
        <f t="shared" si="21"/>
        <v>10.045</v>
      </c>
      <c r="J73" s="6">
        <f t="shared" si="22"/>
        <v>5.75</v>
      </c>
      <c r="K73" s="6">
        <f t="shared" si="28"/>
        <v>33.755000000000003</v>
      </c>
      <c r="L73" s="9">
        <f t="shared" si="23"/>
        <v>0.41666666666666669</v>
      </c>
      <c r="M73" s="9">
        <f t="shared" si="24"/>
        <v>0.46296296296296297</v>
      </c>
      <c r="N73" s="9">
        <f t="shared" si="25"/>
        <v>0.22222222222222221</v>
      </c>
      <c r="O73" s="9">
        <f t="shared" si="26"/>
        <v>0.7592592592592593</v>
      </c>
      <c r="P73" s="9">
        <f t="shared" si="27"/>
        <v>0.26851851851851855</v>
      </c>
    </row>
    <row r="74" spans="1:16" x14ac:dyDescent="0.25">
      <c r="A74" t="s">
        <v>110</v>
      </c>
      <c r="B74">
        <v>2018</v>
      </c>
      <c r="C74" s="8">
        <f>'1_Du_lieu'!F87</f>
        <v>28.3</v>
      </c>
      <c r="D74" s="8">
        <f>'1_Du_lieu'!G87</f>
        <v>32.1</v>
      </c>
      <c r="E74" s="8">
        <f>'1_Du_lieu'!H87</f>
        <v>21.9</v>
      </c>
      <c r="F74" s="8">
        <f>'1_Du_lieu'!I87</f>
        <v>65.900000000000006</v>
      </c>
      <c r="G74" s="6">
        <f t="shared" si="19"/>
        <v>5.66</v>
      </c>
      <c r="H74" s="6">
        <f t="shared" si="20"/>
        <v>11.234999999999999</v>
      </c>
      <c r="I74" s="6">
        <f t="shared" si="21"/>
        <v>7.6649999999999991</v>
      </c>
      <c r="J74" s="6">
        <f t="shared" si="22"/>
        <v>6.5900000000000007</v>
      </c>
      <c r="K74" s="6">
        <f t="shared" si="28"/>
        <v>31.15</v>
      </c>
      <c r="L74" s="9">
        <f t="shared" si="23"/>
        <v>0.25925925925925924</v>
      </c>
      <c r="M74" s="9">
        <f t="shared" si="24"/>
        <v>0.24074074074074073</v>
      </c>
      <c r="N74" s="9">
        <f t="shared" si="25"/>
        <v>0.18518518518518517</v>
      </c>
      <c r="O74" s="9">
        <f t="shared" si="26"/>
        <v>0.31481481481481483</v>
      </c>
      <c r="P74" s="9">
        <f t="shared" si="27"/>
        <v>0.62962962962962965</v>
      </c>
    </row>
    <row r="75" spans="1:16" x14ac:dyDescent="0.25">
      <c r="A75" t="s">
        <v>111</v>
      </c>
      <c r="B75">
        <v>2018</v>
      </c>
      <c r="C75" s="8">
        <f>'1_Du_lieu'!F88</f>
        <v>32.200000000000003</v>
      </c>
      <c r="D75" s="8">
        <f>'1_Du_lieu'!G88</f>
        <v>38.299999999999997</v>
      </c>
      <c r="E75" s="8">
        <f>'1_Du_lieu'!H88</f>
        <v>24</v>
      </c>
      <c r="F75" s="8">
        <f>'1_Du_lieu'!I88</f>
        <v>65</v>
      </c>
      <c r="G75" s="6">
        <f t="shared" si="19"/>
        <v>6.4400000000000013</v>
      </c>
      <c r="H75" s="6">
        <f t="shared" si="20"/>
        <v>13.404999999999998</v>
      </c>
      <c r="I75" s="6">
        <f t="shared" si="21"/>
        <v>8.3999999999999986</v>
      </c>
      <c r="J75" s="6">
        <f t="shared" si="22"/>
        <v>6.5</v>
      </c>
      <c r="K75" s="6">
        <f t="shared" si="28"/>
        <v>34.744999999999997</v>
      </c>
      <c r="L75" s="9">
        <f t="shared" si="23"/>
        <v>0.48148148148148145</v>
      </c>
      <c r="M75" s="9">
        <f t="shared" si="24"/>
        <v>0.44444444444444442</v>
      </c>
      <c r="N75" s="9">
        <f t="shared" si="25"/>
        <v>0.44444444444444442</v>
      </c>
      <c r="O75" s="9">
        <f t="shared" si="26"/>
        <v>0.47222222222222221</v>
      </c>
      <c r="P75" s="9">
        <f t="shared" si="27"/>
        <v>0.57407407407407407</v>
      </c>
    </row>
    <row r="76" spans="1:16" x14ac:dyDescent="0.25">
      <c r="A76" t="s">
        <v>112</v>
      </c>
      <c r="B76">
        <v>2018</v>
      </c>
      <c r="C76" s="8">
        <f>'1_Du_lieu'!F89</f>
        <v>35.1</v>
      </c>
      <c r="D76" s="8">
        <f>'1_Du_lieu'!G89</f>
        <v>56.5</v>
      </c>
      <c r="E76" s="8">
        <f>'1_Du_lieu'!H89</f>
        <v>26</v>
      </c>
      <c r="F76" s="8">
        <f>'1_Du_lieu'!I89</f>
        <v>71.8</v>
      </c>
      <c r="G76" s="6">
        <f t="shared" si="19"/>
        <v>7.0200000000000005</v>
      </c>
      <c r="H76" s="6">
        <f t="shared" si="20"/>
        <v>19.774999999999999</v>
      </c>
      <c r="I76" s="6">
        <f t="shared" si="21"/>
        <v>9.1</v>
      </c>
      <c r="J76" s="6">
        <f t="shared" si="22"/>
        <v>7.18</v>
      </c>
      <c r="K76" s="6">
        <f t="shared" si="28"/>
        <v>43.074999999999996</v>
      </c>
      <c r="L76" s="9">
        <f t="shared" si="23"/>
        <v>0.85185185185185186</v>
      </c>
      <c r="M76" s="9">
        <f t="shared" si="24"/>
        <v>0.7592592592592593</v>
      </c>
      <c r="N76" s="9">
        <f t="shared" si="25"/>
        <v>0.85185185185185186</v>
      </c>
      <c r="O76" s="9">
        <f t="shared" si="26"/>
        <v>0.62962962962962965</v>
      </c>
      <c r="P76" s="9">
        <f t="shared" si="27"/>
        <v>0.87037037037037035</v>
      </c>
    </row>
    <row r="77" spans="1:16" x14ac:dyDescent="0.25">
      <c r="A77" t="s">
        <v>113</v>
      </c>
      <c r="B77">
        <v>2018</v>
      </c>
      <c r="C77" s="8">
        <f>'1_Du_lieu'!F90</f>
        <v>41</v>
      </c>
      <c r="D77" s="8">
        <f>'1_Du_lieu'!G90</f>
        <v>67.2</v>
      </c>
      <c r="E77" s="8">
        <f>'1_Du_lieu'!H90</f>
        <v>45.1</v>
      </c>
      <c r="F77" s="8">
        <f>'1_Du_lieu'!I90</f>
        <v>74</v>
      </c>
      <c r="G77" s="6">
        <f t="shared" si="19"/>
        <v>8.2000000000000011</v>
      </c>
      <c r="H77" s="6">
        <f t="shared" si="20"/>
        <v>23.52</v>
      </c>
      <c r="I77" s="6">
        <f t="shared" si="21"/>
        <v>15.785</v>
      </c>
      <c r="J77" s="6">
        <f t="shared" si="22"/>
        <v>7.4</v>
      </c>
      <c r="K77" s="6">
        <f t="shared" si="28"/>
        <v>54.904999999999994</v>
      </c>
      <c r="L77" s="9">
        <f t="shared" si="23"/>
        <v>0.96296296296296291</v>
      </c>
      <c r="M77" s="9">
        <f t="shared" si="24"/>
        <v>0.94444444444444442</v>
      </c>
      <c r="N77" s="9">
        <f t="shared" si="25"/>
        <v>0.94444444444444442</v>
      </c>
      <c r="O77" s="9">
        <f t="shared" si="26"/>
        <v>0.94444444444444442</v>
      </c>
      <c r="P77" s="9">
        <f t="shared" si="27"/>
        <v>0.96296296296296291</v>
      </c>
    </row>
    <row r="78" spans="1:16" x14ac:dyDescent="0.25">
      <c r="A78" t="s">
        <v>115</v>
      </c>
      <c r="B78">
        <v>2018</v>
      </c>
      <c r="C78" s="8">
        <f>'1_Du_lieu'!F92</f>
        <v>36</v>
      </c>
      <c r="D78" s="8">
        <f>'1_Du_lieu'!G92</f>
        <v>48.5</v>
      </c>
      <c r="E78" s="8">
        <f>'1_Du_lieu'!H92</f>
        <v>32.5</v>
      </c>
      <c r="F78" s="8">
        <f>'1_Du_lieu'!I92</f>
        <v>47.2</v>
      </c>
      <c r="G78" s="6">
        <f t="shared" si="19"/>
        <v>7.2</v>
      </c>
      <c r="H78" s="6">
        <f t="shared" si="20"/>
        <v>16.974999999999998</v>
      </c>
      <c r="I78" s="6">
        <f t="shared" si="21"/>
        <v>11.375</v>
      </c>
      <c r="J78" s="6">
        <f t="shared" si="22"/>
        <v>4.7200000000000006</v>
      </c>
      <c r="K78" s="6">
        <f t="shared" si="28"/>
        <v>40.269999999999996</v>
      </c>
      <c r="L78" s="9">
        <f t="shared" si="23"/>
        <v>0.7592592592592593</v>
      </c>
      <c r="M78" s="9">
        <f t="shared" si="24"/>
        <v>0.79629629629629628</v>
      </c>
      <c r="N78" s="9">
        <f t="shared" si="25"/>
        <v>0.79629629629629628</v>
      </c>
      <c r="O78" s="9">
        <f t="shared" si="26"/>
        <v>0.85185185185185186</v>
      </c>
      <c r="P78" s="9">
        <f t="shared" si="27"/>
        <v>7.407407407407407E-2</v>
      </c>
    </row>
    <row r="79" spans="1:16" x14ac:dyDescent="0.25">
      <c r="A79" t="s">
        <v>116</v>
      </c>
      <c r="B79">
        <v>2018</v>
      </c>
      <c r="C79" s="8">
        <f>'1_Du_lieu'!F93</f>
        <v>30</v>
      </c>
      <c r="D79" s="8">
        <f>'1_Du_lieu'!G93</f>
        <v>45.2</v>
      </c>
      <c r="E79" s="8">
        <f>'1_Du_lieu'!H93</f>
        <v>23.7</v>
      </c>
      <c r="F79" s="8">
        <f>'1_Du_lieu'!I93</f>
        <v>51.9</v>
      </c>
      <c r="G79" s="6">
        <f t="shared" si="19"/>
        <v>6</v>
      </c>
      <c r="H79" s="6">
        <f t="shared" si="20"/>
        <v>15.82</v>
      </c>
      <c r="I79" s="6">
        <f t="shared" si="21"/>
        <v>8.2949999999999999</v>
      </c>
      <c r="J79" s="6">
        <f t="shared" si="22"/>
        <v>5.19</v>
      </c>
      <c r="K79" s="6">
        <f t="shared" si="28"/>
        <v>35.305</v>
      </c>
      <c r="L79" s="9">
        <f t="shared" si="23"/>
        <v>0.51851851851851849</v>
      </c>
      <c r="M79" s="9">
        <f t="shared" si="24"/>
        <v>0.35185185185185186</v>
      </c>
      <c r="N79" s="9">
        <f t="shared" si="25"/>
        <v>0.7407407407407407</v>
      </c>
      <c r="O79" s="9">
        <f t="shared" si="26"/>
        <v>0.44444444444444442</v>
      </c>
      <c r="P79" s="9">
        <f t="shared" si="27"/>
        <v>0.14814814814814814</v>
      </c>
    </row>
    <row r="80" spans="1:16" x14ac:dyDescent="0.25">
      <c r="A80" t="s">
        <v>117</v>
      </c>
      <c r="B80">
        <v>2018</v>
      </c>
      <c r="C80" s="8">
        <f>'1_Du_lieu'!F94</f>
        <v>26.2</v>
      </c>
      <c r="D80" s="8">
        <f>'1_Du_lieu'!G94</f>
        <v>28.7</v>
      </c>
      <c r="E80" s="8">
        <f>'1_Du_lieu'!H94</f>
        <v>21</v>
      </c>
      <c r="F80" s="8">
        <f>'1_Du_lieu'!I94</f>
        <v>64.099999999999994</v>
      </c>
      <c r="G80" s="6">
        <f t="shared" si="19"/>
        <v>5.24</v>
      </c>
      <c r="H80" s="6">
        <f t="shared" si="20"/>
        <v>10.045</v>
      </c>
      <c r="I80" s="6">
        <f t="shared" si="21"/>
        <v>7.35</v>
      </c>
      <c r="J80" s="6">
        <f t="shared" si="22"/>
        <v>6.41</v>
      </c>
      <c r="K80" s="6">
        <f t="shared" si="28"/>
        <v>29.044999999999998</v>
      </c>
      <c r="L80" s="9">
        <f t="shared" si="23"/>
        <v>9.2592592592592587E-2</v>
      </c>
      <c r="M80" s="9">
        <f t="shared" si="24"/>
        <v>0.1388888888888889</v>
      </c>
      <c r="N80" s="9">
        <f t="shared" si="25"/>
        <v>9.2592592592592587E-2</v>
      </c>
      <c r="O80" s="9">
        <f t="shared" si="26"/>
        <v>0.27777777777777779</v>
      </c>
      <c r="P80" s="9">
        <f t="shared" si="27"/>
        <v>0.48148148148148145</v>
      </c>
    </row>
    <row r="81" spans="1:16" x14ac:dyDescent="0.25">
      <c r="A81" t="s">
        <v>119</v>
      </c>
      <c r="B81">
        <v>2018</v>
      </c>
      <c r="C81" s="8">
        <f>'1_Du_lieu'!F96</f>
        <v>28.4</v>
      </c>
      <c r="D81" s="8">
        <f>'1_Du_lieu'!G96</f>
        <v>44.3</v>
      </c>
      <c r="E81" s="8">
        <f>'1_Du_lieu'!H96</f>
        <v>20</v>
      </c>
      <c r="F81" s="8">
        <f>'1_Du_lieu'!I96</f>
        <v>60</v>
      </c>
      <c r="G81" s="6">
        <f t="shared" si="19"/>
        <v>5.68</v>
      </c>
      <c r="H81" s="6">
        <f t="shared" si="20"/>
        <v>15.504999999999997</v>
      </c>
      <c r="I81" s="6">
        <f t="shared" si="21"/>
        <v>7</v>
      </c>
      <c r="J81" s="6">
        <f t="shared" si="22"/>
        <v>6</v>
      </c>
      <c r="K81" s="6">
        <f t="shared" si="28"/>
        <v>34.184999999999995</v>
      </c>
      <c r="L81" s="9">
        <f t="shared" si="23"/>
        <v>0.44444444444444442</v>
      </c>
      <c r="M81" s="9">
        <f t="shared" si="24"/>
        <v>0.25925925925925924</v>
      </c>
      <c r="N81" s="9">
        <f t="shared" si="25"/>
        <v>0.70370370370370372</v>
      </c>
      <c r="O81" s="9">
        <f t="shared" si="26"/>
        <v>0.25</v>
      </c>
      <c r="P81" s="9">
        <f t="shared" si="27"/>
        <v>0.33333333333333331</v>
      </c>
    </row>
    <row r="82" spans="1:16" x14ac:dyDescent="0.25">
      <c r="A82" t="s">
        <v>120</v>
      </c>
      <c r="B82">
        <v>2018</v>
      </c>
      <c r="C82" s="8">
        <f>'1_Du_lieu'!F97</f>
        <v>37</v>
      </c>
      <c r="D82" s="8">
        <f>'1_Du_lieu'!G97</f>
        <v>30.7</v>
      </c>
      <c r="E82" s="8">
        <f>'1_Du_lieu'!H97</f>
        <v>25.3</v>
      </c>
      <c r="F82" s="8">
        <f>'1_Du_lieu'!I97</f>
        <v>67</v>
      </c>
      <c r="G82" s="6">
        <f t="shared" si="19"/>
        <v>7.4</v>
      </c>
      <c r="H82" s="6">
        <f t="shared" si="20"/>
        <v>10.744999999999999</v>
      </c>
      <c r="I82" s="6">
        <f t="shared" si="21"/>
        <v>8.8550000000000004</v>
      </c>
      <c r="J82" s="6">
        <f t="shared" si="22"/>
        <v>6.7</v>
      </c>
      <c r="K82" s="6">
        <f t="shared" si="28"/>
        <v>33.700000000000003</v>
      </c>
      <c r="L82" s="9">
        <f t="shared" si="23"/>
        <v>0.37962962962962965</v>
      </c>
      <c r="M82" s="9">
        <f t="shared" si="24"/>
        <v>0.85185185185185186</v>
      </c>
      <c r="N82" s="9">
        <f t="shared" si="25"/>
        <v>0.12962962962962962</v>
      </c>
      <c r="O82" s="9">
        <f t="shared" si="26"/>
        <v>0.57407407407407407</v>
      </c>
      <c r="P82" s="9">
        <f t="shared" si="27"/>
        <v>0.70370370370370372</v>
      </c>
    </row>
    <row r="83" spans="1:16" x14ac:dyDescent="0.25">
      <c r="A83" t="s">
        <v>121</v>
      </c>
      <c r="B83">
        <v>2018</v>
      </c>
      <c r="C83" s="8">
        <f>'1_Du_lieu'!F98</f>
        <v>31.6</v>
      </c>
      <c r="D83" s="8">
        <f>'1_Du_lieu'!G98</f>
        <v>44.9</v>
      </c>
      <c r="E83" s="8">
        <f>'1_Du_lieu'!H98</f>
        <v>21.8</v>
      </c>
      <c r="F83" s="8">
        <f>'1_Du_lieu'!I98</f>
        <v>62.5</v>
      </c>
      <c r="G83" s="6">
        <f t="shared" si="19"/>
        <v>6.32</v>
      </c>
      <c r="H83" s="6">
        <f t="shared" si="20"/>
        <v>15.714999999999998</v>
      </c>
      <c r="I83" s="6">
        <f t="shared" si="21"/>
        <v>7.63</v>
      </c>
      <c r="J83" s="6">
        <f t="shared" si="22"/>
        <v>6.25</v>
      </c>
      <c r="K83" s="6">
        <f t="shared" si="28"/>
        <v>35.914999999999992</v>
      </c>
      <c r="L83" s="9">
        <f t="shared" si="23"/>
        <v>0.57407407407407407</v>
      </c>
      <c r="M83" s="9">
        <f t="shared" si="24"/>
        <v>0.37962962962962965</v>
      </c>
      <c r="N83" s="9">
        <f t="shared" si="25"/>
        <v>0.72222222222222221</v>
      </c>
      <c r="O83" s="9">
        <f t="shared" si="26"/>
        <v>0.29629629629629628</v>
      </c>
      <c r="P83" s="9">
        <f t="shared" si="27"/>
        <v>0.37037037037037035</v>
      </c>
    </row>
    <row r="84" spans="1:16" x14ac:dyDescent="0.25">
      <c r="A84" t="s">
        <v>122</v>
      </c>
      <c r="B84">
        <v>2018</v>
      </c>
      <c r="C84" s="8">
        <f>'1_Du_lieu'!F99</f>
        <v>24.3</v>
      </c>
      <c r="D84" s="8">
        <f>'1_Du_lieu'!G99</f>
        <v>25.1</v>
      </c>
      <c r="E84" s="8">
        <f>'1_Du_lieu'!H99</f>
        <v>23.3</v>
      </c>
      <c r="F84" s="8">
        <f>'1_Du_lieu'!I99</f>
        <v>55.2</v>
      </c>
      <c r="G84" s="6">
        <f t="shared" si="19"/>
        <v>4.8600000000000003</v>
      </c>
      <c r="H84" s="6">
        <f t="shared" si="20"/>
        <v>8.7850000000000001</v>
      </c>
      <c r="I84" s="6">
        <f t="shared" si="21"/>
        <v>8.1549999999999994</v>
      </c>
      <c r="J84" s="6">
        <f t="shared" si="22"/>
        <v>5.5200000000000005</v>
      </c>
      <c r="K84" s="6">
        <f t="shared" si="28"/>
        <v>27.319999999999997</v>
      </c>
      <c r="L84" s="9">
        <f t="shared" si="23"/>
        <v>3.7037037037037035E-2</v>
      </c>
      <c r="M84" s="9">
        <f t="shared" si="24"/>
        <v>7.407407407407407E-2</v>
      </c>
      <c r="N84" s="9">
        <f t="shared" si="25"/>
        <v>3.7037037037037035E-2</v>
      </c>
      <c r="O84" s="9">
        <f t="shared" si="26"/>
        <v>0.3888888888888889</v>
      </c>
      <c r="P84" s="9">
        <f t="shared" si="27"/>
        <v>0.17592592592592593</v>
      </c>
    </row>
    <row r="85" spans="1:16" x14ac:dyDescent="0.25">
      <c r="A85" t="s">
        <v>123</v>
      </c>
      <c r="B85">
        <v>2018</v>
      </c>
      <c r="C85" s="8">
        <f>'1_Du_lieu'!F100</f>
        <v>34</v>
      </c>
      <c r="D85" s="8">
        <f>'1_Du_lieu'!G100</f>
        <v>46.1</v>
      </c>
      <c r="E85" s="8">
        <f>'1_Du_lieu'!H100</f>
        <v>23.4</v>
      </c>
      <c r="F85" s="8">
        <f>'1_Du_lieu'!I100</f>
        <v>66.7</v>
      </c>
      <c r="G85" s="6">
        <f t="shared" si="19"/>
        <v>6.8000000000000007</v>
      </c>
      <c r="H85" s="6">
        <f t="shared" si="20"/>
        <v>16.134999999999998</v>
      </c>
      <c r="I85" s="6">
        <f t="shared" si="21"/>
        <v>8.19</v>
      </c>
      <c r="J85" s="6">
        <f t="shared" si="22"/>
        <v>6.6700000000000008</v>
      </c>
      <c r="K85" s="6">
        <f t="shared" si="28"/>
        <v>37.795000000000002</v>
      </c>
      <c r="L85" s="9">
        <f t="shared" si="23"/>
        <v>0.70370370370370372</v>
      </c>
      <c r="M85" s="9">
        <f t="shared" si="24"/>
        <v>0.68518518518518523</v>
      </c>
      <c r="N85" s="9">
        <f t="shared" si="25"/>
        <v>0.7592592592592593</v>
      </c>
      <c r="O85" s="9">
        <f t="shared" si="26"/>
        <v>0.40740740740740738</v>
      </c>
      <c r="P85" s="9">
        <f t="shared" si="27"/>
        <v>0.68518518518518523</v>
      </c>
    </row>
    <row r="86" spans="1:16" x14ac:dyDescent="0.25">
      <c r="A86" t="s">
        <v>124</v>
      </c>
      <c r="B86">
        <v>2018</v>
      </c>
      <c r="C86" s="8">
        <f>'1_Du_lieu'!F101</f>
        <v>36.1</v>
      </c>
      <c r="D86" s="8">
        <f>'1_Du_lieu'!G101</f>
        <v>39.5</v>
      </c>
      <c r="E86" s="8">
        <f>'1_Du_lieu'!H101</f>
        <v>28.2</v>
      </c>
      <c r="F86" s="8">
        <f>'1_Du_lieu'!I101</f>
        <v>71.2</v>
      </c>
      <c r="G86" s="6">
        <f t="shared" si="19"/>
        <v>7.2200000000000006</v>
      </c>
      <c r="H86" s="6">
        <f t="shared" si="20"/>
        <v>13.824999999999999</v>
      </c>
      <c r="I86" s="6">
        <f t="shared" si="21"/>
        <v>9.8699999999999992</v>
      </c>
      <c r="J86" s="6">
        <f t="shared" si="22"/>
        <v>7.120000000000001</v>
      </c>
      <c r="K86" s="6">
        <f t="shared" si="28"/>
        <v>38.034999999999997</v>
      </c>
      <c r="L86" s="9">
        <f t="shared" si="23"/>
        <v>0.72222222222222221</v>
      </c>
      <c r="M86" s="9">
        <f t="shared" si="24"/>
        <v>0.81481481481481477</v>
      </c>
      <c r="N86" s="9">
        <f t="shared" si="25"/>
        <v>0.51851851851851849</v>
      </c>
      <c r="O86" s="9">
        <f t="shared" si="26"/>
        <v>0.7407407407407407</v>
      </c>
      <c r="P86" s="9">
        <f t="shared" si="27"/>
        <v>0.81481481481481477</v>
      </c>
    </row>
    <row r="87" spans="1:16" x14ac:dyDescent="0.25">
      <c r="A87" t="s">
        <v>125</v>
      </c>
      <c r="B87">
        <v>2018</v>
      </c>
      <c r="C87" s="8">
        <f>'1_Du_lieu'!F102</f>
        <v>32</v>
      </c>
      <c r="D87" s="8">
        <f>'1_Du_lieu'!G102</f>
        <v>43</v>
      </c>
      <c r="E87" s="8">
        <f>'1_Du_lieu'!H102</f>
        <v>22.7</v>
      </c>
      <c r="F87" s="8">
        <f>'1_Du_lieu'!I102</f>
        <v>66</v>
      </c>
      <c r="G87" s="6">
        <f t="shared" si="19"/>
        <v>6.4</v>
      </c>
      <c r="H87" s="6">
        <f t="shared" si="20"/>
        <v>15.049999999999999</v>
      </c>
      <c r="I87" s="6">
        <f t="shared" si="21"/>
        <v>7.9449999999999994</v>
      </c>
      <c r="J87" s="6">
        <f t="shared" si="22"/>
        <v>6.6000000000000005</v>
      </c>
      <c r="K87" s="6">
        <f t="shared" si="28"/>
        <v>35.994999999999997</v>
      </c>
      <c r="L87" s="9">
        <f t="shared" si="23"/>
        <v>0.59259259259259256</v>
      </c>
      <c r="M87" s="9">
        <f t="shared" si="24"/>
        <v>0.41666666666666669</v>
      </c>
      <c r="N87" s="9">
        <f t="shared" si="25"/>
        <v>0.64814814814814814</v>
      </c>
      <c r="O87" s="9">
        <f t="shared" si="26"/>
        <v>0.3611111111111111</v>
      </c>
      <c r="P87" s="9">
        <f t="shared" si="27"/>
        <v>0.65740740740740744</v>
      </c>
    </row>
    <row r="88" spans="1:16" x14ac:dyDescent="0.25">
      <c r="A88" t="s">
        <v>126</v>
      </c>
      <c r="B88">
        <v>2018</v>
      </c>
      <c r="C88" s="8">
        <f>'1_Du_lieu'!F103</f>
        <v>29.7</v>
      </c>
      <c r="D88" s="8">
        <f>'1_Du_lieu'!G103</f>
        <v>40.5</v>
      </c>
      <c r="E88" s="8">
        <f>'1_Du_lieu'!H103</f>
        <v>19.399999999999999</v>
      </c>
      <c r="F88" s="8">
        <f>'1_Du_lieu'!I103</f>
        <v>47.1</v>
      </c>
      <c r="G88" s="6">
        <f t="shared" si="19"/>
        <v>5.94</v>
      </c>
      <c r="H88" s="6">
        <f t="shared" si="20"/>
        <v>14.174999999999999</v>
      </c>
      <c r="I88" s="6">
        <f t="shared" si="21"/>
        <v>6.7899999999999991</v>
      </c>
      <c r="J88" s="6">
        <f t="shared" si="22"/>
        <v>4.71</v>
      </c>
      <c r="K88" s="6">
        <f t="shared" si="28"/>
        <v>31.614999999999998</v>
      </c>
      <c r="L88" s="9">
        <f t="shared" si="23"/>
        <v>0.27777777777777779</v>
      </c>
      <c r="M88" s="9">
        <f t="shared" si="24"/>
        <v>0.33333333333333331</v>
      </c>
      <c r="N88" s="9">
        <f t="shared" si="25"/>
        <v>0.57407407407407407</v>
      </c>
      <c r="O88" s="9">
        <f t="shared" si="26"/>
        <v>0.15740740740740741</v>
      </c>
      <c r="P88" s="9">
        <f t="shared" si="27"/>
        <v>5.5555555555555552E-2</v>
      </c>
    </row>
    <row r="89" spans="1:16" x14ac:dyDescent="0.25">
      <c r="A89" t="s">
        <v>127</v>
      </c>
      <c r="B89">
        <v>2018</v>
      </c>
      <c r="C89" s="8">
        <f>'1_Du_lieu'!F104</f>
        <v>32</v>
      </c>
      <c r="D89" s="8">
        <f>'1_Du_lieu'!G104</f>
        <v>38.200000000000003</v>
      </c>
      <c r="E89" s="8">
        <f>'1_Du_lieu'!H104</f>
        <v>30</v>
      </c>
      <c r="F89" s="8">
        <f>'1_Du_lieu'!I104</f>
        <v>64.400000000000006</v>
      </c>
      <c r="G89" s="6">
        <f t="shared" si="19"/>
        <v>6.4</v>
      </c>
      <c r="H89" s="6">
        <f t="shared" si="20"/>
        <v>13.370000000000001</v>
      </c>
      <c r="I89" s="6">
        <f t="shared" si="21"/>
        <v>10.5</v>
      </c>
      <c r="J89" s="6">
        <f t="shared" si="22"/>
        <v>6.4400000000000013</v>
      </c>
      <c r="K89" s="6">
        <f t="shared" si="28"/>
        <v>36.710000000000008</v>
      </c>
      <c r="L89" s="9">
        <f t="shared" si="23"/>
        <v>0.64814814814814814</v>
      </c>
      <c r="M89" s="9">
        <f t="shared" si="24"/>
        <v>0.41666666666666669</v>
      </c>
      <c r="N89" s="9">
        <f t="shared" si="25"/>
        <v>0.41666666666666669</v>
      </c>
      <c r="O89" s="9">
        <f t="shared" si="26"/>
        <v>0.81481481481481477</v>
      </c>
      <c r="P89" s="9">
        <f t="shared" si="27"/>
        <v>0.5</v>
      </c>
    </row>
    <row r="90" spans="1:16" x14ac:dyDescent="0.25">
      <c r="A90" t="s">
        <v>128</v>
      </c>
      <c r="B90">
        <v>2018</v>
      </c>
      <c r="C90" s="8">
        <f>'1_Du_lieu'!F105</f>
        <v>36.4</v>
      </c>
      <c r="D90" s="8">
        <f>'1_Du_lieu'!G105</f>
        <v>31.4</v>
      </c>
      <c r="E90" s="8">
        <f>'1_Du_lieu'!H105</f>
        <v>24</v>
      </c>
      <c r="F90" s="8">
        <f>'1_Du_lieu'!I105</f>
        <v>64.7</v>
      </c>
      <c r="G90" s="6">
        <f t="shared" si="19"/>
        <v>7.28</v>
      </c>
      <c r="H90" s="6">
        <f t="shared" si="20"/>
        <v>10.989999999999998</v>
      </c>
      <c r="I90" s="6">
        <f t="shared" si="21"/>
        <v>8.3999999999999986</v>
      </c>
      <c r="J90" s="6">
        <f t="shared" si="22"/>
        <v>6.4700000000000006</v>
      </c>
      <c r="K90" s="6">
        <f t="shared" si="28"/>
        <v>33.14</v>
      </c>
      <c r="L90" s="9">
        <f t="shared" si="23"/>
        <v>0.35185185185185186</v>
      </c>
      <c r="M90" s="9">
        <f t="shared" si="24"/>
        <v>0.83333333333333337</v>
      </c>
      <c r="N90" s="9">
        <f t="shared" si="25"/>
        <v>0.16666666666666666</v>
      </c>
      <c r="O90" s="9">
        <f t="shared" si="26"/>
        <v>0.47222222222222221</v>
      </c>
      <c r="P90" s="9">
        <f t="shared" si="27"/>
        <v>0.51851851851851849</v>
      </c>
    </row>
    <row r="91" spans="1:16" x14ac:dyDescent="0.25">
      <c r="A91" t="s">
        <v>129</v>
      </c>
      <c r="B91">
        <v>2018</v>
      </c>
      <c r="C91" s="8">
        <f>'1_Du_lieu'!F106</f>
        <v>27</v>
      </c>
      <c r="D91" s="8">
        <f>'1_Du_lieu'!G106</f>
        <v>37.6</v>
      </c>
      <c r="E91" s="8">
        <f>'1_Du_lieu'!H106</f>
        <v>18.399999999999999</v>
      </c>
      <c r="F91" s="8">
        <f>'1_Du_lieu'!I106</f>
        <v>50.6</v>
      </c>
      <c r="G91" s="6">
        <f t="shared" ref="G91:G112" si="29">C91*$AC$5</f>
        <v>5.4</v>
      </c>
      <c r="H91" s="6">
        <f t="shared" ref="H91:H112" si="30">D91*$AD$5</f>
        <v>13.16</v>
      </c>
      <c r="I91" s="6">
        <f t="shared" ref="I91:I112" si="31">E91*$AE$5</f>
        <v>6.4399999999999995</v>
      </c>
      <c r="J91" s="6">
        <f t="shared" ref="J91:J112" si="32">F91*$AF$5</f>
        <v>5.0600000000000005</v>
      </c>
      <c r="K91" s="6">
        <f t="shared" si="28"/>
        <v>30.060000000000002</v>
      </c>
      <c r="L91" s="9">
        <f t="shared" ref="L91:L122" si="33">_xlfn.RANK.AVG(K91,$K$59:$K$112,1)/54</f>
        <v>0.22222222222222221</v>
      </c>
      <c r="M91" s="9">
        <f t="shared" ref="M91:M112" si="34">_xlfn.RANK.AVG(G91,$G$59:$G$112,1)/54</f>
        <v>0.20370370370370369</v>
      </c>
      <c r="N91" s="9">
        <f t="shared" ref="N91:N112" si="35">_xlfn.RANK.AVG(H91,$H$59:$H$112,1)/54</f>
        <v>0.3888888888888889</v>
      </c>
      <c r="O91" s="9">
        <f t="shared" ref="O91:O112" si="36">_xlfn.RANK.AVG(I91,$I$59:$I$112,1)/54</f>
        <v>0.10185185185185185</v>
      </c>
      <c r="P91" s="9">
        <f t="shared" ref="P91:P112" si="37">_xlfn.RANK.AVG(J91,$J$59:$J$112,1)/54</f>
        <v>0.1111111111111111</v>
      </c>
    </row>
    <row r="92" spans="1:16" x14ac:dyDescent="0.25">
      <c r="A92" t="s">
        <v>130</v>
      </c>
      <c r="B92">
        <v>2018</v>
      </c>
      <c r="C92" s="8">
        <f>'1_Du_lieu'!F107</f>
        <v>33.299999999999997</v>
      </c>
      <c r="D92" s="8">
        <f>'1_Du_lieu'!G107</f>
        <v>38.6</v>
      </c>
      <c r="E92" s="8">
        <f>'1_Du_lieu'!H107</f>
        <v>27.4</v>
      </c>
      <c r="F92" s="8">
        <f>'1_Du_lieu'!I107</f>
        <v>73</v>
      </c>
      <c r="G92" s="6">
        <f t="shared" si="29"/>
        <v>6.66</v>
      </c>
      <c r="H92" s="6">
        <f t="shared" si="30"/>
        <v>13.51</v>
      </c>
      <c r="I92" s="6">
        <f t="shared" si="31"/>
        <v>9.5899999999999981</v>
      </c>
      <c r="J92" s="6">
        <f t="shared" si="32"/>
        <v>7.3000000000000007</v>
      </c>
      <c r="K92" s="6">
        <f t="shared" si="28"/>
        <v>37.06</v>
      </c>
      <c r="L92" s="9">
        <f t="shared" si="33"/>
        <v>0.68518518518518523</v>
      </c>
      <c r="M92" s="9">
        <f t="shared" si="34"/>
        <v>0.57407407407407407</v>
      </c>
      <c r="N92" s="9">
        <f t="shared" si="35"/>
        <v>0.46296296296296297</v>
      </c>
      <c r="O92" s="9">
        <f t="shared" si="36"/>
        <v>0.70370370370370372</v>
      </c>
      <c r="P92" s="9">
        <f t="shared" si="37"/>
        <v>0.92592592592592593</v>
      </c>
    </row>
    <row r="93" spans="1:16" x14ac:dyDescent="0.25">
      <c r="A93" t="s">
        <v>131</v>
      </c>
      <c r="B93">
        <v>2018</v>
      </c>
      <c r="C93" s="8">
        <f>'1_Du_lieu'!F108</f>
        <v>29.4</v>
      </c>
      <c r="D93" s="8">
        <f>'1_Du_lieu'!G108</f>
        <v>33.200000000000003</v>
      </c>
      <c r="E93" s="8">
        <f>'1_Du_lieu'!H108</f>
        <v>19.8</v>
      </c>
      <c r="F93" s="8">
        <f>'1_Du_lieu'!I108</f>
        <v>56.2</v>
      </c>
      <c r="G93" s="6">
        <f t="shared" si="29"/>
        <v>5.88</v>
      </c>
      <c r="H93" s="6">
        <f t="shared" si="30"/>
        <v>11.620000000000001</v>
      </c>
      <c r="I93" s="6">
        <f t="shared" si="31"/>
        <v>6.93</v>
      </c>
      <c r="J93" s="6">
        <f t="shared" si="32"/>
        <v>5.620000000000001</v>
      </c>
      <c r="K93" s="6">
        <f t="shared" si="28"/>
        <v>30.05</v>
      </c>
      <c r="L93" s="9">
        <f t="shared" si="33"/>
        <v>0.20370370370370369</v>
      </c>
      <c r="M93" s="9">
        <f t="shared" si="34"/>
        <v>0.29629629629629628</v>
      </c>
      <c r="N93" s="9">
        <f t="shared" si="35"/>
        <v>0.24074074074074073</v>
      </c>
      <c r="O93" s="9">
        <f t="shared" si="36"/>
        <v>0.20370370370370369</v>
      </c>
      <c r="P93" s="9">
        <f t="shared" si="37"/>
        <v>0.20370370370370369</v>
      </c>
    </row>
    <row r="94" spans="1:16" x14ac:dyDescent="0.25">
      <c r="A94" t="s">
        <v>132</v>
      </c>
      <c r="B94">
        <v>2018</v>
      </c>
      <c r="C94" s="8">
        <f>'1_Du_lieu'!F109</f>
        <v>33.4</v>
      </c>
      <c r="D94" s="8">
        <f>'1_Du_lieu'!G109</f>
        <v>51.3</v>
      </c>
      <c r="E94" s="8">
        <f>'1_Du_lieu'!H109</f>
        <v>26.1</v>
      </c>
      <c r="F94" s="8">
        <f>'1_Du_lieu'!I109</f>
        <v>65.2</v>
      </c>
      <c r="G94" s="6">
        <f t="shared" si="29"/>
        <v>6.68</v>
      </c>
      <c r="H94" s="6">
        <f t="shared" si="30"/>
        <v>17.954999999999998</v>
      </c>
      <c r="I94" s="6">
        <f t="shared" si="31"/>
        <v>9.1349999999999998</v>
      </c>
      <c r="J94" s="6">
        <f t="shared" si="32"/>
        <v>6.5200000000000005</v>
      </c>
      <c r="K94" s="6">
        <f t="shared" si="28"/>
        <v>40.29</v>
      </c>
      <c r="L94" s="9">
        <f t="shared" si="33"/>
        <v>0.77777777777777779</v>
      </c>
      <c r="M94" s="9">
        <f t="shared" si="34"/>
        <v>0.60185185185185186</v>
      </c>
      <c r="N94" s="9">
        <f t="shared" si="35"/>
        <v>0.83333333333333337</v>
      </c>
      <c r="O94" s="9">
        <f t="shared" si="36"/>
        <v>0.65740740740740744</v>
      </c>
      <c r="P94" s="9">
        <f t="shared" si="37"/>
        <v>0.59259259259259256</v>
      </c>
    </row>
    <row r="95" spans="1:16" x14ac:dyDescent="0.25">
      <c r="A95" t="s">
        <v>133</v>
      </c>
      <c r="B95">
        <v>2018</v>
      </c>
      <c r="C95" s="8">
        <f>'1_Du_lieu'!F110</f>
        <v>23.8</v>
      </c>
      <c r="D95" s="8">
        <f>'1_Du_lieu'!G110</f>
        <v>30.5</v>
      </c>
      <c r="E95" s="8">
        <f>'1_Du_lieu'!H110</f>
        <v>24.7</v>
      </c>
      <c r="F95" s="8">
        <f>'1_Du_lieu'!I110</f>
        <v>50.1</v>
      </c>
      <c r="G95" s="6">
        <f t="shared" si="29"/>
        <v>4.7600000000000007</v>
      </c>
      <c r="H95" s="6">
        <f t="shared" si="30"/>
        <v>10.674999999999999</v>
      </c>
      <c r="I95" s="6">
        <f t="shared" si="31"/>
        <v>8.6449999999999996</v>
      </c>
      <c r="J95" s="6">
        <f t="shared" si="32"/>
        <v>5.0100000000000007</v>
      </c>
      <c r="K95" s="6">
        <f t="shared" si="28"/>
        <v>29.09</v>
      </c>
      <c r="L95" s="9">
        <f t="shared" si="33"/>
        <v>0.1111111111111111</v>
      </c>
      <c r="M95" s="9">
        <f t="shared" si="34"/>
        <v>5.5555555555555552E-2</v>
      </c>
      <c r="N95" s="9">
        <f t="shared" si="35"/>
        <v>0.1111111111111111</v>
      </c>
      <c r="O95" s="9">
        <f t="shared" si="36"/>
        <v>0.51851851851851849</v>
      </c>
      <c r="P95" s="9">
        <f t="shared" si="37"/>
        <v>9.2592592592592587E-2</v>
      </c>
    </row>
    <row r="96" spans="1:16" x14ac:dyDescent="0.25">
      <c r="A96" t="s">
        <v>136</v>
      </c>
      <c r="B96">
        <v>2018</v>
      </c>
      <c r="C96" s="8">
        <f>'1_Du_lieu'!F113</f>
        <v>82.7</v>
      </c>
      <c r="D96" s="8">
        <f>'1_Du_lieu'!G113</f>
        <v>80.7</v>
      </c>
      <c r="E96" s="8">
        <f>'1_Du_lieu'!H113</f>
        <v>83.1</v>
      </c>
      <c r="F96" s="8">
        <f>'1_Du_lieu'!I113</f>
        <v>82.5</v>
      </c>
      <c r="G96" s="6">
        <f t="shared" si="29"/>
        <v>16.540000000000003</v>
      </c>
      <c r="H96" s="6">
        <f t="shared" si="30"/>
        <v>28.244999999999997</v>
      </c>
      <c r="I96" s="6">
        <f t="shared" si="31"/>
        <v>29.084999999999997</v>
      </c>
      <c r="J96" s="6">
        <f t="shared" si="32"/>
        <v>8.25</v>
      </c>
      <c r="K96" s="6">
        <f t="shared" si="28"/>
        <v>82.11999999999999</v>
      </c>
      <c r="L96" s="9">
        <f t="shared" si="33"/>
        <v>1</v>
      </c>
      <c r="M96" s="9">
        <f t="shared" si="34"/>
        <v>0.98148148148148151</v>
      </c>
      <c r="N96" s="9">
        <f t="shared" si="35"/>
        <v>1</v>
      </c>
      <c r="O96" s="9">
        <f t="shared" si="36"/>
        <v>1</v>
      </c>
      <c r="P96" s="9">
        <f t="shared" si="37"/>
        <v>1</v>
      </c>
    </row>
    <row r="97" spans="1:16" x14ac:dyDescent="0.25">
      <c r="A97" t="s">
        <v>137</v>
      </c>
      <c r="B97">
        <v>2018</v>
      </c>
      <c r="C97" s="8">
        <f>'1_Du_lieu'!F114</f>
        <v>34</v>
      </c>
      <c r="D97" s="8">
        <f>'1_Du_lieu'!G114</f>
        <v>39</v>
      </c>
      <c r="E97" s="8">
        <f>'1_Du_lieu'!H114</f>
        <v>29</v>
      </c>
      <c r="F97" s="8">
        <f>'1_Du_lieu'!I114</f>
        <v>57.5</v>
      </c>
      <c r="G97" s="6">
        <f t="shared" si="29"/>
        <v>6.8000000000000007</v>
      </c>
      <c r="H97" s="6">
        <f t="shared" si="30"/>
        <v>13.649999999999999</v>
      </c>
      <c r="I97" s="6">
        <f t="shared" si="31"/>
        <v>10.149999999999999</v>
      </c>
      <c r="J97" s="6">
        <f t="shared" si="32"/>
        <v>5.75</v>
      </c>
      <c r="K97" s="6">
        <f t="shared" si="28"/>
        <v>36.349999999999994</v>
      </c>
      <c r="L97" s="9">
        <f t="shared" si="33"/>
        <v>0.61111111111111116</v>
      </c>
      <c r="M97" s="9">
        <f t="shared" si="34"/>
        <v>0.68518518518518523</v>
      </c>
      <c r="N97" s="9">
        <f t="shared" si="35"/>
        <v>0.48148148148148145</v>
      </c>
      <c r="O97" s="9">
        <f t="shared" si="36"/>
        <v>0.78703703703703709</v>
      </c>
      <c r="P97" s="9">
        <f t="shared" si="37"/>
        <v>0.26851851851851855</v>
      </c>
    </row>
    <row r="98" spans="1:16" x14ac:dyDescent="0.25">
      <c r="A98" t="s">
        <v>138</v>
      </c>
      <c r="B98">
        <v>2018</v>
      </c>
      <c r="C98" s="8">
        <f>'1_Du_lieu'!F115</f>
        <v>33</v>
      </c>
      <c r="D98" s="8">
        <f>'1_Du_lieu'!G115</f>
        <v>35.700000000000003</v>
      </c>
      <c r="E98" s="8">
        <f>'1_Du_lieu'!H115</f>
        <v>29</v>
      </c>
      <c r="F98" s="8">
        <f>'1_Du_lieu'!I115</f>
        <v>66</v>
      </c>
      <c r="G98" s="6">
        <f t="shared" si="29"/>
        <v>6.6000000000000005</v>
      </c>
      <c r="H98" s="6">
        <f t="shared" si="30"/>
        <v>12.495000000000001</v>
      </c>
      <c r="I98" s="6">
        <f t="shared" si="31"/>
        <v>10.149999999999999</v>
      </c>
      <c r="J98" s="6">
        <f t="shared" si="32"/>
        <v>6.6000000000000005</v>
      </c>
      <c r="K98" s="6">
        <f t="shared" si="28"/>
        <v>35.844999999999999</v>
      </c>
      <c r="L98" s="9">
        <f t="shared" si="33"/>
        <v>0.55555555555555558</v>
      </c>
      <c r="M98" s="9">
        <f t="shared" si="34"/>
        <v>0.52777777777777779</v>
      </c>
      <c r="N98" s="9">
        <f t="shared" si="35"/>
        <v>0.31481481481481483</v>
      </c>
      <c r="O98" s="9">
        <f t="shared" si="36"/>
        <v>0.78703703703703709</v>
      </c>
      <c r="P98" s="9">
        <f t="shared" si="37"/>
        <v>0.65740740740740744</v>
      </c>
    </row>
    <row r="99" spans="1:16" x14ac:dyDescent="0.25">
      <c r="A99" t="s">
        <v>139</v>
      </c>
      <c r="B99">
        <v>2018</v>
      </c>
      <c r="C99" s="8">
        <f>'1_Du_lieu'!F116</f>
        <v>34</v>
      </c>
      <c r="D99" s="8">
        <f>'1_Du_lieu'!G116</f>
        <v>32.5</v>
      </c>
      <c r="E99" s="8">
        <f>'1_Du_lieu'!H116</f>
        <v>24.2</v>
      </c>
      <c r="F99" s="8">
        <f>'1_Du_lieu'!I116</f>
        <v>64.900000000000006</v>
      </c>
      <c r="G99" s="6">
        <f t="shared" si="29"/>
        <v>6.8000000000000007</v>
      </c>
      <c r="H99" s="6">
        <f t="shared" si="30"/>
        <v>11.375</v>
      </c>
      <c r="I99" s="6">
        <f t="shared" si="31"/>
        <v>8.4699999999999989</v>
      </c>
      <c r="J99" s="6">
        <f t="shared" si="32"/>
        <v>6.4900000000000011</v>
      </c>
      <c r="K99" s="6">
        <f t="shared" si="28"/>
        <v>33.134999999999998</v>
      </c>
      <c r="L99" s="9">
        <f t="shared" si="33"/>
        <v>0.33333333333333331</v>
      </c>
      <c r="M99" s="9">
        <f t="shared" si="34"/>
        <v>0.68518518518518523</v>
      </c>
      <c r="N99" s="9">
        <f t="shared" si="35"/>
        <v>0.20370370370370369</v>
      </c>
      <c r="O99" s="9">
        <f t="shared" si="36"/>
        <v>0.5</v>
      </c>
      <c r="P99" s="9">
        <f t="shared" si="37"/>
        <v>0.55555555555555558</v>
      </c>
    </row>
    <row r="100" spans="1:16" x14ac:dyDescent="0.25">
      <c r="A100" t="s">
        <v>140</v>
      </c>
      <c r="B100">
        <v>2018</v>
      </c>
      <c r="C100" s="8">
        <f>'1_Du_lieu'!F117</f>
        <v>33.700000000000003</v>
      </c>
      <c r="D100" s="8">
        <f>'1_Du_lieu'!G117</f>
        <v>44.2</v>
      </c>
      <c r="E100" s="8">
        <f>'1_Du_lieu'!H117</f>
        <v>25.7</v>
      </c>
      <c r="F100" s="8">
        <f>'1_Du_lieu'!I117</f>
        <v>71.099999999999994</v>
      </c>
      <c r="G100" s="6">
        <f t="shared" si="29"/>
        <v>6.7400000000000011</v>
      </c>
      <c r="H100" s="6">
        <f t="shared" si="30"/>
        <v>15.47</v>
      </c>
      <c r="I100" s="6">
        <f t="shared" si="31"/>
        <v>8.9949999999999992</v>
      </c>
      <c r="J100" s="6">
        <f t="shared" si="32"/>
        <v>7.1099999999999994</v>
      </c>
      <c r="K100" s="6">
        <f t="shared" si="28"/>
        <v>38.314999999999998</v>
      </c>
      <c r="L100" s="9">
        <f t="shared" si="33"/>
        <v>0.7407407407407407</v>
      </c>
      <c r="M100" s="9">
        <f t="shared" si="34"/>
        <v>0.64814814814814814</v>
      </c>
      <c r="N100" s="9">
        <f t="shared" si="35"/>
        <v>0.68518518518518523</v>
      </c>
      <c r="O100" s="9">
        <f t="shared" si="36"/>
        <v>0.61111111111111116</v>
      </c>
      <c r="P100" s="9">
        <f t="shared" si="37"/>
        <v>0.79629629629629628</v>
      </c>
    </row>
    <row r="101" spans="1:16" x14ac:dyDescent="0.25">
      <c r="A101" t="s">
        <v>141</v>
      </c>
      <c r="B101">
        <v>2018</v>
      </c>
      <c r="C101" s="8">
        <f>'1_Du_lieu'!F118</f>
        <v>33.4</v>
      </c>
      <c r="D101" s="8">
        <f>'1_Du_lieu'!G118</f>
        <v>38.200000000000003</v>
      </c>
      <c r="E101" s="8">
        <f>'1_Du_lieu'!H118</f>
        <v>18.399999999999999</v>
      </c>
      <c r="F101" s="8">
        <f>'1_Du_lieu'!I118</f>
        <v>72.099999999999994</v>
      </c>
      <c r="G101" s="6">
        <f t="shared" si="29"/>
        <v>6.68</v>
      </c>
      <c r="H101" s="6">
        <f t="shared" si="30"/>
        <v>13.370000000000001</v>
      </c>
      <c r="I101" s="6">
        <f t="shared" si="31"/>
        <v>6.4399999999999995</v>
      </c>
      <c r="J101" s="6">
        <f t="shared" si="32"/>
        <v>7.21</v>
      </c>
      <c r="K101" s="6">
        <f t="shared" si="28"/>
        <v>33.700000000000003</v>
      </c>
      <c r="L101" s="9">
        <f t="shared" si="33"/>
        <v>0.37962962962962965</v>
      </c>
      <c r="M101" s="9">
        <f t="shared" si="34"/>
        <v>0.60185185185185186</v>
      </c>
      <c r="N101" s="9">
        <f t="shared" si="35"/>
        <v>0.41666666666666669</v>
      </c>
      <c r="O101" s="9">
        <f t="shared" si="36"/>
        <v>0.10185185185185185</v>
      </c>
      <c r="P101" s="9">
        <f t="shared" si="37"/>
        <v>0.88888888888888884</v>
      </c>
    </row>
    <row r="102" spans="1:16" x14ac:dyDescent="0.25">
      <c r="A102" t="s">
        <v>142</v>
      </c>
      <c r="B102">
        <v>2018</v>
      </c>
      <c r="C102" s="8">
        <f>'1_Du_lieu'!F119</f>
        <v>26.6</v>
      </c>
      <c r="D102" s="8">
        <f>'1_Du_lieu'!G119</f>
        <v>35.6</v>
      </c>
      <c r="E102" s="8">
        <f>'1_Du_lieu'!H119</f>
        <v>16.8</v>
      </c>
      <c r="F102" s="8">
        <f>'1_Du_lieu'!I119</f>
        <v>55.2</v>
      </c>
      <c r="G102" s="6">
        <f t="shared" si="29"/>
        <v>5.32</v>
      </c>
      <c r="H102" s="6">
        <f t="shared" si="30"/>
        <v>12.459999999999999</v>
      </c>
      <c r="I102" s="6">
        <f t="shared" si="31"/>
        <v>5.88</v>
      </c>
      <c r="J102" s="6">
        <f t="shared" si="32"/>
        <v>5.5200000000000005</v>
      </c>
      <c r="K102" s="6">
        <f t="shared" si="28"/>
        <v>29.18</v>
      </c>
      <c r="L102" s="9">
        <f t="shared" si="33"/>
        <v>0.12962962962962962</v>
      </c>
      <c r="M102" s="9">
        <f t="shared" si="34"/>
        <v>0.16666666666666666</v>
      </c>
      <c r="N102" s="9">
        <f t="shared" si="35"/>
        <v>0.28703703703703703</v>
      </c>
      <c r="O102" s="9">
        <f t="shared" si="36"/>
        <v>3.7037037037037035E-2</v>
      </c>
      <c r="P102" s="9">
        <f t="shared" si="37"/>
        <v>0.17592592592592593</v>
      </c>
    </row>
    <row r="103" spans="1:16" x14ac:dyDescent="0.25">
      <c r="A103" t="s">
        <v>143</v>
      </c>
      <c r="B103">
        <v>2018</v>
      </c>
      <c r="C103" s="8">
        <f>'1_Du_lieu'!F120</f>
        <v>26.2</v>
      </c>
      <c r="D103" s="8">
        <f>'1_Du_lieu'!G120</f>
        <v>25.6</v>
      </c>
      <c r="E103" s="8">
        <f>'1_Du_lieu'!H120</f>
        <v>19.5</v>
      </c>
      <c r="F103" s="8">
        <f>'1_Du_lieu'!I120</f>
        <v>63.7</v>
      </c>
      <c r="G103" s="6">
        <f t="shared" si="29"/>
        <v>5.24</v>
      </c>
      <c r="H103" s="6">
        <f t="shared" si="30"/>
        <v>8.9599999999999991</v>
      </c>
      <c r="I103" s="6">
        <f t="shared" si="31"/>
        <v>6.8249999999999993</v>
      </c>
      <c r="J103" s="6">
        <f t="shared" si="32"/>
        <v>6.370000000000001</v>
      </c>
      <c r="K103" s="6">
        <f t="shared" si="28"/>
        <v>27.395</v>
      </c>
      <c r="L103" s="9">
        <f t="shared" si="33"/>
        <v>5.5555555555555552E-2</v>
      </c>
      <c r="M103" s="9">
        <f t="shared" si="34"/>
        <v>0.1388888888888889</v>
      </c>
      <c r="N103" s="9">
        <f t="shared" si="35"/>
        <v>5.5555555555555552E-2</v>
      </c>
      <c r="O103" s="9">
        <f t="shared" si="36"/>
        <v>0.18518518518518517</v>
      </c>
      <c r="P103" s="9">
        <f t="shared" si="37"/>
        <v>0.44444444444444442</v>
      </c>
    </row>
    <row r="104" spans="1:16" x14ac:dyDescent="0.25">
      <c r="A104" t="s">
        <v>144</v>
      </c>
      <c r="B104">
        <v>2018</v>
      </c>
      <c r="C104" s="8">
        <f>'1_Du_lieu'!F121</f>
        <v>27.2</v>
      </c>
      <c r="D104" s="8">
        <f>'1_Du_lieu'!G121</f>
        <v>47</v>
      </c>
      <c r="E104" s="8">
        <f>'1_Du_lieu'!H121</f>
        <v>22</v>
      </c>
      <c r="F104" s="8">
        <f>'1_Du_lieu'!I121</f>
        <v>70.2</v>
      </c>
      <c r="G104" s="6">
        <f t="shared" si="29"/>
        <v>5.44</v>
      </c>
      <c r="H104" s="6">
        <f t="shared" si="30"/>
        <v>16.45</v>
      </c>
      <c r="I104" s="6">
        <f t="shared" si="31"/>
        <v>7.6999999999999993</v>
      </c>
      <c r="J104" s="6">
        <f t="shared" si="32"/>
        <v>7.0200000000000005</v>
      </c>
      <c r="K104" s="6">
        <f t="shared" si="28"/>
        <v>36.61</v>
      </c>
      <c r="L104" s="9">
        <f t="shared" si="33"/>
        <v>0.62962962962962965</v>
      </c>
      <c r="M104" s="9">
        <f t="shared" si="34"/>
        <v>0.22222222222222221</v>
      </c>
      <c r="N104" s="9">
        <f t="shared" si="35"/>
        <v>0.77777777777777779</v>
      </c>
      <c r="O104" s="9">
        <f t="shared" si="36"/>
        <v>0.33333333333333331</v>
      </c>
      <c r="P104" s="9">
        <f t="shared" si="37"/>
        <v>0.7407407407407407</v>
      </c>
    </row>
    <row r="105" spans="1:16" x14ac:dyDescent="0.25">
      <c r="A105" t="s">
        <v>145</v>
      </c>
      <c r="B105">
        <v>2018</v>
      </c>
      <c r="C105" s="8">
        <f>'1_Du_lieu'!F122</f>
        <v>32.5</v>
      </c>
      <c r="D105" s="8">
        <f>'1_Du_lieu'!G122</f>
        <v>35.6</v>
      </c>
      <c r="E105" s="8">
        <f>'1_Du_lieu'!H122</f>
        <v>18.3</v>
      </c>
      <c r="F105" s="8">
        <f>'1_Du_lieu'!I122</f>
        <v>43</v>
      </c>
      <c r="G105" s="6">
        <f t="shared" si="29"/>
        <v>6.5</v>
      </c>
      <c r="H105" s="6">
        <f t="shared" si="30"/>
        <v>12.459999999999999</v>
      </c>
      <c r="I105" s="6">
        <f t="shared" si="31"/>
        <v>6.4050000000000002</v>
      </c>
      <c r="J105" s="6">
        <f t="shared" si="32"/>
        <v>4.3</v>
      </c>
      <c r="K105" s="6">
        <f t="shared" si="28"/>
        <v>29.665000000000003</v>
      </c>
      <c r="L105" s="9">
        <f t="shared" si="33"/>
        <v>0.16666666666666666</v>
      </c>
      <c r="M105" s="9">
        <f t="shared" si="34"/>
        <v>0.48148148148148145</v>
      </c>
      <c r="N105" s="9">
        <f t="shared" si="35"/>
        <v>0.28703703703703703</v>
      </c>
      <c r="O105" s="9">
        <f t="shared" si="36"/>
        <v>7.407407407407407E-2</v>
      </c>
      <c r="P105" s="9">
        <f t="shared" si="37"/>
        <v>1.8518518518518517E-2</v>
      </c>
    </row>
    <row r="106" spans="1:16" x14ac:dyDescent="0.25">
      <c r="A106" t="s">
        <v>146</v>
      </c>
      <c r="B106">
        <v>2018</v>
      </c>
      <c r="C106" s="8">
        <f>'1_Du_lieu'!F123</f>
        <v>33.5</v>
      </c>
      <c r="D106" s="8">
        <f>'1_Du_lieu'!G123</f>
        <v>41.2</v>
      </c>
      <c r="E106" s="8">
        <f>'1_Du_lieu'!H123</f>
        <v>37.200000000000003</v>
      </c>
      <c r="F106" s="8">
        <f>'1_Du_lieu'!I123</f>
        <v>70.5</v>
      </c>
      <c r="G106" s="6">
        <f t="shared" si="29"/>
        <v>6.7</v>
      </c>
      <c r="H106" s="6">
        <f t="shared" si="30"/>
        <v>14.42</v>
      </c>
      <c r="I106" s="6">
        <f t="shared" si="31"/>
        <v>13.02</v>
      </c>
      <c r="J106" s="6">
        <f t="shared" si="32"/>
        <v>7.0500000000000007</v>
      </c>
      <c r="K106" s="6">
        <f t="shared" si="28"/>
        <v>41.19</v>
      </c>
      <c r="L106" s="9">
        <f t="shared" si="33"/>
        <v>0.83333333333333337</v>
      </c>
      <c r="M106" s="9">
        <f t="shared" si="34"/>
        <v>0.62962962962962965</v>
      </c>
      <c r="N106" s="9">
        <f t="shared" si="35"/>
        <v>0.59259259259259256</v>
      </c>
      <c r="O106" s="9">
        <f t="shared" si="36"/>
        <v>0.92592592592592593</v>
      </c>
      <c r="P106" s="9">
        <f t="shared" si="37"/>
        <v>0.7592592592592593</v>
      </c>
    </row>
    <row r="107" spans="1:16" x14ac:dyDescent="0.25">
      <c r="A107" t="s">
        <v>147</v>
      </c>
      <c r="B107">
        <v>2018</v>
      </c>
      <c r="C107" s="8">
        <f>'1_Du_lieu'!F124</f>
        <v>26.8</v>
      </c>
      <c r="D107" s="8">
        <f>'1_Du_lieu'!G124</f>
        <v>31.3</v>
      </c>
      <c r="E107" s="8">
        <f>'1_Du_lieu'!H124</f>
        <v>23.5</v>
      </c>
      <c r="F107" s="8">
        <f>'1_Du_lieu'!I124</f>
        <v>51</v>
      </c>
      <c r="G107" s="6">
        <f t="shared" si="29"/>
        <v>5.36</v>
      </c>
      <c r="H107" s="6">
        <f t="shared" si="30"/>
        <v>10.955</v>
      </c>
      <c r="I107" s="6">
        <f t="shared" si="31"/>
        <v>8.2249999999999996</v>
      </c>
      <c r="J107" s="6">
        <f t="shared" si="32"/>
        <v>5.1000000000000005</v>
      </c>
      <c r="K107" s="6">
        <f t="shared" si="28"/>
        <v>29.64</v>
      </c>
      <c r="L107" s="9">
        <f t="shared" si="33"/>
        <v>0.14814814814814814</v>
      </c>
      <c r="M107" s="9">
        <f t="shared" si="34"/>
        <v>0.18518518518518517</v>
      </c>
      <c r="N107" s="9">
        <f t="shared" si="35"/>
        <v>0.14814814814814814</v>
      </c>
      <c r="O107" s="9">
        <f t="shared" si="36"/>
        <v>0.42592592592592593</v>
      </c>
      <c r="P107" s="9">
        <f t="shared" si="37"/>
        <v>0.12962962962962962</v>
      </c>
    </row>
    <row r="108" spans="1:16" x14ac:dyDescent="0.25">
      <c r="A108" t="s">
        <v>149</v>
      </c>
      <c r="B108">
        <v>2018</v>
      </c>
      <c r="C108" s="8">
        <f>'1_Du_lieu'!F126</f>
        <v>41.7</v>
      </c>
      <c r="D108" s="8">
        <f>'1_Du_lieu'!G126</f>
        <v>60.2</v>
      </c>
      <c r="E108" s="8">
        <f>'1_Du_lieu'!H126</f>
        <v>49.9</v>
      </c>
      <c r="F108" s="8">
        <f>'1_Du_lieu'!I126</f>
        <v>72.599999999999994</v>
      </c>
      <c r="G108" s="6">
        <f t="shared" si="29"/>
        <v>8.3400000000000016</v>
      </c>
      <c r="H108" s="6">
        <f t="shared" si="30"/>
        <v>21.07</v>
      </c>
      <c r="I108" s="6">
        <f t="shared" si="31"/>
        <v>17.465</v>
      </c>
      <c r="J108" s="6">
        <f t="shared" si="32"/>
        <v>7.26</v>
      </c>
      <c r="K108" s="6">
        <f t="shared" si="28"/>
        <v>54.134999999999998</v>
      </c>
      <c r="L108" s="9">
        <f t="shared" si="33"/>
        <v>0.94444444444444442</v>
      </c>
      <c r="M108" s="9">
        <f t="shared" si="34"/>
        <v>0.96296296296296291</v>
      </c>
      <c r="N108" s="9">
        <f t="shared" si="35"/>
        <v>0.90740740740740744</v>
      </c>
      <c r="O108" s="9">
        <f t="shared" si="36"/>
        <v>0.96296296296296291</v>
      </c>
      <c r="P108" s="9">
        <f t="shared" si="37"/>
        <v>0.90740740740740744</v>
      </c>
    </row>
    <row r="109" spans="1:16" x14ac:dyDescent="0.25">
      <c r="A109" t="s">
        <v>150</v>
      </c>
      <c r="B109">
        <v>2018</v>
      </c>
      <c r="C109" s="8">
        <f>'1_Du_lieu'!F127</f>
        <v>29</v>
      </c>
      <c r="D109" s="8">
        <f>'1_Du_lieu'!G127</f>
        <v>34.200000000000003</v>
      </c>
      <c r="E109" s="8">
        <f>'1_Du_lieu'!H127</f>
        <v>27.5</v>
      </c>
      <c r="F109" s="8">
        <f>'1_Du_lieu'!I127</f>
        <v>63.6</v>
      </c>
      <c r="G109" s="6">
        <f t="shared" si="29"/>
        <v>5.8000000000000007</v>
      </c>
      <c r="H109" s="6">
        <f t="shared" si="30"/>
        <v>11.97</v>
      </c>
      <c r="I109" s="6">
        <f t="shared" si="31"/>
        <v>9.625</v>
      </c>
      <c r="J109" s="6">
        <f t="shared" si="32"/>
        <v>6.36</v>
      </c>
      <c r="K109" s="6">
        <f t="shared" si="28"/>
        <v>33.755000000000003</v>
      </c>
      <c r="L109" s="9">
        <f t="shared" si="33"/>
        <v>0.41666666666666669</v>
      </c>
      <c r="M109" s="9">
        <f t="shared" si="34"/>
        <v>0.27777777777777779</v>
      </c>
      <c r="N109" s="9">
        <f t="shared" si="35"/>
        <v>0.25925925925925924</v>
      </c>
      <c r="O109" s="9">
        <f t="shared" si="36"/>
        <v>0.72222222222222221</v>
      </c>
      <c r="P109" s="9">
        <f t="shared" si="37"/>
        <v>0.41666666666666669</v>
      </c>
    </row>
    <row r="110" spans="1:16" x14ac:dyDescent="0.25">
      <c r="A110" t="s">
        <v>151</v>
      </c>
      <c r="B110">
        <v>2018</v>
      </c>
      <c r="C110" s="8">
        <f>'1_Du_lieu'!F128</f>
        <v>25</v>
      </c>
      <c r="D110" s="8">
        <f>'1_Du_lieu'!G128</f>
        <v>36.700000000000003</v>
      </c>
      <c r="E110" s="8">
        <f>'1_Du_lieu'!H128</f>
        <v>18.8</v>
      </c>
      <c r="F110" s="8">
        <f>'1_Du_lieu'!I128</f>
        <v>56.9</v>
      </c>
      <c r="G110" s="6">
        <f t="shared" si="29"/>
        <v>5</v>
      </c>
      <c r="H110" s="6">
        <f t="shared" si="30"/>
        <v>12.845000000000001</v>
      </c>
      <c r="I110" s="6">
        <f t="shared" si="31"/>
        <v>6.58</v>
      </c>
      <c r="J110" s="6">
        <f t="shared" si="32"/>
        <v>5.69</v>
      </c>
      <c r="K110" s="6">
        <f t="shared" si="28"/>
        <v>30.114999999999998</v>
      </c>
      <c r="L110" s="9">
        <f t="shared" si="33"/>
        <v>0.24074074074074073</v>
      </c>
      <c r="M110" s="9">
        <f t="shared" si="34"/>
        <v>0.1111111111111111</v>
      </c>
      <c r="N110" s="9">
        <f t="shared" si="35"/>
        <v>0.37037037037037035</v>
      </c>
      <c r="O110" s="9">
        <f t="shared" si="36"/>
        <v>0.12962962962962962</v>
      </c>
      <c r="P110" s="9">
        <f t="shared" si="37"/>
        <v>0.22222222222222221</v>
      </c>
    </row>
    <row r="111" spans="1:16" x14ac:dyDescent="0.25">
      <c r="A111" t="s">
        <v>152</v>
      </c>
      <c r="B111">
        <v>2018</v>
      </c>
      <c r="C111" s="8">
        <f>'1_Du_lieu'!F129</f>
        <v>39.5</v>
      </c>
      <c r="D111" s="8">
        <f>'1_Du_lieu'!G129</f>
        <v>58.2</v>
      </c>
      <c r="E111" s="8">
        <f>'1_Du_lieu'!H129</f>
        <v>36.5</v>
      </c>
      <c r="F111" s="8">
        <f>'1_Du_lieu'!I129</f>
        <v>71.3</v>
      </c>
      <c r="G111" s="6">
        <f t="shared" si="29"/>
        <v>7.9</v>
      </c>
      <c r="H111" s="6">
        <f t="shared" si="30"/>
        <v>20.37</v>
      </c>
      <c r="I111" s="6">
        <f t="shared" si="31"/>
        <v>12.774999999999999</v>
      </c>
      <c r="J111" s="6">
        <f t="shared" si="32"/>
        <v>7.13</v>
      </c>
      <c r="K111" s="6">
        <f t="shared" si="28"/>
        <v>48.175000000000004</v>
      </c>
      <c r="L111" s="9">
        <f t="shared" si="33"/>
        <v>0.90740740740740744</v>
      </c>
      <c r="M111" s="9">
        <f t="shared" si="34"/>
        <v>0.90740740740740744</v>
      </c>
      <c r="N111" s="9">
        <f t="shared" si="35"/>
        <v>0.88888888888888884</v>
      </c>
      <c r="O111" s="9">
        <f t="shared" si="36"/>
        <v>0.90740740740740744</v>
      </c>
      <c r="P111" s="9">
        <f t="shared" si="37"/>
        <v>0.83333333333333337</v>
      </c>
    </row>
    <row r="112" spans="1:16" x14ac:dyDescent="0.25">
      <c r="A112" t="s">
        <v>153</v>
      </c>
      <c r="B112">
        <v>2018</v>
      </c>
      <c r="C112" s="8">
        <f>'1_Du_lieu'!F130</f>
        <v>32.799999999999997</v>
      </c>
      <c r="D112" s="8">
        <f>'1_Du_lieu'!G130</f>
        <v>36.299999999999997</v>
      </c>
      <c r="E112" s="8">
        <f>'1_Du_lieu'!H130</f>
        <v>19.399999999999999</v>
      </c>
      <c r="F112" s="8">
        <f>'1_Du_lieu'!I130</f>
        <v>70</v>
      </c>
      <c r="G112" s="6">
        <f t="shared" si="29"/>
        <v>6.56</v>
      </c>
      <c r="H112" s="6">
        <f t="shared" si="30"/>
        <v>12.704999999999998</v>
      </c>
      <c r="I112" s="6">
        <f t="shared" si="31"/>
        <v>6.7899999999999991</v>
      </c>
      <c r="J112" s="6">
        <f t="shared" si="32"/>
        <v>7</v>
      </c>
      <c r="K112" s="6">
        <f t="shared" si="28"/>
        <v>33.054999999999993</v>
      </c>
      <c r="L112" s="9">
        <f t="shared" si="33"/>
        <v>0.31481481481481483</v>
      </c>
      <c r="M112" s="9">
        <f t="shared" si="34"/>
        <v>0.5</v>
      </c>
      <c r="N112" s="9">
        <f t="shared" si="35"/>
        <v>0.35185185185185186</v>
      </c>
      <c r="O112" s="9">
        <f t="shared" si="36"/>
        <v>0.15740740740740741</v>
      </c>
      <c r="P112" s="9">
        <f t="shared" si="37"/>
        <v>0.72222222222222221</v>
      </c>
    </row>
    <row r="113" spans="1:16" x14ac:dyDescent="0.25">
      <c r="A113" t="s">
        <v>85</v>
      </c>
      <c r="B113">
        <v>2019</v>
      </c>
      <c r="C113" s="8">
        <f>'1_Du_lieu'!F131</f>
        <v>31</v>
      </c>
      <c r="D113" s="8">
        <f>'1_Du_lieu'!G131</f>
        <v>46.9</v>
      </c>
      <c r="E113" s="8">
        <f>'1_Du_lieu'!H131</f>
        <v>20.7</v>
      </c>
      <c r="F113" s="8">
        <f>'1_Du_lieu'!I131</f>
        <v>59.5</v>
      </c>
      <c r="G113" s="6">
        <f t="shared" ref="G113:G144" si="38">C113*$AC$6</f>
        <v>6.2</v>
      </c>
      <c r="H113" s="6">
        <f t="shared" ref="H113:H144" si="39">D113*$AD$6</f>
        <v>16.414999999999999</v>
      </c>
      <c r="I113" s="6">
        <f t="shared" ref="I113:I144" si="40">E113*$AE$6</f>
        <v>7.2449999999999992</v>
      </c>
      <c r="J113" s="6">
        <f t="shared" ref="J113:J144" si="41">F113*$AF$6</f>
        <v>5.95</v>
      </c>
      <c r="K113" s="6">
        <f t="shared" si="28"/>
        <v>35.81</v>
      </c>
      <c r="L113" s="9">
        <f t="shared" ref="L113:L144" si="42">_xlfn.RANK.AVG(K113,$K$113:$K$166,1)/54</f>
        <v>0.40740740740740738</v>
      </c>
      <c r="M113" s="9">
        <f t="shared" ref="M113:M144" si="43">_xlfn.RANK.AVG(G113,$G$113:$G$166,1)/54</f>
        <v>0.31481481481481483</v>
      </c>
      <c r="N113" s="9">
        <f t="shared" ref="N113:N144" si="44">_xlfn.RANK.AVG(H113,$H$113:$H$166,1)/54</f>
        <v>0.68518518518518523</v>
      </c>
      <c r="O113" s="9">
        <f t="shared" ref="O113:O144" si="45">_xlfn.RANK.AVG(I113,$I$113:$I$166,1)/54</f>
        <v>0.18518518518518517</v>
      </c>
      <c r="P113" s="9">
        <f t="shared" ref="P113:P144" si="46">_xlfn.RANK.AVG(J113,$J$113:$J$166,1)/54</f>
        <v>0.27777777777777779</v>
      </c>
    </row>
    <row r="114" spans="1:16" x14ac:dyDescent="0.25">
      <c r="A114" t="s">
        <v>87</v>
      </c>
      <c r="B114">
        <v>2019</v>
      </c>
      <c r="C114" s="8">
        <f>'1_Du_lieu'!F132</f>
        <v>36.799999999999997</v>
      </c>
      <c r="D114" s="8">
        <f>'1_Du_lieu'!G132</f>
        <v>62.7</v>
      </c>
      <c r="E114" s="8">
        <f>'1_Du_lieu'!H132</f>
        <v>35.4</v>
      </c>
      <c r="F114" s="8">
        <f>'1_Du_lieu'!I132</f>
        <v>61</v>
      </c>
      <c r="G114" s="6">
        <f t="shared" si="38"/>
        <v>7.3599999999999994</v>
      </c>
      <c r="H114" s="6">
        <f t="shared" si="39"/>
        <v>21.945</v>
      </c>
      <c r="I114" s="6">
        <f t="shared" si="40"/>
        <v>12.389999999999999</v>
      </c>
      <c r="J114" s="6">
        <f t="shared" si="41"/>
        <v>6.1000000000000005</v>
      </c>
      <c r="K114" s="6">
        <f t="shared" si="28"/>
        <v>47.795000000000002</v>
      </c>
      <c r="L114" s="9">
        <f t="shared" si="42"/>
        <v>0.85185185185185186</v>
      </c>
      <c r="M114" s="9">
        <f t="shared" si="43"/>
        <v>0.71296296296296291</v>
      </c>
      <c r="N114" s="9">
        <f t="shared" si="44"/>
        <v>0.87037037037037035</v>
      </c>
      <c r="O114" s="9">
        <f t="shared" si="45"/>
        <v>0.76851851851851849</v>
      </c>
      <c r="P114" s="9">
        <f t="shared" si="46"/>
        <v>0.29629629629629628</v>
      </c>
    </row>
    <row r="115" spans="1:16" x14ac:dyDescent="0.25">
      <c r="A115" t="s">
        <v>89</v>
      </c>
      <c r="B115">
        <v>2019</v>
      </c>
      <c r="C115" s="8">
        <f>'1_Du_lieu'!F133</f>
        <v>41</v>
      </c>
      <c r="D115" s="8">
        <f>'1_Du_lieu'!G133</f>
        <v>74.599999999999994</v>
      </c>
      <c r="E115" s="8">
        <f>'1_Du_lieu'!H133</f>
        <v>38.1</v>
      </c>
      <c r="F115" s="8">
        <f>'1_Du_lieu'!I133</f>
        <v>63.6</v>
      </c>
      <c r="G115" s="6">
        <f t="shared" si="38"/>
        <v>8.2000000000000011</v>
      </c>
      <c r="H115" s="6">
        <f t="shared" si="39"/>
        <v>26.109999999999996</v>
      </c>
      <c r="I115" s="6">
        <f t="shared" si="40"/>
        <v>13.334999999999999</v>
      </c>
      <c r="J115" s="6">
        <f t="shared" si="41"/>
        <v>6.36</v>
      </c>
      <c r="K115" s="6">
        <f t="shared" si="28"/>
        <v>54.004999999999995</v>
      </c>
      <c r="L115" s="9">
        <f t="shared" si="42"/>
        <v>0.92592592592592593</v>
      </c>
      <c r="M115" s="9">
        <f t="shared" si="43"/>
        <v>0.88888888888888884</v>
      </c>
      <c r="N115" s="9">
        <f t="shared" si="44"/>
        <v>0.96296296296296291</v>
      </c>
      <c r="O115" s="9">
        <f t="shared" si="45"/>
        <v>0.85185185185185186</v>
      </c>
      <c r="P115" s="9">
        <f t="shared" si="46"/>
        <v>0.35185185185185186</v>
      </c>
    </row>
    <row r="116" spans="1:16" x14ac:dyDescent="0.25">
      <c r="A116" t="s">
        <v>90</v>
      </c>
      <c r="B116">
        <v>2019</v>
      </c>
      <c r="C116" s="8">
        <f>'1_Du_lieu'!F134</f>
        <v>25.7</v>
      </c>
      <c r="D116" s="8">
        <f>'1_Du_lieu'!G134</f>
        <v>30.9</v>
      </c>
      <c r="E116" s="8">
        <f>'1_Du_lieu'!H134</f>
        <v>19.100000000000001</v>
      </c>
      <c r="F116" s="8">
        <f>'1_Du_lieu'!I134</f>
        <v>66.8</v>
      </c>
      <c r="G116" s="6">
        <f t="shared" si="38"/>
        <v>5.1400000000000006</v>
      </c>
      <c r="H116" s="6">
        <f t="shared" si="39"/>
        <v>10.815</v>
      </c>
      <c r="I116" s="6">
        <f t="shared" si="40"/>
        <v>6.6850000000000005</v>
      </c>
      <c r="J116" s="6">
        <f t="shared" si="41"/>
        <v>6.68</v>
      </c>
      <c r="K116" s="6">
        <f t="shared" si="28"/>
        <v>29.32</v>
      </c>
      <c r="L116" s="9">
        <f t="shared" si="42"/>
        <v>7.407407407407407E-2</v>
      </c>
      <c r="M116" s="9">
        <f t="shared" si="43"/>
        <v>9.2592592592592587E-2</v>
      </c>
      <c r="N116" s="9">
        <f t="shared" si="44"/>
        <v>7.407407407407407E-2</v>
      </c>
      <c r="O116" s="9">
        <f t="shared" si="45"/>
        <v>3.7037037037037035E-2</v>
      </c>
      <c r="P116" s="9">
        <f t="shared" si="46"/>
        <v>0.59259259259259256</v>
      </c>
    </row>
    <row r="117" spans="1:16" x14ac:dyDescent="0.25">
      <c r="A117" t="s">
        <v>91</v>
      </c>
      <c r="B117">
        <v>2019</v>
      </c>
      <c r="C117" s="8">
        <f>'1_Du_lieu'!F135</f>
        <v>33.200000000000003</v>
      </c>
      <c r="D117" s="8">
        <f>'1_Du_lieu'!G135</f>
        <v>43</v>
      </c>
      <c r="E117" s="8">
        <f>'1_Du_lieu'!H135</f>
        <v>23.8</v>
      </c>
      <c r="F117" s="8">
        <f>'1_Du_lieu'!I135</f>
        <v>63.3</v>
      </c>
      <c r="G117" s="6">
        <f t="shared" si="38"/>
        <v>6.6400000000000006</v>
      </c>
      <c r="H117" s="6">
        <f t="shared" si="39"/>
        <v>15.049999999999999</v>
      </c>
      <c r="I117" s="6">
        <f t="shared" si="40"/>
        <v>8.33</v>
      </c>
      <c r="J117" s="6">
        <f t="shared" si="41"/>
        <v>6.33</v>
      </c>
      <c r="K117" s="6">
        <f t="shared" si="28"/>
        <v>36.349999999999994</v>
      </c>
      <c r="L117" s="9">
        <f t="shared" si="42"/>
        <v>0.42592592592592593</v>
      </c>
      <c r="M117" s="9">
        <f t="shared" si="43"/>
        <v>0.37962962962962965</v>
      </c>
      <c r="N117" s="9">
        <f t="shared" si="44"/>
        <v>0.55555555555555558</v>
      </c>
      <c r="O117" s="9">
        <f t="shared" si="45"/>
        <v>0.31481481481481483</v>
      </c>
      <c r="P117" s="9">
        <f t="shared" si="46"/>
        <v>0.33333333333333331</v>
      </c>
    </row>
    <row r="118" spans="1:16" x14ac:dyDescent="0.25">
      <c r="A118" t="s">
        <v>93</v>
      </c>
      <c r="B118">
        <v>2019</v>
      </c>
      <c r="C118" s="8">
        <f>'1_Du_lieu'!F136</f>
        <v>34.700000000000003</v>
      </c>
      <c r="D118" s="8">
        <f>'1_Du_lieu'!G136</f>
        <v>43.3</v>
      </c>
      <c r="E118" s="8">
        <f>'1_Du_lieu'!H136</f>
        <v>35.4</v>
      </c>
      <c r="F118" s="8">
        <f>'1_Du_lieu'!I136</f>
        <v>72.099999999999994</v>
      </c>
      <c r="G118" s="6">
        <f t="shared" si="38"/>
        <v>6.9400000000000013</v>
      </c>
      <c r="H118" s="6">
        <f t="shared" si="39"/>
        <v>15.154999999999998</v>
      </c>
      <c r="I118" s="6">
        <f t="shared" si="40"/>
        <v>12.389999999999999</v>
      </c>
      <c r="J118" s="6">
        <f t="shared" si="41"/>
        <v>7.21</v>
      </c>
      <c r="K118" s="6">
        <f t="shared" si="28"/>
        <v>41.695</v>
      </c>
      <c r="L118" s="9">
        <f t="shared" si="42"/>
        <v>0.72222222222222221</v>
      </c>
      <c r="M118" s="9">
        <f t="shared" si="43"/>
        <v>0.52777777777777779</v>
      </c>
      <c r="N118" s="9">
        <f t="shared" si="44"/>
        <v>0.57407407407407407</v>
      </c>
      <c r="O118" s="9">
        <f t="shared" si="45"/>
        <v>0.76851851851851849</v>
      </c>
      <c r="P118" s="9">
        <f t="shared" si="46"/>
        <v>0.77777777777777779</v>
      </c>
    </row>
    <row r="119" spans="1:16" x14ac:dyDescent="0.25">
      <c r="A119" t="s">
        <v>95</v>
      </c>
      <c r="B119">
        <v>2019</v>
      </c>
      <c r="C119" s="8">
        <f>'1_Du_lieu'!F138</f>
        <v>36.799999999999997</v>
      </c>
      <c r="D119" s="8">
        <f>'1_Du_lieu'!G138</f>
        <v>46.1</v>
      </c>
      <c r="E119" s="8">
        <f>'1_Du_lieu'!H138</f>
        <v>37.4</v>
      </c>
      <c r="F119" s="8">
        <f>'1_Du_lieu'!I138</f>
        <v>65.2</v>
      </c>
      <c r="G119" s="6">
        <f t="shared" si="38"/>
        <v>7.3599999999999994</v>
      </c>
      <c r="H119" s="6">
        <f t="shared" si="39"/>
        <v>16.134999999999998</v>
      </c>
      <c r="I119" s="6">
        <f t="shared" si="40"/>
        <v>13.089999999999998</v>
      </c>
      <c r="J119" s="6">
        <f t="shared" si="41"/>
        <v>6.5200000000000005</v>
      </c>
      <c r="K119" s="6">
        <f t="shared" si="28"/>
        <v>43.104999999999997</v>
      </c>
      <c r="L119" s="9">
        <f t="shared" si="42"/>
        <v>0.77777777777777779</v>
      </c>
      <c r="M119" s="9">
        <f t="shared" si="43"/>
        <v>0.71296296296296291</v>
      </c>
      <c r="N119" s="9">
        <f t="shared" si="44"/>
        <v>0.64814814814814814</v>
      </c>
      <c r="O119" s="9">
        <f t="shared" si="45"/>
        <v>0.83333333333333337</v>
      </c>
      <c r="P119" s="9">
        <f t="shared" si="46"/>
        <v>0.46296296296296297</v>
      </c>
    </row>
    <row r="120" spans="1:16" x14ac:dyDescent="0.25">
      <c r="A120" t="s">
        <v>97</v>
      </c>
      <c r="B120">
        <v>2019</v>
      </c>
      <c r="C120" s="8">
        <f>'1_Du_lieu'!F139</f>
        <v>23.7</v>
      </c>
      <c r="D120" s="8">
        <f>'1_Du_lieu'!G139</f>
        <v>25.4</v>
      </c>
      <c r="E120" s="8">
        <f>'1_Du_lieu'!H139</f>
        <v>20.9</v>
      </c>
      <c r="F120" s="8">
        <f>'1_Du_lieu'!I139</f>
        <v>64.5</v>
      </c>
      <c r="G120" s="6">
        <f t="shared" si="38"/>
        <v>4.74</v>
      </c>
      <c r="H120" s="6">
        <f t="shared" si="39"/>
        <v>8.8899999999999988</v>
      </c>
      <c r="I120" s="6">
        <f t="shared" si="40"/>
        <v>7.3149999999999986</v>
      </c>
      <c r="J120" s="6">
        <f t="shared" si="41"/>
        <v>6.45</v>
      </c>
      <c r="K120" s="6">
        <f t="shared" si="28"/>
        <v>27.394999999999996</v>
      </c>
      <c r="L120" s="9">
        <f t="shared" si="42"/>
        <v>1.8518518518518517E-2</v>
      </c>
      <c r="M120" s="9">
        <f t="shared" si="43"/>
        <v>3.7037037037037035E-2</v>
      </c>
      <c r="N120" s="9">
        <f t="shared" si="44"/>
        <v>1.8518518518518517E-2</v>
      </c>
      <c r="O120" s="9">
        <f t="shared" si="45"/>
        <v>0.22222222222222221</v>
      </c>
      <c r="P120" s="9">
        <f t="shared" si="46"/>
        <v>0.3888888888888889</v>
      </c>
    </row>
    <row r="121" spans="1:16" x14ac:dyDescent="0.25">
      <c r="A121" t="s">
        <v>98</v>
      </c>
      <c r="B121">
        <v>2019</v>
      </c>
      <c r="C121" s="8">
        <f>'1_Du_lieu'!F140</f>
        <v>42</v>
      </c>
      <c r="D121" s="8">
        <f>'1_Du_lieu'!G140</f>
        <v>68</v>
      </c>
      <c r="E121" s="8">
        <f>'1_Du_lieu'!H140</f>
        <v>35.799999999999997</v>
      </c>
      <c r="F121" s="8">
        <f>'1_Du_lieu'!I140</f>
        <v>74.7</v>
      </c>
      <c r="G121" s="6">
        <f t="shared" si="38"/>
        <v>8.4</v>
      </c>
      <c r="H121" s="6">
        <f t="shared" si="39"/>
        <v>23.799999999999997</v>
      </c>
      <c r="I121" s="6">
        <f t="shared" si="40"/>
        <v>12.529999999999998</v>
      </c>
      <c r="J121" s="6">
        <f t="shared" si="41"/>
        <v>7.4700000000000006</v>
      </c>
      <c r="K121" s="6">
        <f t="shared" si="28"/>
        <v>52.199999999999989</v>
      </c>
      <c r="L121" s="9">
        <f t="shared" si="42"/>
        <v>0.90740740740740744</v>
      </c>
      <c r="M121" s="9">
        <f t="shared" si="43"/>
        <v>0.92592592592592593</v>
      </c>
      <c r="N121" s="9">
        <f t="shared" si="44"/>
        <v>0.92592592592592593</v>
      </c>
      <c r="O121" s="9">
        <f t="shared" si="45"/>
        <v>0.81481481481481477</v>
      </c>
      <c r="P121" s="9">
        <f t="shared" si="46"/>
        <v>0.94444444444444442</v>
      </c>
    </row>
    <row r="122" spans="1:16" x14ac:dyDescent="0.25">
      <c r="A122" t="s">
        <v>100</v>
      </c>
      <c r="B122">
        <v>2019</v>
      </c>
      <c r="C122" s="8">
        <f>'1_Du_lieu'!F141</f>
        <v>34.799999999999997</v>
      </c>
      <c r="D122" s="8">
        <f>'1_Du_lieu'!G141</f>
        <v>42.2</v>
      </c>
      <c r="E122" s="8">
        <f>'1_Du_lieu'!H141</f>
        <v>26.4</v>
      </c>
      <c r="F122" s="8">
        <f>'1_Du_lieu'!I141</f>
        <v>66.099999999999994</v>
      </c>
      <c r="G122" s="6">
        <f t="shared" si="38"/>
        <v>6.96</v>
      </c>
      <c r="H122" s="6">
        <f t="shared" si="39"/>
        <v>14.77</v>
      </c>
      <c r="I122" s="6">
        <f t="shared" si="40"/>
        <v>9.2399999999999984</v>
      </c>
      <c r="J122" s="6">
        <f t="shared" si="41"/>
        <v>6.6099999999999994</v>
      </c>
      <c r="K122" s="6">
        <f t="shared" si="28"/>
        <v>37.58</v>
      </c>
      <c r="L122" s="9">
        <f t="shared" si="42"/>
        <v>0.5</v>
      </c>
      <c r="M122" s="9">
        <f t="shared" si="43"/>
        <v>0.55555555555555558</v>
      </c>
      <c r="N122" s="9">
        <f t="shared" si="44"/>
        <v>0.51851851851851849</v>
      </c>
      <c r="O122" s="9">
        <f t="shared" si="45"/>
        <v>0.42592592592592593</v>
      </c>
      <c r="P122" s="9">
        <f t="shared" si="46"/>
        <v>0.53703703703703709</v>
      </c>
    </row>
    <row r="123" spans="1:16" x14ac:dyDescent="0.25">
      <c r="A123" t="s">
        <v>103</v>
      </c>
      <c r="B123">
        <v>2019</v>
      </c>
      <c r="C123" s="8">
        <f>'1_Du_lieu'!F144</f>
        <v>39.9</v>
      </c>
      <c r="D123" s="8">
        <f>'1_Du_lieu'!G144</f>
        <v>53.1</v>
      </c>
      <c r="E123" s="8">
        <f>'1_Du_lieu'!H144</f>
        <v>38.5</v>
      </c>
      <c r="F123" s="8">
        <f>'1_Du_lieu'!I144</f>
        <v>72.900000000000006</v>
      </c>
      <c r="G123" s="6">
        <f t="shared" si="38"/>
        <v>7.98</v>
      </c>
      <c r="H123" s="6">
        <f t="shared" si="39"/>
        <v>18.585000000000001</v>
      </c>
      <c r="I123" s="6">
        <f t="shared" si="40"/>
        <v>13.475</v>
      </c>
      <c r="J123" s="6">
        <f t="shared" si="41"/>
        <v>7.2900000000000009</v>
      </c>
      <c r="K123" s="6">
        <f t="shared" si="28"/>
        <v>47.33</v>
      </c>
      <c r="L123" s="9">
        <f t="shared" si="42"/>
        <v>0.83333333333333337</v>
      </c>
      <c r="M123" s="9">
        <f t="shared" si="43"/>
        <v>0.87037037037037035</v>
      </c>
      <c r="N123" s="9">
        <f t="shared" si="44"/>
        <v>0.81481481481481477</v>
      </c>
      <c r="O123" s="9">
        <f t="shared" si="45"/>
        <v>0.87037037037037035</v>
      </c>
      <c r="P123" s="9">
        <f t="shared" si="46"/>
        <v>0.85185185185185186</v>
      </c>
    </row>
    <row r="124" spans="1:16" x14ac:dyDescent="0.25">
      <c r="A124" t="s">
        <v>104</v>
      </c>
      <c r="B124">
        <v>2019</v>
      </c>
      <c r="C124" s="8">
        <f>'1_Du_lieu'!F145</f>
        <v>21.9</v>
      </c>
      <c r="D124" s="8">
        <f>'1_Du_lieu'!G145</f>
        <v>38.700000000000003</v>
      </c>
      <c r="E124" s="8">
        <f>'1_Du_lieu'!H145</f>
        <v>21</v>
      </c>
      <c r="F124" s="8">
        <f>'1_Du_lieu'!I145</f>
        <v>64.900000000000006</v>
      </c>
      <c r="G124" s="6">
        <f t="shared" si="38"/>
        <v>4.38</v>
      </c>
      <c r="H124" s="6">
        <f t="shared" si="39"/>
        <v>13.545</v>
      </c>
      <c r="I124" s="6">
        <f t="shared" si="40"/>
        <v>7.35</v>
      </c>
      <c r="J124" s="6">
        <f t="shared" si="41"/>
        <v>6.4900000000000011</v>
      </c>
      <c r="K124" s="6">
        <f t="shared" si="28"/>
        <v>31.765000000000001</v>
      </c>
      <c r="L124" s="9">
        <f t="shared" si="42"/>
        <v>0.18518518518518517</v>
      </c>
      <c r="M124" s="9">
        <f t="shared" si="43"/>
        <v>1.8518518518518517E-2</v>
      </c>
      <c r="N124" s="9">
        <f t="shared" si="44"/>
        <v>0.33333333333333331</v>
      </c>
      <c r="O124" s="9">
        <f t="shared" si="45"/>
        <v>0.24074074074074073</v>
      </c>
      <c r="P124" s="9">
        <f t="shared" si="46"/>
        <v>0.41666666666666669</v>
      </c>
    </row>
    <row r="125" spans="1:16" x14ac:dyDescent="0.25">
      <c r="A125" t="s">
        <v>107</v>
      </c>
      <c r="B125">
        <v>2019</v>
      </c>
      <c r="C125" s="8">
        <f>'1_Du_lieu'!F147</f>
        <v>38.1</v>
      </c>
      <c r="D125" s="8">
        <f>'1_Du_lieu'!G147</f>
        <v>45.6</v>
      </c>
      <c r="E125" s="8">
        <f>'1_Du_lieu'!H147</f>
        <v>29.3</v>
      </c>
      <c r="F125" s="8">
        <f>'1_Du_lieu'!I147</f>
        <v>44.6</v>
      </c>
      <c r="G125" s="6">
        <f t="shared" si="38"/>
        <v>7.620000000000001</v>
      </c>
      <c r="H125" s="6">
        <f t="shared" si="39"/>
        <v>15.959999999999999</v>
      </c>
      <c r="I125" s="6">
        <f t="shared" si="40"/>
        <v>10.254999999999999</v>
      </c>
      <c r="J125" s="6">
        <f t="shared" si="41"/>
        <v>4.46</v>
      </c>
      <c r="K125" s="6">
        <f t="shared" si="28"/>
        <v>38.294999999999995</v>
      </c>
      <c r="L125" s="9">
        <f t="shared" si="42"/>
        <v>0.53703703703703709</v>
      </c>
      <c r="M125" s="9">
        <f t="shared" si="43"/>
        <v>0.79629629629629628</v>
      </c>
      <c r="N125" s="9">
        <f t="shared" si="44"/>
        <v>0.62962962962962965</v>
      </c>
      <c r="O125" s="9">
        <f t="shared" si="45"/>
        <v>0.53703703703703709</v>
      </c>
      <c r="P125" s="9">
        <f t="shared" si="46"/>
        <v>3.7037037037037035E-2</v>
      </c>
    </row>
    <row r="126" spans="1:16" x14ac:dyDescent="0.25">
      <c r="A126" t="s">
        <v>108</v>
      </c>
      <c r="B126">
        <v>2019</v>
      </c>
      <c r="C126" s="8">
        <f>'1_Du_lieu'!F148</f>
        <v>88.4</v>
      </c>
      <c r="D126" s="8">
        <f>'1_Du_lieu'!G148</f>
        <v>85.8</v>
      </c>
      <c r="E126" s="8">
        <f>'1_Du_lieu'!H148</f>
        <v>82.5</v>
      </c>
      <c r="F126" s="8">
        <f>'1_Du_lieu'!I148</f>
        <v>77.7</v>
      </c>
      <c r="G126" s="6">
        <f t="shared" si="38"/>
        <v>17.680000000000003</v>
      </c>
      <c r="H126" s="6">
        <f t="shared" si="39"/>
        <v>30.029999999999998</v>
      </c>
      <c r="I126" s="6">
        <f t="shared" si="40"/>
        <v>28.874999999999996</v>
      </c>
      <c r="J126" s="6">
        <f t="shared" si="41"/>
        <v>7.7700000000000005</v>
      </c>
      <c r="K126" s="6">
        <f t="shared" si="28"/>
        <v>84.35499999999999</v>
      </c>
      <c r="L126" s="9">
        <f t="shared" si="42"/>
        <v>0.98148148148148151</v>
      </c>
      <c r="M126" s="9">
        <f t="shared" si="43"/>
        <v>1</v>
      </c>
      <c r="N126" s="9">
        <f t="shared" si="44"/>
        <v>0.98148148148148151</v>
      </c>
      <c r="O126" s="9">
        <f t="shared" si="45"/>
        <v>0.98148148148148151</v>
      </c>
      <c r="P126" s="9">
        <f t="shared" si="46"/>
        <v>0.98148148148148151</v>
      </c>
    </row>
    <row r="127" spans="1:16" x14ac:dyDescent="0.25">
      <c r="A127" t="s">
        <v>109</v>
      </c>
      <c r="B127">
        <v>2019</v>
      </c>
      <c r="C127" s="8">
        <f>'1_Du_lieu'!F149</f>
        <v>34</v>
      </c>
      <c r="D127" s="8">
        <f>'1_Du_lieu'!G149</f>
        <v>35.4</v>
      </c>
      <c r="E127" s="8">
        <f>'1_Du_lieu'!H149</f>
        <v>30.1</v>
      </c>
      <c r="F127" s="8">
        <f>'1_Du_lieu'!I149</f>
        <v>58.6</v>
      </c>
      <c r="G127" s="6">
        <f t="shared" si="38"/>
        <v>6.8000000000000007</v>
      </c>
      <c r="H127" s="6">
        <f t="shared" si="39"/>
        <v>12.389999999999999</v>
      </c>
      <c r="I127" s="6">
        <f t="shared" si="40"/>
        <v>10.535</v>
      </c>
      <c r="J127" s="6">
        <f t="shared" si="41"/>
        <v>5.86</v>
      </c>
      <c r="K127" s="6">
        <f t="shared" si="28"/>
        <v>35.585000000000001</v>
      </c>
      <c r="L127" s="9">
        <f t="shared" si="42"/>
        <v>0.37037037037037035</v>
      </c>
      <c r="M127" s="9">
        <f t="shared" si="43"/>
        <v>0.46296296296296297</v>
      </c>
      <c r="N127" s="9">
        <f t="shared" si="44"/>
        <v>0.22222222222222221</v>
      </c>
      <c r="O127" s="9">
        <f t="shared" si="45"/>
        <v>0.61111111111111116</v>
      </c>
      <c r="P127" s="9">
        <f t="shared" si="46"/>
        <v>0.24074074074074073</v>
      </c>
    </row>
    <row r="128" spans="1:16" x14ac:dyDescent="0.25">
      <c r="A128" t="s">
        <v>110</v>
      </c>
      <c r="B128">
        <v>2019</v>
      </c>
      <c r="C128" s="8">
        <f>'1_Du_lieu'!F150</f>
        <v>29.7</v>
      </c>
      <c r="D128" s="8">
        <f>'1_Du_lieu'!G150</f>
        <v>34.700000000000003</v>
      </c>
      <c r="E128" s="8">
        <f>'1_Du_lieu'!H150</f>
        <v>22.9</v>
      </c>
      <c r="F128" s="8">
        <f>'1_Du_lieu'!I150</f>
        <v>67.3</v>
      </c>
      <c r="G128" s="6">
        <f t="shared" si="38"/>
        <v>5.94</v>
      </c>
      <c r="H128" s="6">
        <f t="shared" si="39"/>
        <v>12.145</v>
      </c>
      <c r="I128" s="6">
        <f t="shared" si="40"/>
        <v>8.0149999999999988</v>
      </c>
      <c r="J128" s="6">
        <f t="shared" si="41"/>
        <v>6.73</v>
      </c>
      <c r="K128" s="6">
        <f t="shared" si="28"/>
        <v>32.83</v>
      </c>
      <c r="L128" s="9">
        <f t="shared" si="42"/>
        <v>0.25925925925925924</v>
      </c>
      <c r="M128" s="9">
        <f t="shared" si="43"/>
        <v>0.22222222222222221</v>
      </c>
      <c r="N128" s="9">
        <f t="shared" si="44"/>
        <v>0.18518518518518517</v>
      </c>
      <c r="O128" s="9">
        <f t="shared" si="45"/>
        <v>0.27777777777777779</v>
      </c>
      <c r="P128" s="9">
        <f t="shared" si="46"/>
        <v>0.62962962962962965</v>
      </c>
    </row>
    <row r="129" spans="1:16" x14ac:dyDescent="0.25">
      <c r="A129" t="s">
        <v>111</v>
      </c>
      <c r="B129">
        <v>2019</v>
      </c>
      <c r="C129" s="8">
        <f>'1_Du_lieu'!F151</f>
        <v>33.799999999999997</v>
      </c>
      <c r="D129" s="8">
        <f>'1_Du_lieu'!G151</f>
        <v>41.4</v>
      </c>
      <c r="E129" s="8">
        <f>'1_Du_lieu'!H151</f>
        <v>30.2</v>
      </c>
      <c r="F129" s="8">
        <f>'1_Du_lieu'!I151</f>
        <v>66.3</v>
      </c>
      <c r="G129" s="6">
        <f t="shared" si="38"/>
        <v>6.76</v>
      </c>
      <c r="H129" s="6">
        <f t="shared" si="39"/>
        <v>14.489999999999998</v>
      </c>
      <c r="I129" s="6">
        <f t="shared" si="40"/>
        <v>10.569999999999999</v>
      </c>
      <c r="J129" s="6">
        <f t="shared" si="41"/>
        <v>6.63</v>
      </c>
      <c r="K129" s="6">
        <f t="shared" si="28"/>
        <v>38.450000000000003</v>
      </c>
      <c r="L129" s="9">
        <f t="shared" si="42"/>
        <v>0.57407407407407407</v>
      </c>
      <c r="M129" s="9">
        <f t="shared" si="43"/>
        <v>0.44444444444444442</v>
      </c>
      <c r="N129" s="9">
        <f t="shared" si="44"/>
        <v>0.44444444444444442</v>
      </c>
      <c r="O129" s="9">
        <f t="shared" si="45"/>
        <v>0.62962962962962965</v>
      </c>
      <c r="P129" s="9">
        <f t="shared" si="46"/>
        <v>0.57407407407407407</v>
      </c>
    </row>
    <row r="130" spans="1:16" x14ac:dyDescent="0.25">
      <c r="A130" t="s">
        <v>112</v>
      </c>
      <c r="B130">
        <v>2019</v>
      </c>
      <c r="C130" s="8">
        <f>'1_Du_lieu'!F152</f>
        <v>36.9</v>
      </c>
      <c r="D130" s="8">
        <f>'1_Du_lieu'!G152</f>
        <v>61</v>
      </c>
      <c r="E130" s="8">
        <f>'1_Du_lieu'!H152</f>
        <v>30.3</v>
      </c>
      <c r="F130" s="8">
        <f>'1_Du_lieu'!I152</f>
        <v>73.2</v>
      </c>
      <c r="G130" s="6">
        <f t="shared" si="38"/>
        <v>7.38</v>
      </c>
      <c r="H130" s="6">
        <f t="shared" si="39"/>
        <v>21.349999999999998</v>
      </c>
      <c r="I130" s="6">
        <f t="shared" si="40"/>
        <v>10.605</v>
      </c>
      <c r="J130" s="6">
        <f t="shared" si="41"/>
        <v>7.32</v>
      </c>
      <c r="K130" s="6">
        <f t="shared" si="28"/>
        <v>46.654999999999994</v>
      </c>
      <c r="L130" s="9">
        <f t="shared" si="42"/>
        <v>0.81481481481481477</v>
      </c>
      <c r="M130" s="9">
        <f t="shared" si="43"/>
        <v>0.7407407407407407</v>
      </c>
      <c r="N130" s="9">
        <f t="shared" si="44"/>
        <v>0.85185185185185186</v>
      </c>
      <c r="O130" s="9">
        <f t="shared" si="45"/>
        <v>0.64814814814814814</v>
      </c>
      <c r="P130" s="9">
        <f t="shared" si="46"/>
        <v>0.87037037037037035</v>
      </c>
    </row>
    <row r="131" spans="1:16" x14ac:dyDescent="0.25">
      <c r="A131" t="s">
        <v>113</v>
      </c>
      <c r="B131">
        <v>2019</v>
      </c>
      <c r="C131" s="8">
        <f>'1_Du_lieu'!F153</f>
        <v>45.1</v>
      </c>
      <c r="D131" s="8">
        <f>'1_Du_lieu'!G153</f>
        <v>72.5</v>
      </c>
      <c r="E131" s="8">
        <f>'1_Du_lieu'!H153</f>
        <v>50.4</v>
      </c>
      <c r="F131" s="8">
        <f>'1_Du_lieu'!I153</f>
        <v>75.5</v>
      </c>
      <c r="G131" s="6">
        <f t="shared" si="38"/>
        <v>9.0200000000000014</v>
      </c>
      <c r="H131" s="6">
        <f t="shared" si="39"/>
        <v>25.375</v>
      </c>
      <c r="I131" s="6">
        <f t="shared" si="40"/>
        <v>17.639999999999997</v>
      </c>
      <c r="J131" s="6">
        <f t="shared" si="41"/>
        <v>7.5500000000000007</v>
      </c>
      <c r="K131" s="6">
        <f t="shared" si="28"/>
        <v>59.584999999999994</v>
      </c>
      <c r="L131" s="9">
        <f t="shared" si="42"/>
        <v>0.96296296296296291</v>
      </c>
      <c r="M131" s="9">
        <f t="shared" si="43"/>
        <v>0.96296296296296291</v>
      </c>
      <c r="N131" s="9">
        <f t="shared" si="44"/>
        <v>0.94444444444444442</v>
      </c>
      <c r="O131" s="9">
        <f t="shared" si="45"/>
        <v>0.94444444444444442</v>
      </c>
      <c r="P131" s="9">
        <f t="shared" si="46"/>
        <v>0.96296296296296291</v>
      </c>
    </row>
    <row r="132" spans="1:16" x14ac:dyDescent="0.25">
      <c r="A132" t="s">
        <v>115</v>
      </c>
      <c r="B132">
        <v>2019</v>
      </c>
      <c r="C132" s="8">
        <f>'1_Du_lieu'!F155</f>
        <v>37.799999999999997</v>
      </c>
      <c r="D132" s="8">
        <f>'1_Du_lieu'!G155</f>
        <v>52.4</v>
      </c>
      <c r="E132" s="8">
        <f>'1_Du_lieu'!H155</f>
        <v>34.1</v>
      </c>
      <c r="F132" s="8">
        <f>'1_Du_lieu'!I155</f>
        <v>48.2</v>
      </c>
      <c r="G132" s="6">
        <f t="shared" si="38"/>
        <v>7.56</v>
      </c>
      <c r="H132" s="6">
        <f t="shared" si="39"/>
        <v>18.34</v>
      </c>
      <c r="I132" s="6">
        <f t="shared" si="40"/>
        <v>11.935</v>
      </c>
      <c r="J132" s="6">
        <f t="shared" si="41"/>
        <v>4.82</v>
      </c>
      <c r="K132" s="6">
        <f t="shared" si="28"/>
        <v>42.655000000000001</v>
      </c>
      <c r="L132" s="9">
        <f t="shared" si="42"/>
        <v>0.7592592592592593</v>
      </c>
      <c r="M132" s="9">
        <f t="shared" si="43"/>
        <v>0.77777777777777779</v>
      </c>
      <c r="N132" s="9">
        <f t="shared" si="44"/>
        <v>0.79629629629629628</v>
      </c>
      <c r="O132" s="9">
        <f t="shared" si="45"/>
        <v>0.7407407407407407</v>
      </c>
      <c r="P132" s="9">
        <f t="shared" si="46"/>
        <v>7.407407407407407E-2</v>
      </c>
    </row>
    <row r="133" spans="1:16" x14ac:dyDescent="0.25">
      <c r="A133" t="s">
        <v>116</v>
      </c>
      <c r="B133">
        <v>2019</v>
      </c>
      <c r="C133" s="8">
        <f>'1_Du_lieu'!F156</f>
        <v>31.5</v>
      </c>
      <c r="D133" s="8">
        <f>'1_Du_lieu'!G156</f>
        <v>48.8</v>
      </c>
      <c r="E133" s="8">
        <f>'1_Du_lieu'!H156</f>
        <v>24.9</v>
      </c>
      <c r="F133" s="8">
        <f>'1_Du_lieu'!I156</f>
        <v>52.9</v>
      </c>
      <c r="G133" s="6">
        <f t="shared" si="38"/>
        <v>6.3000000000000007</v>
      </c>
      <c r="H133" s="6">
        <f t="shared" si="39"/>
        <v>17.079999999999998</v>
      </c>
      <c r="I133" s="6">
        <f t="shared" si="40"/>
        <v>8.7149999999999981</v>
      </c>
      <c r="J133" s="6">
        <f t="shared" si="41"/>
        <v>5.29</v>
      </c>
      <c r="K133" s="6">
        <f t="shared" ref="K133:K196" si="47">SUM(G133:J133)</f>
        <v>37.384999999999998</v>
      </c>
      <c r="L133" s="9">
        <f t="shared" si="42"/>
        <v>0.48148148148148145</v>
      </c>
      <c r="M133" s="9">
        <f t="shared" si="43"/>
        <v>0.35185185185185186</v>
      </c>
      <c r="N133" s="9">
        <f t="shared" si="44"/>
        <v>0.7407407407407407</v>
      </c>
      <c r="O133" s="9">
        <f t="shared" si="45"/>
        <v>0.37037037037037035</v>
      </c>
      <c r="P133" s="9">
        <f t="shared" si="46"/>
        <v>0.14814814814814814</v>
      </c>
    </row>
    <row r="134" spans="1:16" x14ac:dyDescent="0.25">
      <c r="A134" t="s">
        <v>117</v>
      </c>
      <c r="B134">
        <v>2019</v>
      </c>
      <c r="C134" s="8">
        <f>'1_Du_lieu'!F157</f>
        <v>27.5</v>
      </c>
      <c r="D134" s="8">
        <f>'1_Du_lieu'!G157</f>
        <v>31</v>
      </c>
      <c r="E134" s="8">
        <f>'1_Du_lieu'!H157</f>
        <v>22</v>
      </c>
      <c r="F134" s="8">
        <f>'1_Du_lieu'!I157</f>
        <v>65.400000000000006</v>
      </c>
      <c r="G134" s="6">
        <f t="shared" si="38"/>
        <v>5.5</v>
      </c>
      <c r="H134" s="6">
        <f t="shared" si="39"/>
        <v>10.85</v>
      </c>
      <c r="I134" s="6">
        <f t="shared" si="40"/>
        <v>7.6999999999999993</v>
      </c>
      <c r="J134" s="6">
        <f t="shared" si="41"/>
        <v>6.5400000000000009</v>
      </c>
      <c r="K134" s="6">
        <f t="shared" si="47"/>
        <v>30.590000000000003</v>
      </c>
      <c r="L134" s="9">
        <f t="shared" si="42"/>
        <v>9.2592592592592587E-2</v>
      </c>
      <c r="M134" s="9">
        <f t="shared" si="43"/>
        <v>0.1388888888888889</v>
      </c>
      <c r="N134" s="9">
        <f t="shared" si="44"/>
        <v>9.2592592592592587E-2</v>
      </c>
      <c r="O134" s="9">
        <f t="shared" si="45"/>
        <v>0.25925925925925924</v>
      </c>
      <c r="P134" s="9">
        <f t="shared" si="46"/>
        <v>0.48148148148148145</v>
      </c>
    </row>
    <row r="135" spans="1:16" x14ac:dyDescent="0.25">
      <c r="A135" t="s">
        <v>119</v>
      </c>
      <c r="B135">
        <v>2019</v>
      </c>
      <c r="C135" s="8">
        <f>'1_Du_lieu'!F159</f>
        <v>29.8</v>
      </c>
      <c r="D135" s="8">
        <f>'1_Du_lieu'!G159</f>
        <v>41.8</v>
      </c>
      <c r="E135" s="8">
        <f>'1_Du_lieu'!H159</f>
        <v>29</v>
      </c>
      <c r="F135" s="8">
        <f>'1_Du_lieu'!I159</f>
        <v>61.2</v>
      </c>
      <c r="G135" s="6">
        <f t="shared" si="38"/>
        <v>5.9600000000000009</v>
      </c>
      <c r="H135" s="6">
        <f t="shared" si="39"/>
        <v>14.629999999999997</v>
      </c>
      <c r="I135" s="6">
        <f t="shared" si="40"/>
        <v>10.149999999999999</v>
      </c>
      <c r="J135" s="6">
        <f t="shared" si="41"/>
        <v>6.120000000000001</v>
      </c>
      <c r="K135" s="6">
        <f t="shared" si="47"/>
        <v>36.86</v>
      </c>
      <c r="L135" s="9">
        <f t="shared" si="42"/>
        <v>0.46296296296296297</v>
      </c>
      <c r="M135" s="9">
        <f t="shared" si="43"/>
        <v>0.24074074074074073</v>
      </c>
      <c r="N135" s="9">
        <f t="shared" si="44"/>
        <v>0.48148148148148145</v>
      </c>
      <c r="O135" s="9">
        <f t="shared" si="45"/>
        <v>0.51851851851851849</v>
      </c>
      <c r="P135" s="9">
        <f t="shared" si="46"/>
        <v>0.31481481481481483</v>
      </c>
    </row>
    <row r="136" spans="1:16" x14ac:dyDescent="0.25">
      <c r="A136" t="s">
        <v>120</v>
      </c>
      <c r="B136">
        <v>2019</v>
      </c>
      <c r="C136" s="8">
        <f>'1_Du_lieu'!F160</f>
        <v>38.9</v>
      </c>
      <c r="D136" s="8">
        <f>'1_Du_lieu'!G160</f>
        <v>33.200000000000003</v>
      </c>
      <c r="E136" s="8">
        <f>'1_Du_lieu'!H160</f>
        <v>26.6</v>
      </c>
      <c r="F136" s="8">
        <f>'1_Du_lieu'!I160</f>
        <v>68.3</v>
      </c>
      <c r="G136" s="6">
        <f t="shared" si="38"/>
        <v>7.78</v>
      </c>
      <c r="H136" s="6">
        <f t="shared" si="39"/>
        <v>11.620000000000001</v>
      </c>
      <c r="I136" s="6">
        <f t="shared" si="40"/>
        <v>9.31</v>
      </c>
      <c r="J136" s="6">
        <f t="shared" si="41"/>
        <v>6.83</v>
      </c>
      <c r="K136" s="6">
        <f t="shared" si="47"/>
        <v>35.54</v>
      </c>
      <c r="L136" s="9">
        <f t="shared" si="42"/>
        <v>0.33333333333333331</v>
      </c>
      <c r="M136" s="9">
        <f t="shared" si="43"/>
        <v>0.84259259259259256</v>
      </c>
      <c r="N136" s="9">
        <f t="shared" si="44"/>
        <v>0.14814814814814814</v>
      </c>
      <c r="O136" s="9">
        <f t="shared" si="45"/>
        <v>0.44444444444444442</v>
      </c>
      <c r="P136" s="9">
        <f t="shared" si="46"/>
        <v>0.68518518518518523</v>
      </c>
    </row>
    <row r="137" spans="1:16" x14ac:dyDescent="0.25">
      <c r="A137" t="s">
        <v>121</v>
      </c>
      <c r="B137">
        <v>2019</v>
      </c>
      <c r="C137" s="8">
        <f>'1_Du_lieu'!F161</f>
        <v>33.200000000000003</v>
      </c>
      <c r="D137" s="8">
        <f>'1_Du_lieu'!G161</f>
        <v>48.5</v>
      </c>
      <c r="E137" s="8">
        <f>'1_Du_lieu'!H161</f>
        <v>29.9</v>
      </c>
      <c r="F137" s="8">
        <f>'1_Du_lieu'!I161</f>
        <v>63.7</v>
      </c>
      <c r="G137" s="6">
        <f t="shared" si="38"/>
        <v>6.6400000000000006</v>
      </c>
      <c r="H137" s="6">
        <f t="shared" si="39"/>
        <v>16.974999999999998</v>
      </c>
      <c r="I137" s="6">
        <f t="shared" si="40"/>
        <v>10.464999999999998</v>
      </c>
      <c r="J137" s="6">
        <f t="shared" si="41"/>
        <v>6.370000000000001</v>
      </c>
      <c r="K137" s="6">
        <f t="shared" si="47"/>
        <v>40.450000000000003</v>
      </c>
      <c r="L137" s="9">
        <f t="shared" si="42"/>
        <v>0.66666666666666663</v>
      </c>
      <c r="M137" s="9">
        <f t="shared" si="43"/>
        <v>0.37962962962962965</v>
      </c>
      <c r="N137" s="9">
        <f t="shared" si="44"/>
        <v>0.72222222222222221</v>
      </c>
      <c r="O137" s="9">
        <f t="shared" si="45"/>
        <v>0.59259259259259256</v>
      </c>
      <c r="P137" s="9">
        <f t="shared" si="46"/>
        <v>0.37037037037037035</v>
      </c>
    </row>
    <row r="138" spans="1:16" x14ac:dyDescent="0.25">
      <c r="A138" t="s">
        <v>122</v>
      </c>
      <c r="B138">
        <v>2019</v>
      </c>
      <c r="C138" s="8">
        <f>'1_Du_lieu'!F162</f>
        <v>25.5</v>
      </c>
      <c r="D138" s="8">
        <f>'1_Du_lieu'!G162</f>
        <v>27.1</v>
      </c>
      <c r="E138" s="8">
        <f>'1_Du_lieu'!H162</f>
        <v>24.5</v>
      </c>
      <c r="F138" s="8">
        <f>'1_Du_lieu'!I162</f>
        <v>56.3</v>
      </c>
      <c r="G138" s="6">
        <f t="shared" si="38"/>
        <v>5.1000000000000005</v>
      </c>
      <c r="H138" s="6">
        <f t="shared" si="39"/>
        <v>9.4849999999999994</v>
      </c>
      <c r="I138" s="6">
        <f t="shared" si="40"/>
        <v>8.5749999999999993</v>
      </c>
      <c r="J138" s="6">
        <f t="shared" si="41"/>
        <v>5.63</v>
      </c>
      <c r="K138" s="6">
        <f t="shared" si="47"/>
        <v>28.79</v>
      </c>
      <c r="L138" s="9">
        <f t="shared" si="42"/>
        <v>3.7037037037037035E-2</v>
      </c>
      <c r="M138" s="9">
        <f t="shared" si="43"/>
        <v>7.407407407407407E-2</v>
      </c>
      <c r="N138" s="9">
        <f t="shared" si="44"/>
        <v>3.7037037037037035E-2</v>
      </c>
      <c r="O138" s="9">
        <f t="shared" si="45"/>
        <v>0.33333333333333331</v>
      </c>
      <c r="P138" s="9">
        <f t="shared" si="46"/>
        <v>0.17592592592592593</v>
      </c>
    </row>
    <row r="139" spans="1:16" x14ac:dyDescent="0.25">
      <c r="A139" t="s">
        <v>123</v>
      </c>
      <c r="B139">
        <v>2019</v>
      </c>
      <c r="C139" s="8">
        <f>'1_Du_lieu'!F163</f>
        <v>35.700000000000003</v>
      </c>
      <c r="D139" s="8">
        <f>'1_Du_lieu'!G163</f>
        <v>49.8</v>
      </c>
      <c r="E139" s="8">
        <f>'1_Du_lieu'!H163</f>
        <v>24.6</v>
      </c>
      <c r="F139" s="8">
        <f>'1_Du_lieu'!I163</f>
        <v>68.099999999999994</v>
      </c>
      <c r="G139" s="6">
        <f t="shared" si="38"/>
        <v>7.1400000000000006</v>
      </c>
      <c r="H139" s="6">
        <f t="shared" si="39"/>
        <v>17.429999999999996</v>
      </c>
      <c r="I139" s="6">
        <f t="shared" si="40"/>
        <v>8.61</v>
      </c>
      <c r="J139" s="6">
        <f t="shared" si="41"/>
        <v>6.81</v>
      </c>
      <c r="K139" s="6">
        <f t="shared" si="47"/>
        <v>39.989999999999995</v>
      </c>
      <c r="L139" s="9">
        <f t="shared" si="42"/>
        <v>0.64814814814814814</v>
      </c>
      <c r="M139" s="9">
        <f t="shared" si="43"/>
        <v>0.65740740740740744</v>
      </c>
      <c r="N139" s="9">
        <f t="shared" si="44"/>
        <v>0.7592592592592593</v>
      </c>
      <c r="O139" s="9">
        <f t="shared" si="45"/>
        <v>0.35185185185185186</v>
      </c>
      <c r="P139" s="9">
        <f t="shared" si="46"/>
        <v>0.66666666666666663</v>
      </c>
    </row>
    <row r="140" spans="1:16" x14ac:dyDescent="0.25">
      <c r="A140" t="s">
        <v>124</v>
      </c>
      <c r="B140">
        <v>2019</v>
      </c>
      <c r="C140" s="8">
        <f>'1_Du_lieu'!F164</f>
        <v>38.9</v>
      </c>
      <c r="D140" s="8">
        <f>'1_Du_lieu'!G164</f>
        <v>42.7</v>
      </c>
      <c r="E140" s="8">
        <f>'1_Du_lieu'!H164</f>
        <v>35.6</v>
      </c>
      <c r="F140" s="8">
        <f>'1_Du_lieu'!I164</f>
        <v>72.599999999999994</v>
      </c>
      <c r="G140" s="6">
        <f t="shared" si="38"/>
        <v>7.78</v>
      </c>
      <c r="H140" s="6">
        <f t="shared" si="39"/>
        <v>14.945</v>
      </c>
      <c r="I140" s="6">
        <f t="shared" si="40"/>
        <v>12.459999999999999</v>
      </c>
      <c r="J140" s="6">
        <f t="shared" si="41"/>
        <v>7.26</v>
      </c>
      <c r="K140" s="6">
        <f t="shared" si="47"/>
        <v>42.445</v>
      </c>
      <c r="L140" s="9">
        <f t="shared" si="42"/>
        <v>0.7407407407407407</v>
      </c>
      <c r="M140" s="9">
        <f t="shared" si="43"/>
        <v>0.84259259259259256</v>
      </c>
      <c r="N140" s="9">
        <f t="shared" si="44"/>
        <v>0.53703703703703709</v>
      </c>
      <c r="O140" s="9">
        <f t="shared" si="45"/>
        <v>0.79629629629629628</v>
      </c>
      <c r="P140" s="9">
        <f t="shared" si="46"/>
        <v>0.81481481481481477</v>
      </c>
    </row>
    <row r="141" spans="1:16" x14ac:dyDescent="0.25">
      <c r="A141" t="s">
        <v>125</v>
      </c>
      <c r="B141">
        <v>2019</v>
      </c>
      <c r="C141" s="8">
        <f>'1_Du_lieu'!F165</f>
        <v>33.6</v>
      </c>
      <c r="D141" s="8">
        <f>'1_Du_lieu'!G165</f>
        <v>46.4</v>
      </c>
      <c r="E141" s="8">
        <f>'1_Du_lieu'!H165</f>
        <v>32.9</v>
      </c>
      <c r="F141" s="8">
        <f>'1_Du_lieu'!I165</f>
        <v>67.3</v>
      </c>
      <c r="G141" s="6">
        <f t="shared" si="38"/>
        <v>6.7200000000000006</v>
      </c>
      <c r="H141" s="6">
        <f t="shared" si="39"/>
        <v>16.239999999999998</v>
      </c>
      <c r="I141" s="6">
        <f t="shared" si="40"/>
        <v>11.514999999999999</v>
      </c>
      <c r="J141" s="6">
        <f t="shared" si="41"/>
        <v>6.73</v>
      </c>
      <c r="K141" s="6">
        <f t="shared" si="47"/>
        <v>41.204999999999998</v>
      </c>
      <c r="L141" s="9">
        <f t="shared" si="42"/>
        <v>0.70370370370370372</v>
      </c>
      <c r="M141" s="9">
        <f t="shared" si="43"/>
        <v>0.41666666666666669</v>
      </c>
      <c r="N141" s="9">
        <f t="shared" si="44"/>
        <v>0.66666666666666663</v>
      </c>
      <c r="O141" s="9">
        <f t="shared" si="45"/>
        <v>0.72222222222222221</v>
      </c>
      <c r="P141" s="9">
        <f t="shared" si="46"/>
        <v>0.62962962962962965</v>
      </c>
    </row>
    <row r="142" spans="1:16" x14ac:dyDescent="0.25">
      <c r="A142" t="s">
        <v>126</v>
      </c>
      <c r="B142">
        <v>2019</v>
      </c>
      <c r="C142" s="8">
        <f>'1_Du_lieu'!F166</f>
        <v>31.1</v>
      </c>
      <c r="D142" s="8">
        <f>'1_Du_lieu'!G166</f>
        <v>43.7</v>
      </c>
      <c r="E142" s="8">
        <f>'1_Du_lieu'!H166</f>
        <v>20.3</v>
      </c>
      <c r="F142" s="8">
        <f>'1_Du_lieu'!I166</f>
        <v>48</v>
      </c>
      <c r="G142" s="6">
        <f t="shared" si="38"/>
        <v>6.2200000000000006</v>
      </c>
      <c r="H142" s="6">
        <f t="shared" si="39"/>
        <v>15.295</v>
      </c>
      <c r="I142" s="6">
        <f t="shared" si="40"/>
        <v>7.1049999999999995</v>
      </c>
      <c r="J142" s="6">
        <f t="shared" si="41"/>
        <v>4.8000000000000007</v>
      </c>
      <c r="K142" s="6">
        <f t="shared" si="47"/>
        <v>33.42</v>
      </c>
      <c r="L142" s="9">
        <f t="shared" si="42"/>
        <v>0.27777777777777779</v>
      </c>
      <c r="M142" s="9">
        <f t="shared" si="43"/>
        <v>0.33333333333333331</v>
      </c>
      <c r="N142" s="9">
        <f t="shared" si="44"/>
        <v>0.59259259259259256</v>
      </c>
      <c r="O142" s="9">
        <f t="shared" si="45"/>
        <v>0.12962962962962962</v>
      </c>
      <c r="P142" s="9">
        <f t="shared" si="46"/>
        <v>5.5555555555555552E-2</v>
      </c>
    </row>
    <row r="143" spans="1:16" x14ac:dyDescent="0.25">
      <c r="A143" t="s">
        <v>127</v>
      </c>
      <c r="B143">
        <v>2019</v>
      </c>
      <c r="C143" s="8">
        <f>'1_Du_lieu'!F167</f>
        <v>33.6</v>
      </c>
      <c r="D143" s="8">
        <f>'1_Du_lieu'!G167</f>
        <v>41.3</v>
      </c>
      <c r="E143" s="8">
        <f>'1_Du_lieu'!H167</f>
        <v>31.5</v>
      </c>
      <c r="F143" s="8">
        <f>'1_Du_lieu'!I167</f>
        <v>65.7</v>
      </c>
      <c r="G143" s="6">
        <f t="shared" si="38"/>
        <v>6.7200000000000006</v>
      </c>
      <c r="H143" s="6">
        <f t="shared" si="39"/>
        <v>14.454999999999998</v>
      </c>
      <c r="I143" s="6">
        <f t="shared" si="40"/>
        <v>11.024999999999999</v>
      </c>
      <c r="J143" s="6">
        <f t="shared" si="41"/>
        <v>6.57</v>
      </c>
      <c r="K143" s="6">
        <f t="shared" si="47"/>
        <v>38.769999999999996</v>
      </c>
      <c r="L143" s="9">
        <f t="shared" si="42"/>
        <v>0.61111111111111116</v>
      </c>
      <c r="M143" s="9">
        <f t="shared" si="43"/>
        <v>0.41666666666666669</v>
      </c>
      <c r="N143" s="9">
        <f t="shared" si="44"/>
        <v>0.41666666666666669</v>
      </c>
      <c r="O143" s="9">
        <f t="shared" si="45"/>
        <v>0.70370370370370372</v>
      </c>
      <c r="P143" s="9">
        <f t="shared" si="46"/>
        <v>0.5</v>
      </c>
    </row>
    <row r="144" spans="1:16" x14ac:dyDescent="0.25">
      <c r="A144" t="s">
        <v>128</v>
      </c>
      <c r="B144">
        <v>2019</v>
      </c>
      <c r="C144" s="8">
        <f>'1_Du_lieu'!F168</f>
        <v>38.200000000000003</v>
      </c>
      <c r="D144" s="8">
        <f>'1_Du_lieu'!G168</f>
        <v>33.9</v>
      </c>
      <c r="E144" s="8">
        <f>'1_Du_lieu'!H168</f>
        <v>25.2</v>
      </c>
      <c r="F144" s="8">
        <f>'1_Du_lieu'!I168</f>
        <v>66</v>
      </c>
      <c r="G144" s="6">
        <f t="shared" si="38"/>
        <v>7.6400000000000006</v>
      </c>
      <c r="H144" s="6">
        <f t="shared" si="39"/>
        <v>11.864999999999998</v>
      </c>
      <c r="I144" s="6">
        <f t="shared" si="40"/>
        <v>8.8199999999999985</v>
      </c>
      <c r="J144" s="6">
        <f t="shared" si="41"/>
        <v>6.6000000000000005</v>
      </c>
      <c r="K144" s="6">
        <f t="shared" si="47"/>
        <v>34.924999999999997</v>
      </c>
      <c r="L144" s="9">
        <f t="shared" si="42"/>
        <v>0.31481481481481483</v>
      </c>
      <c r="M144" s="9">
        <f t="shared" si="43"/>
        <v>0.81481481481481477</v>
      </c>
      <c r="N144" s="9">
        <f t="shared" si="44"/>
        <v>0.16666666666666666</v>
      </c>
      <c r="O144" s="9">
        <f t="shared" si="45"/>
        <v>0.3888888888888889</v>
      </c>
      <c r="P144" s="9">
        <f t="shared" si="46"/>
        <v>0.51851851851851849</v>
      </c>
    </row>
    <row r="145" spans="1:16" x14ac:dyDescent="0.25">
      <c r="A145" t="s">
        <v>129</v>
      </c>
      <c r="B145">
        <v>2019</v>
      </c>
      <c r="C145" s="8">
        <f>'1_Du_lieu'!F169</f>
        <v>28.4</v>
      </c>
      <c r="D145" s="8">
        <f>'1_Du_lieu'!G169</f>
        <v>40.6</v>
      </c>
      <c r="E145" s="8">
        <f>'1_Du_lieu'!H169</f>
        <v>19.3</v>
      </c>
      <c r="F145" s="8">
        <f>'1_Du_lieu'!I169</f>
        <v>51.6</v>
      </c>
      <c r="G145" s="6">
        <f t="shared" ref="G145:G166" si="48">C145*$AC$6</f>
        <v>5.68</v>
      </c>
      <c r="H145" s="6">
        <f t="shared" ref="H145:H166" si="49">D145*$AD$6</f>
        <v>14.209999999999999</v>
      </c>
      <c r="I145" s="6">
        <f t="shared" ref="I145:I166" si="50">E145*$AE$6</f>
        <v>6.7549999999999999</v>
      </c>
      <c r="J145" s="6">
        <f t="shared" ref="J145:J166" si="51">F145*$AF$6</f>
        <v>5.16</v>
      </c>
      <c r="K145" s="6">
        <f t="shared" si="47"/>
        <v>31.805</v>
      </c>
      <c r="L145" s="9">
        <f t="shared" ref="L145:L176" si="52">_xlfn.RANK.AVG(K145,$K$113:$K$166,1)/54</f>
        <v>0.20370370370370369</v>
      </c>
      <c r="M145" s="9">
        <f t="shared" ref="M145:M166" si="53">_xlfn.RANK.AVG(G145,$G$113:$G$166,1)/54</f>
        <v>0.18518518518518517</v>
      </c>
      <c r="N145" s="9">
        <f t="shared" ref="N145:N166" si="54">_xlfn.RANK.AVG(H145,$H$113:$H$166,1)/54</f>
        <v>0.3888888888888889</v>
      </c>
      <c r="O145" s="9">
        <f t="shared" ref="O145:O166" si="55">_xlfn.RANK.AVG(I145,$I$113:$I$166,1)/54</f>
        <v>8.3333333333333329E-2</v>
      </c>
      <c r="P145" s="9">
        <f t="shared" ref="P145:P166" si="56">_xlfn.RANK.AVG(J145,$J$113:$J$166,1)/54</f>
        <v>0.1111111111111111</v>
      </c>
    </row>
    <row r="146" spans="1:16" x14ac:dyDescent="0.25">
      <c r="A146" t="s">
        <v>130</v>
      </c>
      <c r="B146">
        <v>2019</v>
      </c>
      <c r="C146" s="8">
        <f>'1_Du_lieu'!F170</f>
        <v>35</v>
      </c>
      <c r="D146" s="8">
        <f>'1_Du_lieu'!G170</f>
        <v>41.7</v>
      </c>
      <c r="E146" s="8">
        <f>'1_Du_lieu'!H170</f>
        <v>28.8</v>
      </c>
      <c r="F146" s="8">
        <f>'1_Du_lieu'!I170</f>
        <v>74.5</v>
      </c>
      <c r="G146" s="6">
        <f t="shared" si="48"/>
        <v>7</v>
      </c>
      <c r="H146" s="6">
        <f t="shared" si="49"/>
        <v>14.595000000000001</v>
      </c>
      <c r="I146" s="6">
        <f t="shared" si="50"/>
        <v>10.08</v>
      </c>
      <c r="J146" s="6">
        <f t="shared" si="51"/>
        <v>7.45</v>
      </c>
      <c r="K146" s="6">
        <f t="shared" si="47"/>
        <v>39.125</v>
      </c>
      <c r="L146" s="9">
        <f t="shared" si="52"/>
        <v>0.62962962962962965</v>
      </c>
      <c r="M146" s="9">
        <f t="shared" si="53"/>
        <v>0.57407407407407407</v>
      </c>
      <c r="N146" s="9">
        <f t="shared" si="54"/>
        <v>0.46296296296296297</v>
      </c>
      <c r="O146" s="9">
        <f t="shared" si="55"/>
        <v>0.48148148148148145</v>
      </c>
      <c r="P146" s="9">
        <f t="shared" si="56"/>
        <v>0.92592592592592593</v>
      </c>
    </row>
    <row r="147" spans="1:16" x14ac:dyDescent="0.25">
      <c r="A147" t="s">
        <v>131</v>
      </c>
      <c r="B147">
        <v>2019</v>
      </c>
      <c r="C147" s="8">
        <f>'1_Du_lieu'!F171</f>
        <v>30.9</v>
      </c>
      <c r="D147" s="8">
        <f>'1_Du_lieu'!G171</f>
        <v>35.799999999999997</v>
      </c>
      <c r="E147" s="8">
        <f>'1_Du_lieu'!H171</f>
        <v>20.8</v>
      </c>
      <c r="F147" s="8">
        <f>'1_Du_lieu'!I171</f>
        <v>57.3</v>
      </c>
      <c r="G147" s="6">
        <f t="shared" si="48"/>
        <v>6.18</v>
      </c>
      <c r="H147" s="6">
        <f t="shared" si="49"/>
        <v>12.529999999999998</v>
      </c>
      <c r="I147" s="6">
        <f t="shared" si="50"/>
        <v>7.2799999999999994</v>
      </c>
      <c r="J147" s="6">
        <f t="shared" si="51"/>
        <v>5.73</v>
      </c>
      <c r="K147" s="6">
        <f t="shared" si="47"/>
        <v>31.719999999999995</v>
      </c>
      <c r="L147" s="9">
        <f t="shared" si="52"/>
        <v>0.16666666666666666</v>
      </c>
      <c r="M147" s="9">
        <f t="shared" si="53"/>
        <v>0.29629629629629628</v>
      </c>
      <c r="N147" s="9">
        <f t="shared" si="54"/>
        <v>0.24074074074074073</v>
      </c>
      <c r="O147" s="9">
        <f t="shared" si="55"/>
        <v>0.20370370370370369</v>
      </c>
      <c r="P147" s="9">
        <f t="shared" si="56"/>
        <v>0.20370370370370369</v>
      </c>
    </row>
    <row r="148" spans="1:16" x14ac:dyDescent="0.25">
      <c r="A148" t="s">
        <v>132</v>
      </c>
      <c r="B148">
        <v>2019</v>
      </c>
      <c r="C148" s="8">
        <f>'1_Du_lieu'!F172</f>
        <v>37.1</v>
      </c>
      <c r="D148" s="8">
        <f>'1_Du_lieu'!G172</f>
        <v>55.4</v>
      </c>
      <c r="E148" s="8">
        <f>'1_Du_lieu'!H172</f>
        <v>41.4</v>
      </c>
      <c r="F148" s="8">
        <f>'1_Du_lieu'!I172</f>
        <v>69.5</v>
      </c>
      <c r="G148" s="6">
        <f t="shared" si="48"/>
        <v>7.4200000000000008</v>
      </c>
      <c r="H148" s="6">
        <f t="shared" si="49"/>
        <v>19.389999999999997</v>
      </c>
      <c r="I148" s="6">
        <f t="shared" si="50"/>
        <v>14.489999999999998</v>
      </c>
      <c r="J148" s="6">
        <f t="shared" si="51"/>
        <v>6.95</v>
      </c>
      <c r="K148" s="6">
        <f t="shared" si="47"/>
        <v>48.25</v>
      </c>
      <c r="L148" s="9">
        <f t="shared" si="52"/>
        <v>0.87037037037037035</v>
      </c>
      <c r="M148" s="9">
        <f t="shared" si="53"/>
        <v>0.7592592592592593</v>
      </c>
      <c r="N148" s="9">
        <f t="shared" si="54"/>
        <v>0.83333333333333337</v>
      </c>
      <c r="O148" s="9">
        <f t="shared" si="55"/>
        <v>0.92592592592592593</v>
      </c>
      <c r="P148" s="9">
        <f t="shared" si="56"/>
        <v>0.70370370370370372</v>
      </c>
    </row>
    <row r="149" spans="1:16" x14ac:dyDescent="0.25">
      <c r="A149" t="s">
        <v>133</v>
      </c>
      <c r="B149">
        <v>2019</v>
      </c>
      <c r="C149" s="8">
        <f>'1_Du_lieu'!F173</f>
        <v>25</v>
      </c>
      <c r="D149" s="8">
        <f>'1_Du_lieu'!G173</f>
        <v>32.9</v>
      </c>
      <c r="E149" s="8">
        <f>'1_Du_lieu'!H173</f>
        <v>25.9</v>
      </c>
      <c r="F149" s="8">
        <f>'1_Du_lieu'!I173</f>
        <v>51.1</v>
      </c>
      <c r="G149" s="6">
        <f t="shared" si="48"/>
        <v>5</v>
      </c>
      <c r="H149" s="6">
        <f t="shared" si="49"/>
        <v>11.514999999999999</v>
      </c>
      <c r="I149" s="6">
        <f t="shared" si="50"/>
        <v>9.0649999999999995</v>
      </c>
      <c r="J149" s="6">
        <f t="shared" si="51"/>
        <v>5.1100000000000003</v>
      </c>
      <c r="K149" s="6">
        <f t="shared" si="47"/>
        <v>30.689999999999998</v>
      </c>
      <c r="L149" s="9">
        <f t="shared" si="52"/>
        <v>0.1111111111111111</v>
      </c>
      <c r="M149" s="9">
        <f t="shared" si="53"/>
        <v>5.5555555555555552E-2</v>
      </c>
      <c r="N149" s="9">
        <f t="shared" si="54"/>
        <v>0.12962962962962962</v>
      </c>
      <c r="O149" s="9">
        <f t="shared" si="55"/>
        <v>0.40740740740740738</v>
      </c>
      <c r="P149" s="9">
        <f t="shared" si="56"/>
        <v>9.2592592592592587E-2</v>
      </c>
    </row>
    <row r="150" spans="1:16" x14ac:dyDescent="0.25">
      <c r="A150" t="s">
        <v>136</v>
      </c>
      <c r="B150">
        <v>2019</v>
      </c>
      <c r="C150" s="8">
        <f>'1_Du_lieu'!F176</f>
        <v>86.8</v>
      </c>
      <c r="D150" s="8">
        <f>'1_Du_lieu'!G176</f>
        <v>87.2</v>
      </c>
      <c r="E150" s="8">
        <f>'1_Du_lieu'!H176</f>
        <v>87.3</v>
      </c>
      <c r="F150" s="8">
        <f>'1_Du_lieu'!I176</f>
        <v>84.2</v>
      </c>
      <c r="G150" s="6">
        <f t="shared" si="48"/>
        <v>17.36</v>
      </c>
      <c r="H150" s="6">
        <f t="shared" si="49"/>
        <v>30.52</v>
      </c>
      <c r="I150" s="6">
        <f t="shared" si="50"/>
        <v>30.554999999999996</v>
      </c>
      <c r="J150" s="6">
        <f t="shared" si="51"/>
        <v>8.42</v>
      </c>
      <c r="K150" s="6">
        <f t="shared" si="47"/>
        <v>86.85499999999999</v>
      </c>
      <c r="L150" s="9">
        <f t="shared" si="52"/>
        <v>1</v>
      </c>
      <c r="M150" s="9">
        <f t="shared" si="53"/>
        <v>0.98148148148148151</v>
      </c>
      <c r="N150" s="9">
        <f t="shared" si="54"/>
        <v>1</v>
      </c>
      <c r="O150" s="9">
        <f t="shared" si="55"/>
        <v>1</v>
      </c>
      <c r="P150" s="9">
        <f t="shared" si="56"/>
        <v>1</v>
      </c>
    </row>
    <row r="151" spans="1:16" x14ac:dyDescent="0.25">
      <c r="A151" t="s">
        <v>137</v>
      </c>
      <c r="B151">
        <v>2019</v>
      </c>
      <c r="C151" s="8">
        <f>'1_Du_lieu'!F177</f>
        <v>35.700000000000003</v>
      </c>
      <c r="D151" s="8">
        <f>'1_Du_lieu'!G177</f>
        <v>42.1</v>
      </c>
      <c r="E151" s="8">
        <f>'1_Du_lieu'!H177</f>
        <v>30.5</v>
      </c>
      <c r="F151" s="8">
        <f>'1_Du_lieu'!I177</f>
        <v>58.7</v>
      </c>
      <c r="G151" s="6">
        <f t="shared" si="48"/>
        <v>7.1400000000000006</v>
      </c>
      <c r="H151" s="6">
        <f t="shared" si="49"/>
        <v>14.734999999999999</v>
      </c>
      <c r="I151" s="6">
        <f t="shared" si="50"/>
        <v>10.674999999999999</v>
      </c>
      <c r="J151" s="6">
        <f t="shared" si="51"/>
        <v>5.870000000000001</v>
      </c>
      <c r="K151" s="6">
        <f t="shared" si="47"/>
        <v>38.42</v>
      </c>
      <c r="L151" s="9">
        <f t="shared" si="52"/>
        <v>0.55555555555555558</v>
      </c>
      <c r="M151" s="9">
        <f t="shared" si="53"/>
        <v>0.65740740740740744</v>
      </c>
      <c r="N151" s="9">
        <f t="shared" si="54"/>
        <v>0.5</v>
      </c>
      <c r="O151" s="9">
        <f t="shared" si="55"/>
        <v>0.67592592592592593</v>
      </c>
      <c r="P151" s="9">
        <f t="shared" si="56"/>
        <v>0.25925925925925924</v>
      </c>
    </row>
    <row r="152" spans="1:16" x14ac:dyDescent="0.25">
      <c r="A152" t="s">
        <v>138</v>
      </c>
      <c r="B152">
        <v>2019</v>
      </c>
      <c r="C152" s="8">
        <f>'1_Du_lieu'!F178</f>
        <v>34.700000000000003</v>
      </c>
      <c r="D152" s="8">
        <f>'1_Du_lieu'!G178</f>
        <v>38.6</v>
      </c>
      <c r="E152" s="8">
        <f>'1_Du_lieu'!H178</f>
        <v>30.5</v>
      </c>
      <c r="F152" s="8">
        <f>'1_Du_lieu'!I178</f>
        <v>67.3</v>
      </c>
      <c r="G152" s="6">
        <f t="shared" si="48"/>
        <v>6.9400000000000013</v>
      </c>
      <c r="H152" s="6">
        <f t="shared" si="49"/>
        <v>13.51</v>
      </c>
      <c r="I152" s="6">
        <f t="shared" si="50"/>
        <v>10.674999999999999</v>
      </c>
      <c r="J152" s="6">
        <f t="shared" si="51"/>
        <v>6.73</v>
      </c>
      <c r="K152" s="6">
        <f t="shared" si="47"/>
        <v>37.855000000000004</v>
      </c>
      <c r="L152" s="9">
        <f t="shared" si="52"/>
        <v>0.51851851851851849</v>
      </c>
      <c r="M152" s="9">
        <f t="shared" si="53"/>
        <v>0.52777777777777779</v>
      </c>
      <c r="N152" s="9">
        <f t="shared" si="54"/>
        <v>0.31481481481481483</v>
      </c>
      <c r="O152" s="9">
        <f t="shared" si="55"/>
        <v>0.67592592592592593</v>
      </c>
      <c r="P152" s="9">
        <f t="shared" si="56"/>
        <v>0.62962962962962965</v>
      </c>
    </row>
    <row r="153" spans="1:16" x14ac:dyDescent="0.25">
      <c r="A153" t="s">
        <v>139</v>
      </c>
      <c r="B153">
        <v>2019</v>
      </c>
      <c r="C153" s="8">
        <f>'1_Du_lieu'!F179</f>
        <v>36.700000000000003</v>
      </c>
      <c r="D153" s="8">
        <f>'1_Du_lieu'!G179</f>
        <v>35.1</v>
      </c>
      <c r="E153" s="8">
        <f>'1_Du_lieu'!H179</f>
        <v>29.4</v>
      </c>
      <c r="F153" s="8">
        <f>'1_Du_lieu'!I179</f>
        <v>66.2</v>
      </c>
      <c r="G153" s="6">
        <f t="shared" si="48"/>
        <v>7.3400000000000007</v>
      </c>
      <c r="H153" s="6">
        <f t="shared" si="49"/>
        <v>12.285</v>
      </c>
      <c r="I153" s="6">
        <f t="shared" si="50"/>
        <v>10.29</v>
      </c>
      <c r="J153" s="6">
        <f t="shared" si="51"/>
        <v>6.620000000000001</v>
      </c>
      <c r="K153" s="6">
        <f t="shared" si="47"/>
        <v>36.534999999999997</v>
      </c>
      <c r="L153" s="9">
        <f t="shared" si="52"/>
        <v>0.44444444444444442</v>
      </c>
      <c r="M153" s="9">
        <f t="shared" si="53"/>
        <v>0.68518518518518523</v>
      </c>
      <c r="N153" s="9">
        <f t="shared" si="54"/>
        <v>0.20370370370370369</v>
      </c>
      <c r="O153" s="9">
        <f t="shared" si="55"/>
        <v>0.55555555555555558</v>
      </c>
      <c r="P153" s="9">
        <f t="shared" si="56"/>
        <v>0.55555555555555558</v>
      </c>
    </row>
    <row r="154" spans="1:16" x14ac:dyDescent="0.25">
      <c r="A154" t="s">
        <v>140</v>
      </c>
      <c r="B154">
        <v>2019</v>
      </c>
      <c r="C154" s="8">
        <f>'1_Du_lieu'!F180</f>
        <v>35.4</v>
      </c>
      <c r="D154" s="8">
        <f>'1_Du_lieu'!G180</f>
        <v>47.8</v>
      </c>
      <c r="E154" s="8">
        <f>'1_Du_lieu'!H180</f>
        <v>27</v>
      </c>
      <c r="F154" s="8">
        <f>'1_Du_lieu'!I180</f>
        <v>72.5</v>
      </c>
      <c r="G154" s="6">
        <f t="shared" si="48"/>
        <v>7.08</v>
      </c>
      <c r="H154" s="6">
        <f t="shared" si="49"/>
        <v>16.729999999999997</v>
      </c>
      <c r="I154" s="6">
        <f t="shared" si="50"/>
        <v>9.4499999999999993</v>
      </c>
      <c r="J154" s="6">
        <f t="shared" si="51"/>
        <v>7.25</v>
      </c>
      <c r="K154" s="6">
        <f t="shared" si="47"/>
        <v>40.509999999999991</v>
      </c>
      <c r="L154" s="9">
        <f t="shared" si="52"/>
        <v>0.68518518518518523</v>
      </c>
      <c r="M154" s="9">
        <f t="shared" si="53"/>
        <v>0.62962962962962965</v>
      </c>
      <c r="N154" s="9">
        <f t="shared" si="54"/>
        <v>0.70370370370370372</v>
      </c>
      <c r="O154" s="9">
        <f t="shared" si="55"/>
        <v>0.46296296296296297</v>
      </c>
      <c r="P154" s="9">
        <f t="shared" si="56"/>
        <v>0.79629629629629628</v>
      </c>
    </row>
    <row r="155" spans="1:16" x14ac:dyDescent="0.25">
      <c r="A155" t="s">
        <v>141</v>
      </c>
      <c r="B155">
        <v>2019</v>
      </c>
      <c r="C155" s="8">
        <f>'1_Du_lieu'!F181</f>
        <v>35.1</v>
      </c>
      <c r="D155" s="8">
        <f>'1_Du_lieu'!G181</f>
        <v>41.3</v>
      </c>
      <c r="E155" s="8">
        <f>'1_Du_lieu'!H181</f>
        <v>19.3</v>
      </c>
      <c r="F155" s="8">
        <f>'1_Du_lieu'!I181</f>
        <v>73.5</v>
      </c>
      <c r="G155" s="6">
        <f t="shared" si="48"/>
        <v>7.0200000000000005</v>
      </c>
      <c r="H155" s="6">
        <f t="shared" si="49"/>
        <v>14.454999999999998</v>
      </c>
      <c r="I155" s="6">
        <f t="shared" si="50"/>
        <v>6.7549999999999999</v>
      </c>
      <c r="J155" s="6">
        <f t="shared" si="51"/>
        <v>7.3500000000000005</v>
      </c>
      <c r="K155" s="6">
        <f t="shared" si="47"/>
        <v>35.58</v>
      </c>
      <c r="L155" s="9">
        <f t="shared" si="52"/>
        <v>0.35185185185185186</v>
      </c>
      <c r="M155" s="9">
        <f t="shared" si="53"/>
        <v>0.59259259259259256</v>
      </c>
      <c r="N155" s="9">
        <f t="shared" si="54"/>
        <v>0.41666666666666669</v>
      </c>
      <c r="O155" s="9">
        <f t="shared" si="55"/>
        <v>8.3333333333333329E-2</v>
      </c>
      <c r="P155" s="9">
        <f t="shared" si="56"/>
        <v>0.88888888888888884</v>
      </c>
    </row>
    <row r="156" spans="1:16" x14ac:dyDescent="0.25">
      <c r="A156" t="s">
        <v>142</v>
      </c>
      <c r="B156">
        <v>2019</v>
      </c>
      <c r="C156" s="8">
        <f>'1_Du_lieu'!F182</f>
        <v>28</v>
      </c>
      <c r="D156" s="8">
        <f>'1_Du_lieu'!G182</f>
        <v>38.4</v>
      </c>
      <c r="E156" s="8">
        <f>'1_Du_lieu'!H182</f>
        <v>17.7</v>
      </c>
      <c r="F156" s="8">
        <f>'1_Du_lieu'!I182</f>
        <v>56.3</v>
      </c>
      <c r="G156" s="6">
        <f t="shared" si="48"/>
        <v>5.6000000000000005</v>
      </c>
      <c r="H156" s="6">
        <f t="shared" si="49"/>
        <v>13.44</v>
      </c>
      <c r="I156" s="6">
        <f t="shared" si="50"/>
        <v>6.1949999999999994</v>
      </c>
      <c r="J156" s="6">
        <f t="shared" si="51"/>
        <v>5.63</v>
      </c>
      <c r="K156" s="6">
        <f t="shared" si="47"/>
        <v>30.864999999999998</v>
      </c>
      <c r="L156" s="9">
        <f t="shared" si="52"/>
        <v>0.12962962962962962</v>
      </c>
      <c r="M156" s="9">
        <f t="shared" si="53"/>
        <v>0.16666666666666666</v>
      </c>
      <c r="N156" s="9">
        <f t="shared" si="54"/>
        <v>0.28703703703703703</v>
      </c>
      <c r="O156" s="9">
        <f t="shared" si="55"/>
        <v>1.8518518518518517E-2</v>
      </c>
      <c r="P156" s="9">
        <f t="shared" si="56"/>
        <v>0.17592592592592593</v>
      </c>
    </row>
    <row r="157" spans="1:16" x14ac:dyDescent="0.25">
      <c r="A157" t="s">
        <v>143</v>
      </c>
      <c r="B157">
        <v>2019</v>
      </c>
      <c r="C157" s="8">
        <f>'1_Du_lieu'!F183</f>
        <v>27.5</v>
      </c>
      <c r="D157" s="8">
        <f>'1_Du_lieu'!G183</f>
        <v>27.7</v>
      </c>
      <c r="E157" s="8">
        <f>'1_Du_lieu'!H183</f>
        <v>20.5</v>
      </c>
      <c r="F157" s="8">
        <f>'1_Du_lieu'!I183</f>
        <v>65</v>
      </c>
      <c r="G157" s="6">
        <f t="shared" si="48"/>
        <v>5.5</v>
      </c>
      <c r="H157" s="6">
        <f t="shared" si="49"/>
        <v>9.6949999999999985</v>
      </c>
      <c r="I157" s="6">
        <f t="shared" si="50"/>
        <v>7.1749999999999998</v>
      </c>
      <c r="J157" s="6">
        <f t="shared" si="51"/>
        <v>6.5</v>
      </c>
      <c r="K157" s="6">
        <f t="shared" si="47"/>
        <v>28.869999999999997</v>
      </c>
      <c r="L157" s="9">
        <f t="shared" si="52"/>
        <v>5.5555555555555552E-2</v>
      </c>
      <c r="M157" s="9">
        <f t="shared" si="53"/>
        <v>0.1388888888888889</v>
      </c>
      <c r="N157" s="9">
        <f t="shared" si="54"/>
        <v>5.5555555555555552E-2</v>
      </c>
      <c r="O157" s="9">
        <f t="shared" si="55"/>
        <v>0.16666666666666666</v>
      </c>
      <c r="P157" s="9">
        <f t="shared" si="56"/>
        <v>0.44444444444444442</v>
      </c>
    </row>
    <row r="158" spans="1:16" x14ac:dyDescent="0.25">
      <c r="A158" t="s">
        <v>144</v>
      </c>
      <c r="B158">
        <v>2019</v>
      </c>
      <c r="C158" s="8">
        <f>'1_Du_lieu'!F184</f>
        <v>28.6</v>
      </c>
      <c r="D158" s="8">
        <f>'1_Du_lieu'!G184</f>
        <v>50.7</v>
      </c>
      <c r="E158" s="8">
        <f>'1_Du_lieu'!H184</f>
        <v>23.1</v>
      </c>
      <c r="F158" s="8">
        <f>'1_Du_lieu'!I184</f>
        <v>71.599999999999994</v>
      </c>
      <c r="G158" s="6">
        <f t="shared" si="48"/>
        <v>5.7200000000000006</v>
      </c>
      <c r="H158" s="6">
        <f t="shared" si="49"/>
        <v>17.745000000000001</v>
      </c>
      <c r="I158" s="6">
        <f t="shared" si="50"/>
        <v>8.0850000000000009</v>
      </c>
      <c r="J158" s="6">
        <f t="shared" si="51"/>
        <v>7.16</v>
      </c>
      <c r="K158" s="6">
        <f t="shared" si="47"/>
        <v>38.710000000000008</v>
      </c>
      <c r="L158" s="9">
        <f t="shared" si="52"/>
        <v>0.59259259259259256</v>
      </c>
      <c r="M158" s="9">
        <f t="shared" si="53"/>
        <v>0.20370370370370369</v>
      </c>
      <c r="N158" s="9">
        <f t="shared" si="54"/>
        <v>0.77777777777777779</v>
      </c>
      <c r="O158" s="9">
        <f t="shared" si="55"/>
        <v>0.29629629629629628</v>
      </c>
      <c r="P158" s="9">
        <f t="shared" si="56"/>
        <v>0.7407407407407407</v>
      </c>
    </row>
    <row r="159" spans="1:16" x14ac:dyDescent="0.25">
      <c r="A159" t="s">
        <v>145</v>
      </c>
      <c r="B159">
        <v>2019</v>
      </c>
      <c r="C159" s="8">
        <f>'1_Du_lieu'!F185</f>
        <v>34.1</v>
      </c>
      <c r="D159" s="8">
        <f>'1_Du_lieu'!G185</f>
        <v>38.4</v>
      </c>
      <c r="E159" s="8">
        <f>'1_Du_lieu'!H185</f>
        <v>19.2</v>
      </c>
      <c r="F159" s="8">
        <f>'1_Du_lieu'!I185</f>
        <v>43.8</v>
      </c>
      <c r="G159" s="6">
        <f t="shared" si="48"/>
        <v>6.82</v>
      </c>
      <c r="H159" s="6">
        <f t="shared" si="49"/>
        <v>13.44</v>
      </c>
      <c r="I159" s="6">
        <f t="shared" si="50"/>
        <v>6.72</v>
      </c>
      <c r="J159" s="6">
        <f t="shared" si="51"/>
        <v>4.38</v>
      </c>
      <c r="K159" s="6">
        <f t="shared" si="47"/>
        <v>31.359999999999996</v>
      </c>
      <c r="L159" s="9">
        <f t="shared" si="52"/>
        <v>0.14814814814814814</v>
      </c>
      <c r="M159" s="9">
        <f t="shared" si="53"/>
        <v>0.48148148148148145</v>
      </c>
      <c r="N159" s="9">
        <f t="shared" si="54"/>
        <v>0.28703703703703703</v>
      </c>
      <c r="O159" s="9">
        <f t="shared" si="55"/>
        <v>5.5555555555555552E-2</v>
      </c>
      <c r="P159" s="9">
        <f t="shared" si="56"/>
        <v>1.8518518518518517E-2</v>
      </c>
    </row>
    <row r="160" spans="1:16" x14ac:dyDescent="0.25">
      <c r="A160" t="s">
        <v>146</v>
      </c>
      <c r="B160">
        <v>2019</v>
      </c>
      <c r="C160" s="8">
        <f>'1_Du_lieu'!F186</f>
        <v>35.200000000000003</v>
      </c>
      <c r="D160" s="8">
        <f>'1_Du_lieu'!G186</f>
        <v>44.5</v>
      </c>
      <c r="E160" s="8">
        <f>'1_Du_lieu'!H186</f>
        <v>39.1</v>
      </c>
      <c r="F160" s="8">
        <f>'1_Du_lieu'!I186</f>
        <v>71.900000000000006</v>
      </c>
      <c r="G160" s="6">
        <f t="shared" si="48"/>
        <v>7.0400000000000009</v>
      </c>
      <c r="H160" s="6">
        <f t="shared" si="49"/>
        <v>15.574999999999999</v>
      </c>
      <c r="I160" s="6">
        <f t="shared" si="50"/>
        <v>13.685</v>
      </c>
      <c r="J160" s="6">
        <f t="shared" si="51"/>
        <v>7.1900000000000013</v>
      </c>
      <c r="K160" s="6">
        <f t="shared" si="47"/>
        <v>43.490000000000009</v>
      </c>
      <c r="L160" s="9">
        <f t="shared" si="52"/>
        <v>0.79629629629629628</v>
      </c>
      <c r="M160" s="9">
        <f t="shared" si="53"/>
        <v>0.61111111111111116</v>
      </c>
      <c r="N160" s="9">
        <f t="shared" si="54"/>
        <v>0.61111111111111116</v>
      </c>
      <c r="O160" s="9">
        <f t="shared" si="55"/>
        <v>0.88888888888888884</v>
      </c>
      <c r="P160" s="9">
        <f t="shared" si="56"/>
        <v>0.7592592592592593</v>
      </c>
    </row>
    <row r="161" spans="1:16" x14ac:dyDescent="0.25">
      <c r="A161" t="s">
        <v>147</v>
      </c>
      <c r="B161">
        <v>2019</v>
      </c>
      <c r="C161" s="8">
        <f>'1_Du_lieu'!F187</f>
        <v>30.1</v>
      </c>
      <c r="D161" s="8">
        <f>'1_Du_lieu'!G187</f>
        <v>31.8</v>
      </c>
      <c r="E161" s="8">
        <f>'1_Du_lieu'!H187</f>
        <v>29.7</v>
      </c>
      <c r="F161" s="8">
        <f>'1_Du_lieu'!I187</f>
        <v>52</v>
      </c>
      <c r="G161" s="6">
        <f t="shared" si="48"/>
        <v>6.0200000000000005</v>
      </c>
      <c r="H161" s="6">
        <f t="shared" si="49"/>
        <v>11.129999999999999</v>
      </c>
      <c r="I161" s="6">
        <f t="shared" si="50"/>
        <v>10.395</v>
      </c>
      <c r="J161" s="6">
        <f t="shared" si="51"/>
        <v>5.2</v>
      </c>
      <c r="K161" s="6">
        <f t="shared" si="47"/>
        <v>32.744999999999997</v>
      </c>
      <c r="L161" s="9">
        <f t="shared" si="52"/>
        <v>0.24074074074074073</v>
      </c>
      <c r="M161" s="9">
        <f t="shared" si="53"/>
        <v>0.25925925925925924</v>
      </c>
      <c r="N161" s="9">
        <f t="shared" si="54"/>
        <v>0.1111111111111111</v>
      </c>
      <c r="O161" s="9">
        <f t="shared" si="55"/>
        <v>0.57407407407407407</v>
      </c>
      <c r="P161" s="9">
        <f t="shared" si="56"/>
        <v>0.12962962962962962</v>
      </c>
    </row>
    <row r="162" spans="1:16" x14ac:dyDescent="0.25">
      <c r="A162" t="s">
        <v>149</v>
      </c>
      <c r="B162">
        <v>2019</v>
      </c>
      <c r="C162" s="8">
        <f>'1_Du_lieu'!F189</f>
        <v>44.8</v>
      </c>
      <c r="D162" s="8">
        <f>'1_Du_lieu'!G189</f>
        <v>65</v>
      </c>
      <c r="E162" s="8">
        <f>'1_Du_lieu'!H189</f>
        <v>52.4</v>
      </c>
      <c r="F162" s="8">
        <f>'1_Du_lieu'!I189</f>
        <v>74.099999999999994</v>
      </c>
      <c r="G162" s="6">
        <f t="shared" si="48"/>
        <v>8.9599999999999991</v>
      </c>
      <c r="H162" s="6">
        <f t="shared" si="49"/>
        <v>22.75</v>
      </c>
      <c r="I162" s="6">
        <f t="shared" si="50"/>
        <v>18.34</v>
      </c>
      <c r="J162" s="6">
        <f t="shared" si="51"/>
        <v>7.41</v>
      </c>
      <c r="K162" s="6">
        <f t="shared" si="47"/>
        <v>57.459999999999994</v>
      </c>
      <c r="L162" s="9">
        <f t="shared" si="52"/>
        <v>0.94444444444444442</v>
      </c>
      <c r="M162" s="9">
        <f t="shared" si="53"/>
        <v>0.94444444444444442</v>
      </c>
      <c r="N162" s="9">
        <f t="shared" si="54"/>
        <v>0.90740740740740744</v>
      </c>
      <c r="O162" s="9">
        <f t="shared" si="55"/>
        <v>0.96296296296296291</v>
      </c>
      <c r="P162" s="9">
        <f t="shared" si="56"/>
        <v>0.90740740740740744</v>
      </c>
    </row>
    <row r="163" spans="1:16" x14ac:dyDescent="0.25">
      <c r="A163" t="s">
        <v>150</v>
      </c>
      <c r="B163">
        <v>2019</v>
      </c>
      <c r="C163" s="8">
        <f>'1_Du_lieu'!F190</f>
        <v>30.5</v>
      </c>
      <c r="D163" s="8">
        <f>'1_Du_lieu'!G190</f>
        <v>37</v>
      </c>
      <c r="E163" s="8">
        <f>'1_Du_lieu'!H190</f>
        <v>28.9</v>
      </c>
      <c r="F163" s="8">
        <f>'1_Du_lieu'!I190</f>
        <v>64.900000000000006</v>
      </c>
      <c r="G163" s="6">
        <f t="shared" si="48"/>
        <v>6.1000000000000005</v>
      </c>
      <c r="H163" s="6">
        <f t="shared" si="49"/>
        <v>12.95</v>
      </c>
      <c r="I163" s="6">
        <f t="shared" si="50"/>
        <v>10.114999999999998</v>
      </c>
      <c r="J163" s="6">
        <f t="shared" si="51"/>
        <v>6.4900000000000011</v>
      </c>
      <c r="K163" s="6">
        <f t="shared" si="47"/>
        <v>35.655000000000001</v>
      </c>
      <c r="L163" s="9">
        <f t="shared" si="52"/>
        <v>0.3888888888888889</v>
      </c>
      <c r="M163" s="9">
        <f t="shared" si="53"/>
        <v>0.27777777777777779</v>
      </c>
      <c r="N163" s="9">
        <f t="shared" si="54"/>
        <v>0.25925925925925924</v>
      </c>
      <c r="O163" s="9">
        <f t="shared" si="55"/>
        <v>0.5</v>
      </c>
      <c r="P163" s="9">
        <f t="shared" si="56"/>
        <v>0.41666666666666669</v>
      </c>
    </row>
    <row r="164" spans="1:16" x14ac:dyDescent="0.25">
      <c r="A164" t="s">
        <v>151</v>
      </c>
      <c r="B164">
        <v>2019</v>
      </c>
      <c r="C164" s="8">
        <f>'1_Du_lieu'!F191</f>
        <v>26.3</v>
      </c>
      <c r="D164" s="8">
        <f>'1_Du_lieu'!G191</f>
        <v>39.700000000000003</v>
      </c>
      <c r="E164" s="8">
        <f>'1_Du_lieu'!H191</f>
        <v>19.8</v>
      </c>
      <c r="F164" s="8">
        <f>'1_Du_lieu'!I191</f>
        <v>58.1</v>
      </c>
      <c r="G164" s="6">
        <f t="shared" si="48"/>
        <v>5.2600000000000007</v>
      </c>
      <c r="H164" s="6">
        <f t="shared" si="49"/>
        <v>13.895</v>
      </c>
      <c r="I164" s="6">
        <f t="shared" si="50"/>
        <v>6.93</v>
      </c>
      <c r="J164" s="6">
        <f t="shared" si="51"/>
        <v>5.8100000000000005</v>
      </c>
      <c r="K164" s="6">
        <f t="shared" si="47"/>
        <v>31.895000000000003</v>
      </c>
      <c r="L164" s="9">
        <f t="shared" si="52"/>
        <v>0.22222222222222221</v>
      </c>
      <c r="M164" s="9">
        <f t="shared" si="53"/>
        <v>0.1111111111111111</v>
      </c>
      <c r="N164" s="9">
        <f t="shared" si="54"/>
        <v>0.37037037037037035</v>
      </c>
      <c r="O164" s="9">
        <f t="shared" si="55"/>
        <v>0.1111111111111111</v>
      </c>
      <c r="P164" s="9">
        <f t="shared" si="56"/>
        <v>0.22222222222222221</v>
      </c>
    </row>
    <row r="165" spans="1:16" x14ac:dyDescent="0.25">
      <c r="A165" t="s">
        <v>152</v>
      </c>
      <c r="B165">
        <v>2019</v>
      </c>
      <c r="C165" s="8">
        <f>'1_Du_lieu'!F192</f>
        <v>41.5</v>
      </c>
      <c r="D165" s="8">
        <f>'1_Du_lieu'!G192</f>
        <v>62.9</v>
      </c>
      <c r="E165" s="8">
        <f>'1_Du_lieu'!H192</f>
        <v>40.299999999999997</v>
      </c>
      <c r="F165" s="8">
        <f>'1_Du_lieu'!I192</f>
        <v>72.7</v>
      </c>
      <c r="G165" s="6">
        <f t="shared" si="48"/>
        <v>8.3000000000000007</v>
      </c>
      <c r="H165" s="6">
        <f t="shared" si="49"/>
        <v>22.014999999999997</v>
      </c>
      <c r="I165" s="6">
        <f t="shared" si="50"/>
        <v>14.104999999999999</v>
      </c>
      <c r="J165" s="6">
        <f t="shared" si="51"/>
        <v>7.2700000000000005</v>
      </c>
      <c r="K165" s="6">
        <f t="shared" si="47"/>
        <v>51.69</v>
      </c>
      <c r="L165" s="9">
        <f t="shared" si="52"/>
        <v>0.88888888888888884</v>
      </c>
      <c r="M165" s="9">
        <f t="shared" si="53"/>
        <v>0.90740740740740744</v>
      </c>
      <c r="N165" s="9">
        <f t="shared" si="54"/>
        <v>0.88888888888888884</v>
      </c>
      <c r="O165" s="9">
        <f t="shared" si="55"/>
        <v>0.90740740740740744</v>
      </c>
      <c r="P165" s="9">
        <f t="shared" si="56"/>
        <v>0.83333333333333337</v>
      </c>
    </row>
    <row r="166" spans="1:16" x14ac:dyDescent="0.25">
      <c r="A166" t="s">
        <v>153</v>
      </c>
      <c r="B166">
        <v>2019</v>
      </c>
      <c r="C166" s="8">
        <f>'1_Du_lieu'!F193</f>
        <v>34.4</v>
      </c>
      <c r="D166" s="8">
        <f>'1_Du_lieu'!G193</f>
        <v>39.200000000000003</v>
      </c>
      <c r="E166" s="8">
        <f>'1_Du_lieu'!H193</f>
        <v>20.399999999999999</v>
      </c>
      <c r="F166" s="8">
        <f>'1_Du_lieu'!I193</f>
        <v>71.400000000000006</v>
      </c>
      <c r="G166" s="6">
        <f t="shared" si="48"/>
        <v>6.88</v>
      </c>
      <c r="H166" s="6">
        <f t="shared" si="49"/>
        <v>13.72</v>
      </c>
      <c r="I166" s="6">
        <f t="shared" si="50"/>
        <v>7.1399999999999988</v>
      </c>
      <c r="J166" s="6">
        <f t="shared" si="51"/>
        <v>7.1400000000000006</v>
      </c>
      <c r="K166" s="6">
        <f t="shared" si="47"/>
        <v>34.880000000000003</v>
      </c>
      <c r="L166" s="9">
        <f t="shared" si="52"/>
        <v>0.29629629629629628</v>
      </c>
      <c r="M166" s="9">
        <f t="shared" si="53"/>
        <v>0.5</v>
      </c>
      <c r="N166" s="9">
        <f t="shared" si="54"/>
        <v>0.35185185185185186</v>
      </c>
      <c r="O166" s="9">
        <f t="shared" si="55"/>
        <v>0.14814814814814814</v>
      </c>
      <c r="P166" s="9">
        <f t="shared" si="56"/>
        <v>0.72222222222222221</v>
      </c>
    </row>
    <row r="167" spans="1:16" x14ac:dyDescent="0.25">
      <c r="A167" t="s">
        <v>85</v>
      </c>
      <c r="B167">
        <v>2020</v>
      </c>
      <c r="C167" s="8">
        <f>'1_Du_lieu'!F194</f>
        <v>31.3</v>
      </c>
      <c r="D167" s="8">
        <f>'1_Du_lieu'!G194</f>
        <v>47.8</v>
      </c>
      <c r="E167" s="8">
        <f>'1_Du_lieu'!H194</f>
        <v>28.9</v>
      </c>
      <c r="F167" s="8">
        <f>'1_Du_lieu'!I194</f>
        <v>60.8</v>
      </c>
      <c r="G167" s="6">
        <f t="shared" ref="G167:G198" si="57">C167*$AC$7</f>
        <v>6.2600000000000007</v>
      </c>
      <c r="H167" s="6">
        <f t="shared" ref="H167:H198" si="58">D167*$AD$7</f>
        <v>16.729999999999997</v>
      </c>
      <c r="I167" s="6">
        <f t="shared" ref="I167:I198" si="59">E167*$AE$7</f>
        <v>10.114999999999998</v>
      </c>
      <c r="J167" s="6">
        <f t="shared" ref="J167:J198" si="60">F167*$AF$7</f>
        <v>6.08</v>
      </c>
      <c r="K167" s="6">
        <f t="shared" si="47"/>
        <v>39.184999999999995</v>
      </c>
      <c r="L167" s="9">
        <f t="shared" ref="L167:L198" si="61">_xlfn.RANK.AVG(K167,$K$167:$K$221,1)/55</f>
        <v>0.45454545454545453</v>
      </c>
      <c r="M167" s="9">
        <f t="shared" ref="M167:M198" si="62">_xlfn.RANK.AVG(G167,$G$167:$G$221,1)/55</f>
        <v>0.32727272727272727</v>
      </c>
      <c r="N167" s="9">
        <f t="shared" ref="N167:N198" si="63">_xlfn.RANK.AVG(H167,$H$167:$H$221,1)/55</f>
        <v>0.69090909090909092</v>
      </c>
      <c r="O167" s="9">
        <f t="shared" ref="O167:O198" si="64">_xlfn.RANK.AVG(I167,$I$167:$I$221,1)/55</f>
        <v>0.40909090909090912</v>
      </c>
      <c r="P167" s="9">
        <f t="shared" ref="P167:P198" si="65">_xlfn.RANK.AVG(J167,$J$167:$J$221,1)/55</f>
        <v>0.27272727272727271</v>
      </c>
    </row>
    <row r="168" spans="1:16" x14ac:dyDescent="0.25">
      <c r="A168" t="s">
        <v>87</v>
      </c>
      <c r="B168">
        <v>2020</v>
      </c>
      <c r="C168" s="8">
        <f>'1_Du_lieu'!F195</f>
        <v>37.1</v>
      </c>
      <c r="D168" s="8">
        <f>'1_Du_lieu'!G195</f>
        <v>63.9</v>
      </c>
      <c r="E168" s="8">
        <f>'1_Du_lieu'!H195</f>
        <v>35.9</v>
      </c>
      <c r="F168" s="8">
        <f>'1_Du_lieu'!I195</f>
        <v>62.4</v>
      </c>
      <c r="G168" s="6">
        <f t="shared" si="57"/>
        <v>7.4200000000000008</v>
      </c>
      <c r="H168" s="6">
        <f t="shared" si="58"/>
        <v>22.364999999999998</v>
      </c>
      <c r="I168" s="6">
        <f t="shared" si="59"/>
        <v>12.565</v>
      </c>
      <c r="J168" s="6">
        <f t="shared" si="60"/>
        <v>6.24</v>
      </c>
      <c r="K168" s="6">
        <f t="shared" si="47"/>
        <v>48.59</v>
      </c>
      <c r="L168" s="9">
        <f t="shared" si="61"/>
        <v>0.83636363636363631</v>
      </c>
      <c r="M168" s="9">
        <f t="shared" si="62"/>
        <v>0.70909090909090911</v>
      </c>
      <c r="N168" s="9">
        <f t="shared" si="63"/>
        <v>0.87272727272727268</v>
      </c>
      <c r="O168" s="9">
        <f t="shared" si="64"/>
        <v>0.63636363636363635</v>
      </c>
      <c r="P168" s="9">
        <f t="shared" si="65"/>
        <v>0.29090909090909089</v>
      </c>
    </row>
    <row r="169" spans="1:16" x14ac:dyDescent="0.25">
      <c r="A169" t="s">
        <v>89</v>
      </c>
      <c r="B169">
        <v>2020</v>
      </c>
      <c r="C169" s="8">
        <f>'1_Du_lieu'!F196</f>
        <v>41.4</v>
      </c>
      <c r="D169" s="8">
        <f>'1_Du_lieu'!G196</f>
        <v>76.099999999999994</v>
      </c>
      <c r="E169" s="8">
        <f>'1_Du_lieu'!H196</f>
        <v>38.700000000000003</v>
      </c>
      <c r="F169" s="8">
        <f>'1_Du_lieu'!I196</f>
        <v>64.900000000000006</v>
      </c>
      <c r="G169" s="6">
        <f t="shared" si="57"/>
        <v>8.2799999999999994</v>
      </c>
      <c r="H169" s="6">
        <f t="shared" si="58"/>
        <v>26.634999999999998</v>
      </c>
      <c r="I169" s="6">
        <f t="shared" si="59"/>
        <v>13.545</v>
      </c>
      <c r="J169" s="6">
        <f t="shared" si="60"/>
        <v>6.4900000000000011</v>
      </c>
      <c r="K169" s="6">
        <f t="shared" si="47"/>
        <v>54.95</v>
      </c>
      <c r="L169" s="9">
        <f t="shared" si="61"/>
        <v>0.92727272727272725</v>
      </c>
      <c r="M169" s="9">
        <f t="shared" si="62"/>
        <v>0.89090909090909087</v>
      </c>
      <c r="N169" s="9">
        <f t="shared" si="63"/>
        <v>0.96363636363636362</v>
      </c>
      <c r="O169" s="9">
        <f t="shared" si="64"/>
        <v>0.76363636363636367</v>
      </c>
      <c r="P169" s="9">
        <f t="shared" si="65"/>
        <v>0.34545454545454546</v>
      </c>
    </row>
    <row r="170" spans="1:16" x14ac:dyDescent="0.25">
      <c r="A170" t="s">
        <v>90</v>
      </c>
      <c r="B170">
        <v>2020</v>
      </c>
      <c r="C170" s="8">
        <f>'1_Du_lieu'!F197</f>
        <v>25.9</v>
      </c>
      <c r="D170" s="8">
        <f>'1_Du_lieu'!G197</f>
        <v>31.5</v>
      </c>
      <c r="E170" s="8">
        <f>'1_Du_lieu'!H197</f>
        <v>19.399999999999999</v>
      </c>
      <c r="F170" s="8">
        <f>'1_Du_lieu'!I197</f>
        <v>68.3</v>
      </c>
      <c r="G170" s="6">
        <f t="shared" si="57"/>
        <v>5.18</v>
      </c>
      <c r="H170" s="6">
        <f t="shared" si="58"/>
        <v>11.024999999999999</v>
      </c>
      <c r="I170" s="6">
        <f t="shared" si="59"/>
        <v>6.7899999999999991</v>
      </c>
      <c r="J170" s="6">
        <f t="shared" si="60"/>
        <v>6.83</v>
      </c>
      <c r="K170" s="6">
        <f t="shared" si="47"/>
        <v>29.824999999999996</v>
      </c>
      <c r="L170" s="9">
        <f t="shared" si="61"/>
        <v>9.0909090909090912E-2</v>
      </c>
      <c r="M170" s="9">
        <f t="shared" si="62"/>
        <v>0.10909090909090909</v>
      </c>
      <c r="N170" s="9">
        <f t="shared" si="63"/>
        <v>9.0909090909090912E-2</v>
      </c>
      <c r="O170" s="9">
        <f t="shared" si="64"/>
        <v>3.6363636363636362E-2</v>
      </c>
      <c r="P170" s="9">
        <f t="shared" si="65"/>
        <v>0.6</v>
      </c>
    </row>
    <row r="171" spans="1:16" x14ac:dyDescent="0.25">
      <c r="A171" t="s">
        <v>91</v>
      </c>
      <c r="B171">
        <v>2020</v>
      </c>
      <c r="C171" s="8">
        <f>'1_Du_lieu'!F198</f>
        <v>33.6</v>
      </c>
      <c r="D171" s="8">
        <f>'1_Du_lieu'!G198</f>
        <v>43.9</v>
      </c>
      <c r="E171" s="8">
        <f>'1_Du_lieu'!H198</f>
        <v>24.2</v>
      </c>
      <c r="F171" s="8">
        <f>'1_Du_lieu'!I198</f>
        <v>64.7</v>
      </c>
      <c r="G171" s="6">
        <f t="shared" si="57"/>
        <v>6.7200000000000006</v>
      </c>
      <c r="H171" s="6">
        <f t="shared" si="58"/>
        <v>15.364999999999998</v>
      </c>
      <c r="I171" s="6">
        <f t="shared" si="59"/>
        <v>8.4699999999999989</v>
      </c>
      <c r="J171" s="6">
        <f t="shared" si="60"/>
        <v>6.4700000000000006</v>
      </c>
      <c r="K171" s="6">
        <f t="shared" si="47"/>
        <v>37.024999999999999</v>
      </c>
      <c r="L171" s="9">
        <f t="shared" si="61"/>
        <v>0.38181818181818183</v>
      </c>
      <c r="M171" s="9">
        <f t="shared" si="62"/>
        <v>0.4</v>
      </c>
      <c r="N171" s="9">
        <f t="shared" si="63"/>
        <v>0.54545454545454541</v>
      </c>
      <c r="O171" s="9">
        <f t="shared" si="64"/>
        <v>0.25454545454545452</v>
      </c>
      <c r="P171" s="9">
        <f t="shared" si="65"/>
        <v>0.32727272727272727</v>
      </c>
    </row>
    <row r="172" spans="1:16" x14ac:dyDescent="0.25">
      <c r="A172" t="s">
        <v>93</v>
      </c>
      <c r="B172">
        <v>2020</v>
      </c>
      <c r="C172" s="8">
        <f>'1_Du_lieu'!F199</f>
        <v>35</v>
      </c>
      <c r="D172" s="8">
        <f>'1_Du_lieu'!G199</f>
        <v>44.2</v>
      </c>
      <c r="E172" s="8">
        <f>'1_Du_lieu'!H199</f>
        <v>36</v>
      </c>
      <c r="F172" s="8">
        <f>'1_Du_lieu'!I199</f>
        <v>73.7</v>
      </c>
      <c r="G172" s="6">
        <f t="shared" si="57"/>
        <v>7</v>
      </c>
      <c r="H172" s="6">
        <f t="shared" si="58"/>
        <v>15.47</v>
      </c>
      <c r="I172" s="6">
        <f t="shared" si="59"/>
        <v>12.6</v>
      </c>
      <c r="J172" s="6">
        <f t="shared" si="60"/>
        <v>7.370000000000001</v>
      </c>
      <c r="K172" s="6">
        <f t="shared" si="47"/>
        <v>42.44</v>
      </c>
      <c r="L172" s="9">
        <f t="shared" si="61"/>
        <v>0.65454545454545454</v>
      </c>
      <c r="M172" s="9">
        <f t="shared" si="62"/>
        <v>0.51818181818181819</v>
      </c>
      <c r="N172" s="9">
        <f t="shared" si="63"/>
        <v>0.58181818181818179</v>
      </c>
      <c r="O172" s="9">
        <f t="shared" si="64"/>
        <v>0.65454545454545454</v>
      </c>
      <c r="P172" s="9">
        <f t="shared" si="65"/>
        <v>0.78181818181818186</v>
      </c>
    </row>
    <row r="173" spans="1:16" x14ac:dyDescent="0.25">
      <c r="A173" t="s">
        <v>95</v>
      </c>
      <c r="B173">
        <v>2020</v>
      </c>
      <c r="C173" s="8">
        <f>'1_Du_lieu'!F201</f>
        <v>37.1</v>
      </c>
      <c r="D173" s="8">
        <f>'1_Du_lieu'!G201</f>
        <v>47</v>
      </c>
      <c r="E173" s="8">
        <f>'1_Du_lieu'!H201</f>
        <v>37.9</v>
      </c>
      <c r="F173" s="8">
        <f>'1_Du_lieu'!I201</f>
        <v>66.7</v>
      </c>
      <c r="G173" s="6">
        <f t="shared" si="57"/>
        <v>7.4200000000000008</v>
      </c>
      <c r="H173" s="6">
        <f t="shared" si="58"/>
        <v>16.45</v>
      </c>
      <c r="I173" s="6">
        <f t="shared" si="59"/>
        <v>13.264999999999999</v>
      </c>
      <c r="J173" s="6">
        <f t="shared" si="60"/>
        <v>6.6700000000000008</v>
      </c>
      <c r="K173" s="6">
        <f t="shared" si="47"/>
        <v>43.805</v>
      </c>
      <c r="L173" s="9">
        <f t="shared" si="61"/>
        <v>0.76363636363636367</v>
      </c>
      <c r="M173" s="9">
        <f t="shared" si="62"/>
        <v>0.70909090909090911</v>
      </c>
      <c r="N173" s="9">
        <f t="shared" si="63"/>
        <v>0.65454545454545454</v>
      </c>
      <c r="O173" s="9">
        <f t="shared" si="64"/>
        <v>0.72727272727272729</v>
      </c>
      <c r="P173" s="9">
        <f t="shared" si="65"/>
        <v>0.47272727272727272</v>
      </c>
    </row>
    <row r="174" spans="1:16" x14ac:dyDescent="0.25">
      <c r="A174" t="s">
        <v>97</v>
      </c>
      <c r="B174">
        <v>2020</v>
      </c>
      <c r="C174" s="8">
        <f>'1_Du_lieu'!F202</f>
        <v>24</v>
      </c>
      <c r="D174" s="8">
        <f>'1_Du_lieu'!G202</f>
        <v>25.9</v>
      </c>
      <c r="E174" s="8">
        <f>'1_Du_lieu'!H202</f>
        <v>21.2</v>
      </c>
      <c r="F174" s="8">
        <f>'1_Du_lieu'!I202</f>
        <v>65.900000000000006</v>
      </c>
      <c r="G174" s="6">
        <f t="shared" si="57"/>
        <v>4.8000000000000007</v>
      </c>
      <c r="H174" s="6">
        <f t="shared" si="58"/>
        <v>9.0649999999999995</v>
      </c>
      <c r="I174" s="6">
        <f t="shared" si="59"/>
        <v>7.419999999999999</v>
      </c>
      <c r="J174" s="6">
        <f t="shared" si="60"/>
        <v>6.5900000000000007</v>
      </c>
      <c r="K174" s="6">
        <f t="shared" si="47"/>
        <v>27.875</v>
      </c>
      <c r="L174" s="9">
        <f t="shared" si="61"/>
        <v>1.8181818181818181E-2</v>
      </c>
      <c r="M174" s="9">
        <f t="shared" si="62"/>
        <v>4.5454545454545456E-2</v>
      </c>
      <c r="N174" s="9">
        <f t="shared" si="63"/>
        <v>2.7272727272727271E-2</v>
      </c>
      <c r="O174" s="9">
        <f t="shared" si="64"/>
        <v>0.14545454545454545</v>
      </c>
      <c r="P174" s="9">
        <f t="shared" si="65"/>
        <v>0.39090909090909093</v>
      </c>
    </row>
    <row r="175" spans="1:16" x14ac:dyDescent="0.25">
      <c r="A175" t="s">
        <v>98</v>
      </c>
      <c r="B175">
        <v>2020</v>
      </c>
      <c r="C175" s="8">
        <f>'1_Du_lieu'!F203</f>
        <v>42.4</v>
      </c>
      <c r="D175" s="8">
        <f>'1_Du_lieu'!G203</f>
        <v>69.3</v>
      </c>
      <c r="E175" s="8">
        <f>'1_Du_lieu'!H203</f>
        <v>36.4</v>
      </c>
      <c r="F175" s="8">
        <f>'1_Du_lieu'!I203</f>
        <v>76.3</v>
      </c>
      <c r="G175" s="6">
        <f t="shared" si="57"/>
        <v>8.48</v>
      </c>
      <c r="H175" s="6">
        <f t="shared" si="58"/>
        <v>24.254999999999999</v>
      </c>
      <c r="I175" s="6">
        <f t="shared" si="59"/>
        <v>12.739999999999998</v>
      </c>
      <c r="J175" s="6">
        <f t="shared" si="60"/>
        <v>7.63</v>
      </c>
      <c r="K175" s="6">
        <f t="shared" si="47"/>
        <v>53.104999999999997</v>
      </c>
      <c r="L175" s="9">
        <f t="shared" si="61"/>
        <v>0.89090909090909087</v>
      </c>
      <c r="M175" s="9">
        <f t="shared" si="62"/>
        <v>0.92727272727272725</v>
      </c>
      <c r="N175" s="9">
        <f t="shared" si="63"/>
        <v>0.92727272727272725</v>
      </c>
      <c r="O175" s="9">
        <f t="shared" si="64"/>
        <v>0.69090909090909092</v>
      </c>
      <c r="P175" s="9">
        <f t="shared" si="65"/>
        <v>0.94545454545454544</v>
      </c>
    </row>
    <row r="176" spans="1:16" x14ac:dyDescent="0.25">
      <c r="A176" t="s">
        <v>100</v>
      </c>
      <c r="B176">
        <v>2020</v>
      </c>
      <c r="C176" s="8">
        <f>'1_Du_lieu'!F204</f>
        <v>35.200000000000003</v>
      </c>
      <c r="D176" s="8">
        <f>'1_Du_lieu'!G204</f>
        <v>43.1</v>
      </c>
      <c r="E176" s="8">
        <f>'1_Du_lieu'!H204</f>
        <v>42</v>
      </c>
      <c r="F176" s="8">
        <f>'1_Du_lieu'!I204</f>
        <v>67.599999999999994</v>
      </c>
      <c r="G176" s="6">
        <f t="shared" si="57"/>
        <v>7.0400000000000009</v>
      </c>
      <c r="H176" s="6">
        <f t="shared" si="58"/>
        <v>15.084999999999999</v>
      </c>
      <c r="I176" s="6">
        <f t="shared" si="59"/>
        <v>14.7</v>
      </c>
      <c r="J176" s="6">
        <f t="shared" si="60"/>
        <v>6.76</v>
      </c>
      <c r="K176" s="6">
        <f t="shared" si="47"/>
        <v>43.585000000000001</v>
      </c>
      <c r="L176" s="9">
        <f t="shared" si="61"/>
        <v>0.74545454545454548</v>
      </c>
      <c r="M176" s="9">
        <f t="shared" si="62"/>
        <v>0.54545454545454541</v>
      </c>
      <c r="N176" s="9">
        <f t="shared" si="63"/>
        <v>0.50909090909090904</v>
      </c>
      <c r="O176" s="9">
        <f t="shared" si="64"/>
        <v>0.86363636363636365</v>
      </c>
      <c r="P176" s="9">
        <f t="shared" si="65"/>
        <v>0.54545454545454541</v>
      </c>
    </row>
    <row r="177" spans="1:16" x14ac:dyDescent="0.25">
      <c r="A177" t="s">
        <v>102</v>
      </c>
      <c r="B177">
        <v>2020</v>
      </c>
      <c r="C177" s="8">
        <f>'1_Du_lieu'!F206</f>
        <v>24</v>
      </c>
      <c r="D177" s="8">
        <f>'1_Du_lieu'!G206</f>
        <v>25.9</v>
      </c>
      <c r="E177" s="8">
        <f>'1_Du_lieu'!H206</f>
        <v>23</v>
      </c>
      <c r="F177" s="8">
        <f>'1_Du_lieu'!I206</f>
        <v>65.900000000000006</v>
      </c>
      <c r="G177" s="6">
        <f t="shared" si="57"/>
        <v>4.8000000000000007</v>
      </c>
      <c r="H177" s="6">
        <f t="shared" si="58"/>
        <v>9.0649999999999995</v>
      </c>
      <c r="I177" s="6">
        <f t="shared" si="59"/>
        <v>8.0499999999999989</v>
      </c>
      <c r="J177" s="6">
        <f t="shared" si="60"/>
        <v>6.5900000000000007</v>
      </c>
      <c r="K177" s="6">
        <f t="shared" si="47"/>
        <v>28.504999999999999</v>
      </c>
      <c r="L177" s="9">
        <f t="shared" si="61"/>
        <v>3.6363636363636362E-2</v>
      </c>
      <c r="M177" s="9">
        <f t="shared" si="62"/>
        <v>4.5454545454545456E-2</v>
      </c>
      <c r="N177" s="9">
        <f t="shared" si="63"/>
        <v>2.7272727272727271E-2</v>
      </c>
      <c r="O177" s="9">
        <f t="shared" si="64"/>
        <v>0.2</v>
      </c>
      <c r="P177" s="9">
        <f t="shared" si="65"/>
        <v>0.39090909090909093</v>
      </c>
    </row>
    <row r="178" spans="1:16" x14ac:dyDescent="0.25">
      <c r="A178" t="s">
        <v>103</v>
      </c>
      <c r="B178">
        <v>2020</v>
      </c>
      <c r="C178" s="8">
        <f>'1_Du_lieu'!F207</f>
        <v>40.299999999999997</v>
      </c>
      <c r="D178" s="8">
        <f>'1_Du_lieu'!G207</f>
        <v>54.1</v>
      </c>
      <c r="E178" s="8">
        <f>'1_Du_lieu'!H207</f>
        <v>41</v>
      </c>
      <c r="F178" s="8">
        <f>'1_Du_lieu'!I207</f>
        <v>74.5</v>
      </c>
      <c r="G178" s="6">
        <f t="shared" si="57"/>
        <v>8.06</v>
      </c>
      <c r="H178" s="6">
        <f t="shared" si="58"/>
        <v>18.934999999999999</v>
      </c>
      <c r="I178" s="6">
        <f t="shared" si="59"/>
        <v>14.35</v>
      </c>
      <c r="J178" s="6">
        <f t="shared" si="60"/>
        <v>7.45</v>
      </c>
      <c r="K178" s="6">
        <f t="shared" si="47"/>
        <v>48.795000000000002</v>
      </c>
      <c r="L178" s="9">
        <f t="shared" si="61"/>
        <v>0.8545454545454545</v>
      </c>
      <c r="M178" s="9">
        <f t="shared" si="62"/>
        <v>0.87272727272727268</v>
      </c>
      <c r="N178" s="9">
        <f t="shared" si="63"/>
        <v>0.81818181818181823</v>
      </c>
      <c r="O178" s="9">
        <f t="shared" si="64"/>
        <v>0.81818181818181823</v>
      </c>
      <c r="P178" s="9">
        <f t="shared" si="65"/>
        <v>0.8545454545454545</v>
      </c>
    </row>
    <row r="179" spans="1:16" x14ac:dyDescent="0.25">
      <c r="A179" t="s">
        <v>104</v>
      </c>
      <c r="B179">
        <v>2020</v>
      </c>
      <c r="C179" s="8">
        <f>'1_Du_lieu'!F208</f>
        <v>22.1</v>
      </c>
      <c r="D179" s="8">
        <f>'1_Du_lieu'!G208</f>
        <v>39.5</v>
      </c>
      <c r="E179" s="8">
        <f>'1_Du_lieu'!H208</f>
        <v>21.3</v>
      </c>
      <c r="F179" s="8">
        <f>'1_Du_lieu'!I208</f>
        <v>66.3</v>
      </c>
      <c r="G179" s="6">
        <f t="shared" si="57"/>
        <v>4.4200000000000008</v>
      </c>
      <c r="H179" s="6">
        <f t="shared" si="58"/>
        <v>13.824999999999999</v>
      </c>
      <c r="I179" s="6">
        <f t="shared" si="59"/>
        <v>7.4550000000000001</v>
      </c>
      <c r="J179" s="6">
        <f t="shared" si="60"/>
        <v>6.63</v>
      </c>
      <c r="K179" s="6">
        <f t="shared" si="47"/>
        <v>32.330000000000005</v>
      </c>
      <c r="L179" s="9">
        <f t="shared" si="61"/>
        <v>0.18181818181818182</v>
      </c>
      <c r="M179" s="9">
        <f t="shared" si="62"/>
        <v>1.8181818181818181E-2</v>
      </c>
      <c r="N179" s="9">
        <f t="shared" si="63"/>
        <v>0.34545454545454546</v>
      </c>
      <c r="O179" s="9">
        <f t="shared" si="64"/>
        <v>0.16363636363636364</v>
      </c>
      <c r="P179" s="9">
        <f t="shared" si="65"/>
        <v>0.42727272727272725</v>
      </c>
    </row>
    <row r="180" spans="1:16" x14ac:dyDescent="0.25">
      <c r="A180" t="s">
        <v>107</v>
      </c>
      <c r="B180">
        <v>2020</v>
      </c>
      <c r="C180" s="8">
        <f>'1_Du_lieu'!F210</f>
        <v>38.5</v>
      </c>
      <c r="D180" s="8">
        <f>'1_Du_lieu'!G210</f>
        <v>46.5</v>
      </c>
      <c r="E180" s="8">
        <f>'1_Du_lieu'!H210</f>
        <v>38.5</v>
      </c>
      <c r="F180" s="8">
        <f>'1_Du_lieu'!I210</f>
        <v>45.6</v>
      </c>
      <c r="G180" s="6">
        <f t="shared" si="57"/>
        <v>7.7</v>
      </c>
      <c r="H180" s="6">
        <f t="shared" si="58"/>
        <v>16.274999999999999</v>
      </c>
      <c r="I180" s="6">
        <f t="shared" si="59"/>
        <v>13.475</v>
      </c>
      <c r="J180" s="6">
        <f t="shared" si="60"/>
        <v>4.5600000000000005</v>
      </c>
      <c r="K180" s="6">
        <f t="shared" si="47"/>
        <v>42.01</v>
      </c>
      <c r="L180" s="9">
        <f t="shared" si="61"/>
        <v>0.61818181818181817</v>
      </c>
      <c r="M180" s="9">
        <f t="shared" si="62"/>
        <v>0.8</v>
      </c>
      <c r="N180" s="9">
        <f t="shared" si="63"/>
        <v>0.63636363636363635</v>
      </c>
      <c r="O180" s="9">
        <f t="shared" si="64"/>
        <v>0.74545454545454548</v>
      </c>
      <c r="P180" s="9">
        <f t="shared" si="65"/>
        <v>3.6363636363636362E-2</v>
      </c>
    </row>
    <row r="181" spans="1:16" x14ac:dyDescent="0.25">
      <c r="A181" t="s">
        <v>108</v>
      </c>
      <c r="B181">
        <v>2020</v>
      </c>
      <c r="C181" s="8">
        <f>'1_Du_lieu'!F211</f>
        <v>89.3</v>
      </c>
      <c r="D181" s="8">
        <f>'1_Du_lieu'!G211</f>
        <v>87.5</v>
      </c>
      <c r="E181" s="8">
        <f>'1_Du_lieu'!H211</f>
        <v>83.8</v>
      </c>
      <c r="F181" s="8">
        <f>'1_Du_lieu'!I211</f>
        <v>79.400000000000006</v>
      </c>
      <c r="G181" s="6">
        <f t="shared" si="57"/>
        <v>17.86</v>
      </c>
      <c r="H181" s="6">
        <f t="shared" si="58"/>
        <v>30.624999999999996</v>
      </c>
      <c r="I181" s="6">
        <f t="shared" si="59"/>
        <v>29.33</v>
      </c>
      <c r="J181" s="6">
        <f t="shared" si="60"/>
        <v>7.9400000000000013</v>
      </c>
      <c r="K181" s="6">
        <f t="shared" si="47"/>
        <v>85.754999999999995</v>
      </c>
      <c r="L181" s="9">
        <f t="shared" si="61"/>
        <v>0.98181818181818181</v>
      </c>
      <c r="M181" s="9">
        <f t="shared" si="62"/>
        <v>1</v>
      </c>
      <c r="N181" s="9">
        <f t="shared" si="63"/>
        <v>0.98181818181818181</v>
      </c>
      <c r="O181" s="9">
        <f t="shared" si="64"/>
        <v>0.98181818181818181</v>
      </c>
      <c r="P181" s="9">
        <f t="shared" si="65"/>
        <v>0.98181818181818181</v>
      </c>
    </row>
    <row r="182" spans="1:16" x14ac:dyDescent="0.25">
      <c r="A182" t="s">
        <v>109</v>
      </c>
      <c r="B182">
        <v>2020</v>
      </c>
      <c r="C182" s="8">
        <f>'1_Du_lieu'!F212</f>
        <v>34.4</v>
      </c>
      <c r="D182" s="8">
        <f>'1_Du_lieu'!G212</f>
        <v>36.1</v>
      </c>
      <c r="E182" s="8">
        <f>'1_Du_lieu'!H212</f>
        <v>30.6</v>
      </c>
      <c r="F182" s="8">
        <f>'1_Du_lieu'!I212</f>
        <v>59.9</v>
      </c>
      <c r="G182" s="6">
        <f t="shared" si="57"/>
        <v>6.88</v>
      </c>
      <c r="H182" s="6">
        <f t="shared" si="58"/>
        <v>12.635</v>
      </c>
      <c r="I182" s="6">
        <f t="shared" si="59"/>
        <v>10.709999999999999</v>
      </c>
      <c r="J182" s="6">
        <f t="shared" si="60"/>
        <v>5.99</v>
      </c>
      <c r="K182" s="6">
        <f t="shared" si="47"/>
        <v>36.215000000000003</v>
      </c>
      <c r="L182" s="9">
        <f t="shared" si="61"/>
        <v>0.34545454545454546</v>
      </c>
      <c r="M182" s="9">
        <f t="shared" si="62"/>
        <v>0.45454545454545453</v>
      </c>
      <c r="N182" s="9">
        <f t="shared" si="63"/>
        <v>0.23636363636363636</v>
      </c>
      <c r="O182" s="9">
        <f t="shared" si="64"/>
        <v>0.51818181818181819</v>
      </c>
      <c r="P182" s="9">
        <f t="shared" si="65"/>
        <v>0.23636363636363636</v>
      </c>
    </row>
    <row r="183" spans="1:16" x14ac:dyDescent="0.25">
      <c r="A183" t="s">
        <v>110</v>
      </c>
      <c r="B183">
        <v>2020</v>
      </c>
      <c r="C183" s="8">
        <f>'1_Du_lieu'!F213</f>
        <v>30</v>
      </c>
      <c r="D183" s="8">
        <f>'1_Du_lieu'!G213</f>
        <v>35.4</v>
      </c>
      <c r="E183" s="8">
        <f>'1_Du_lieu'!H213</f>
        <v>23.3</v>
      </c>
      <c r="F183" s="8">
        <f>'1_Du_lieu'!I213</f>
        <v>68.7</v>
      </c>
      <c r="G183" s="6">
        <f t="shared" si="57"/>
        <v>6</v>
      </c>
      <c r="H183" s="6">
        <f t="shared" si="58"/>
        <v>12.389999999999999</v>
      </c>
      <c r="I183" s="6">
        <f t="shared" si="59"/>
        <v>8.1549999999999994</v>
      </c>
      <c r="J183" s="6">
        <f t="shared" si="60"/>
        <v>6.870000000000001</v>
      </c>
      <c r="K183" s="6">
        <f t="shared" si="47"/>
        <v>33.415000000000006</v>
      </c>
      <c r="L183" s="9">
        <f t="shared" si="61"/>
        <v>0.23636363636363636</v>
      </c>
      <c r="M183" s="9">
        <f t="shared" si="62"/>
        <v>0.23636363636363636</v>
      </c>
      <c r="N183" s="9">
        <f t="shared" si="63"/>
        <v>0.2</v>
      </c>
      <c r="O183" s="9">
        <f t="shared" si="64"/>
        <v>0.21818181818181817</v>
      </c>
      <c r="P183" s="9">
        <f t="shared" si="65"/>
        <v>0.61818181818181817</v>
      </c>
    </row>
    <row r="184" spans="1:16" x14ac:dyDescent="0.25">
      <c r="A184" t="s">
        <v>111</v>
      </c>
      <c r="B184">
        <v>2020</v>
      </c>
      <c r="C184" s="8">
        <f>'1_Du_lieu'!F214</f>
        <v>34.1</v>
      </c>
      <c r="D184" s="8">
        <f>'1_Du_lieu'!G214</f>
        <v>42.2</v>
      </c>
      <c r="E184" s="8">
        <f>'1_Du_lieu'!H214</f>
        <v>40</v>
      </c>
      <c r="F184" s="8">
        <f>'1_Du_lieu'!I214</f>
        <v>67.8</v>
      </c>
      <c r="G184" s="6">
        <f t="shared" si="57"/>
        <v>6.82</v>
      </c>
      <c r="H184" s="6">
        <f t="shared" si="58"/>
        <v>14.77</v>
      </c>
      <c r="I184" s="6">
        <f t="shared" si="59"/>
        <v>14</v>
      </c>
      <c r="J184" s="6">
        <f t="shared" si="60"/>
        <v>6.78</v>
      </c>
      <c r="K184" s="6">
        <f t="shared" si="47"/>
        <v>42.370000000000005</v>
      </c>
      <c r="L184" s="9">
        <f t="shared" si="61"/>
        <v>0.63636363636363635</v>
      </c>
      <c r="M184" s="9">
        <f t="shared" si="62"/>
        <v>0.43636363636363634</v>
      </c>
      <c r="N184" s="9">
        <f t="shared" si="63"/>
        <v>0.45454545454545453</v>
      </c>
      <c r="O184" s="9">
        <f t="shared" si="64"/>
        <v>0.8</v>
      </c>
      <c r="P184" s="9">
        <f t="shared" si="65"/>
        <v>0.58181818181818179</v>
      </c>
    </row>
    <row r="185" spans="1:16" x14ac:dyDescent="0.25">
      <c r="A185" t="s">
        <v>112</v>
      </c>
      <c r="B185">
        <v>2020</v>
      </c>
      <c r="C185" s="8">
        <f>'1_Du_lieu'!F215</f>
        <v>37.200000000000003</v>
      </c>
      <c r="D185" s="8">
        <f>'1_Du_lieu'!G215</f>
        <v>62.2</v>
      </c>
      <c r="E185" s="8">
        <f>'1_Du_lieu'!H215</f>
        <v>30.8</v>
      </c>
      <c r="F185" s="8">
        <f>'1_Du_lieu'!I215</f>
        <v>74.8</v>
      </c>
      <c r="G185" s="6">
        <f t="shared" si="57"/>
        <v>7.4400000000000013</v>
      </c>
      <c r="H185" s="6">
        <f t="shared" si="58"/>
        <v>21.77</v>
      </c>
      <c r="I185" s="6">
        <f t="shared" si="59"/>
        <v>10.78</v>
      </c>
      <c r="J185" s="6">
        <f t="shared" si="60"/>
        <v>7.48</v>
      </c>
      <c r="K185" s="6">
        <f t="shared" si="47"/>
        <v>47.47</v>
      </c>
      <c r="L185" s="9">
        <f t="shared" si="61"/>
        <v>0.81818181818181823</v>
      </c>
      <c r="M185" s="9">
        <f t="shared" si="62"/>
        <v>0.74545454545454548</v>
      </c>
      <c r="N185" s="9">
        <f t="shared" si="63"/>
        <v>0.8545454545454545</v>
      </c>
      <c r="O185" s="9">
        <f t="shared" si="64"/>
        <v>0.54545454545454541</v>
      </c>
      <c r="P185" s="9">
        <f t="shared" si="65"/>
        <v>0.87272727272727268</v>
      </c>
    </row>
    <row r="186" spans="1:16" x14ac:dyDescent="0.25">
      <c r="A186" t="s">
        <v>113</v>
      </c>
      <c r="B186">
        <v>2020</v>
      </c>
      <c r="C186" s="8">
        <f>'1_Du_lieu'!F216</f>
        <v>45.5</v>
      </c>
      <c r="D186" s="8">
        <f>'1_Du_lieu'!G216</f>
        <v>74</v>
      </c>
      <c r="E186" s="8">
        <f>'1_Du_lieu'!H216</f>
        <v>51.1</v>
      </c>
      <c r="F186" s="8">
        <f>'1_Du_lieu'!I216</f>
        <v>77.099999999999994</v>
      </c>
      <c r="G186" s="6">
        <f t="shared" si="57"/>
        <v>9.1</v>
      </c>
      <c r="H186" s="6">
        <f t="shared" si="58"/>
        <v>25.9</v>
      </c>
      <c r="I186" s="6">
        <f t="shared" si="59"/>
        <v>17.884999999999998</v>
      </c>
      <c r="J186" s="6">
        <f t="shared" si="60"/>
        <v>7.71</v>
      </c>
      <c r="K186" s="6">
        <f t="shared" si="47"/>
        <v>60.594999999999999</v>
      </c>
      <c r="L186" s="9">
        <f t="shared" si="61"/>
        <v>0.96363636363636362</v>
      </c>
      <c r="M186" s="9">
        <f t="shared" si="62"/>
        <v>0.96363636363636362</v>
      </c>
      <c r="N186" s="9">
        <f t="shared" si="63"/>
        <v>0.94545454545454544</v>
      </c>
      <c r="O186" s="9">
        <f t="shared" si="64"/>
        <v>0.94545454545454544</v>
      </c>
      <c r="P186" s="9">
        <f t="shared" si="65"/>
        <v>0.96363636363636362</v>
      </c>
    </row>
    <row r="187" spans="1:16" x14ac:dyDescent="0.25">
      <c r="A187" t="s">
        <v>115</v>
      </c>
      <c r="B187">
        <v>2020</v>
      </c>
      <c r="C187" s="8">
        <f>'1_Du_lieu'!F218</f>
        <v>38.200000000000003</v>
      </c>
      <c r="D187" s="8">
        <f>'1_Du_lieu'!G218</f>
        <v>53.4</v>
      </c>
      <c r="E187" s="8">
        <f>'1_Du_lieu'!H218</f>
        <v>34.6</v>
      </c>
      <c r="F187" s="8">
        <f>'1_Du_lieu'!I218</f>
        <v>49.2</v>
      </c>
      <c r="G187" s="6">
        <f t="shared" si="57"/>
        <v>7.6400000000000006</v>
      </c>
      <c r="H187" s="6">
        <f t="shared" si="58"/>
        <v>18.689999999999998</v>
      </c>
      <c r="I187" s="6">
        <f t="shared" si="59"/>
        <v>12.11</v>
      </c>
      <c r="J187" s="6">
        <f t="shared" si="60"/>
        <v>4.9200000000000008</v>
      </c>
      <c r="K187" s="6">
        <f t="shared" si="47"/>
        <v>43.36</v>
      </c>
      <c r="L187" s="9">
        <f t="shared" si="61"/>
        <v>0.72727272727272729</v>
      </c>
      <c r="M187" s="9">
        <f t="shared" si="62"/>
        <v>0.78181818181818186</v>
      </c>
      <c r="N187" s="9">
        <f t="shared" si="63"/>
        <v>0.8</v>
      </c>
      <c r="O187" s="9">
        <f t="shared" si="64"/>
        <v>0.61818181818181817</v>
      </c>
      <c r="P187" s="9">
        <f t="shared" si="65"/>
        <v>7.2727272727272724E-2</v>
      </c>
    </row>
    <row r="188" spans="1:16" x14ac:dyDescent="0.25">
      <c r="A188" t="s">
        <v>116</v>
      </c>
      <c r="B188">
        <v>2020</v>
      </c>
      <c r="C188" s="8">
        <f>'1_Du_lieu'!F219</f>
        <v>31.8</v>
      </c>
      <c r="D188" s="8">
        <f>'1_Du_lieu'!G219</f>
        <v>49.8</v>
      </c>
      <c r="E188" s="8">
        <f>'1_Du_lieu'!H219</f>
        <v>25.3</v>
      </c>
      <c r="F188" s="8">
        <f>'1_Du_lieu'!I219</f>
        <v>54.1</v>
      </c>
      <c r="G188" s="6">
        <f t="shared" si="57"/>
        <v>6.36</v>
      </c>
      <c r="H188" s="6">
        <f t="shared" si="58"/>
        <v>17.429999999999996</v>
      </c>
      <c r="I188" s="6">
        <f t="shared" si="59"/>
        <v>8.8550000000000004</v>
      </c>
      <c r="J188" s="6">
        <f t="shared" si="60"/>
        <v>5.41</v>
      </c>
      <c r="K188" s="6">
        <f t="shared" si="47"/>
        <v>38.054999999999993</v>
      </c>
      <c r="L188" s="9">
        <f t="shared" si="61"/>
        <v>0.4</v>
      </c>
      <c r="M188" s="9">
        <f t="shared" si="62"/>
        <v>0.36363636363636365</v>
      </c>
      <c r="N188" s="9">
        <f t="shared" si="63"/>
        <v>0.74545454545454548</v>
      </c>
      <c r="O188" s="9">
        <f t="shared" si="64"/>
        <v>0.30909090909090908</v>
      </c>
      <c r="P188" s="9">
        <f t="shared" si="65"/>
        <v>0.14545454545454545</v>
      </c>
    </row>
    <row r="189" spans="1:16" x14ac:dyDescent="0.25">
      <c r="A189" t="s">
        <v>117</v>
      </c>
      <c r="B189">
        <v>2020</v>
      </c>
      <c r="C189" s="8">
        <f>'1_Du_lieu'!F220</f>
        <v>27.8</v>
      </c>
      <c r="D189" s="8">
        <f>'1_Du_lieu'!G220</f>
        <v>31.6</v>
      </c>
      <c r="E189" s="8">
        <f>'1_Du_lieu'!H220</f>
        <v>22.4</v>
      </c>
      <c r="F189" s="8">
        <f>'1_Du_lieu'!I220</f>
        <v>66.900000000000006</v>
      </c>
      <c r="G189" s="6">
        <f t="shared" si="57"/>
        <v>5.5600000000000005</v>
      </c>
      <c r="H189" s="6">
        <f t="shared" si="58"/>
        <v>11.06</v>
      </c>
      <c r="I189" s="6">
        <f t="shared" si="59"/>
        <v>7.839999999999999</v>
      </c>
      <c r="J189" s="6">
        <f t="shared" si="60"/>
        <v>6.6900000000000013</v>
      </c>
      <c r="K189" s="6">
        <f t="shared" si="47"/>
        <v>31.150000000000002</v>
      </c>
      <c r="L189" s="9">
        <f t="shared" si="61"/>
        <v>0.10909090909090909</v>
      </c>
      <c r="M189" s="9">
        <f t="shared" si="62"/>
        <v>0.15454545454545454</v>
      </c>
      <c r="N189" s="9">
        <f t="shared" si="63"/>
        <v>0.10909090909090909</v>
      </c>
      <c r="O189" s="9">
        <f t="shared" si="64"/>
        <v>0.18181818181818182</v>
      </c>
      <c r="P189" s="9">
        <f t="shared" si="65"/>
        <v>0.49090909090909091</v>
      </c>
    </row>
    <row r="190" spans="1:16" x14ac:dyDescent="0.25">
      <c r="A190" t="s">
        <v>119</v>
      </c>
      <c r="B190">
        <v>2020</v>
      </c>
      <c r="C190" s="8">
        <f>'1_Du_lieu'!F222</f>
        <v>30.1</v>
      </c>
      <c r="D190" s="8">
        <f>'1_Du_lieu'!G222</f>
        <v>44</v>
      </c>
      <c r="E190" s="8">
        <f>'1_Du_lieu'!H222</f>
        <v>43.8</v>
      </c>
      <c r="F190" s="8">
        <f>'1_Du_lieu'!I222</f>
        <v>62.5</v>
      </c>
      <c r="G190" s="6">
        <f t="shared" si="57"/>
        <v>6.0200000000000005</v>
      </c>
      <c r="H190" s="6">
        <f t="shared" si="58"/>
        <v>15.399999999999999</v>
      </c>
      <c r="I190" s="6">
        <f t="shared" si="59"/>
        <v>15.329999999999998</v>
      </c>
      <c r="J190" s="6">
        <f t="shared" si="60"/>
        <v>6.25</v>
      </c>
      <c r="K190" s="6">
        <f t="shared" si="47"/>
        <v>43</v>
      </c>
      <c r="L190" s="9">
        <f t="shared" si="61"/>
        <v>0.69090909090909092</v>
      </c>
      <c r="M190" s="9">
        <f t="shared" si="62"/>
        <v>0.25454545454545452</v>
      </c>
      <c r="N190" s="9">
        <f t="shared" si="63"/>
        <v>0.5636363636363636</v>
      </c>
      <c r="O190" s="9">
        <f t="shared" si="64"/>
        <v>0.89090909090909087</v>
      </c>
      <c r="P190" s="9">
        <f t="shared" si="65"/>
        <v>0.30909090909090908</v>
      </c>
    </row>
    <row r="191" spans="1:16" x14ac:dyDescent="0.25">
      <c r="A191" t="s">
        <v>120</v>
      </c>
      <c r="B191">
        <v>2020</v>
      </c>
      <c r="C191" s="8">
        <f>'1_Du_lieu'!F223</f>
        <v>39.200000000000003</v>
      </c>
      <c r="D191" s="8">
        <f>'1_Du_lieu'!G223</f>
        <v>33.799999999999997</v>
      </c>
      <c r="E191" s="8">
        <f>'1_Du_lieu'!H223</f>
        <v>27</v>
      </c>
      <c r="F191" s="8">
        <f>'1_Du_lieu'!I223</f>
        <v>69.8</v>
      </c>
      <c r="G191" s="6">
        <f t="shared" si="57"/>
        <v>7.8400000000000007</v>
      </c>
      <c r="H191" s="6">
        <f t="shared" si="58"/>
        <v>11.829999999999998</v>
      </c>
      <c r="I191" s="6">
        <f t="shared" si="59"/>
        <v>9.4499999999999993</v>
      </c>
      <c r="J191" s="6">
        <f t="shared" si="60"/>
        <v>6.98</v>
      </c>
      <c r="K191" s="6">
        <f t="shared" si="47"/>
        <v>36.099999999999994</v>
      </c>
      <c r="L191" s="9">
        <f t="shared" si="61"/>
        <v>0.32727272727272727</v>
      </c>
      <c r="M191" s="9">
        <f t="shared" si="62"/>
        <v>0.83636363636363631</v>
      </c>
      <c r="N191" s="9">
        <f t="shared" si="63"/>
        <v>0.16363636363636364</v>
      </c>
      <c r="O191" s="9">
        <f t="shared" si="64"/>
        <v>0.36363636363636365</v>
      </c>
      <c r="P191" s="9">
        <f t="shared" si="65"/>
        <v>0.69090909090909092</v>
      </c>
    </row>
    <row r="192" spans="1:16" x14ac:dyDescent="0.25">
      <c r="A192" t="s">
        <v>121</v>
      </c>
      <c r="B192">
        <v>2020</v>
      </c>
      <c r="C192" s="8">
        <f>'1_Du_lieu'!F224</f>
        <v>33.5</v>
      </c>
      <c r="D192" s="8">
        <f>'1_Du_lieu'!G224</f>
        <v>49.4</v>
      </c>
      <c r="E192" s="8">
        <f>'1_Du_lieu'!H224</f>
        <v>30.3</v>
      </c>
      <c r="F192" s="8">
        <f>'1_Du_lieu'!I224</f>
        <v>65.099999999999994</v>
      </c>
      <c r="G192" s="6">
        <f t="shared" si="57"/>
        <v>6.7</v>
      </c>
      <c r="H192" s="6">
        <f t="shared" si="58"/>
        <v>17.29</v>
      </c>
      <c r="I192" s="6">
        <f t="shared" si="59"/>
        <v>10.605</v>
      </c>
      <c r="J192" s="6">
        <f t="shared" si="60"/>
        <v>6.51</v>
      </c>
      <c r="K192" s="6">
        <f t="shared" si="47"/>
        <v>41.104999999999997</v>
      </c>
      <c r="L192" s="9">
        <f t="shared" si="61"/>
        <v>0.58181818181818179</v>
      </c>
      <c r="M192" s="9">
        <f t="shared" si="62"/>
        <v>0.38181818181818183</v>
      </c>
      <c r="N192" s="9">
        <f t="shared" si="63"/>
        <v>0.72727272727272729</v>
      </c>
      <c r="O192" s="9">
        <f t="shared" si="64"/>
        <v>0.49090909090909091</v>
      </c>
      <c r="P192" s="9">
        <f t="shared" si="65"/>
        <v>0.36363636363636365</v>
      </c>
    </row>
    <row r="193" spans="1:16" x14ac:dyDescent="0.25">
      <c r="A193" t="s">
        <v>122</v>
      </c>
      <c r="B193">
        <v>2020</v>
      </c>
      <c r="C193" s="8">
        <f>'1_Du_lieu'!F225</f>
        <v>25.7</v>
      </c>
      <c r="D193" s="8">
        <f>'1_Du_lieu'!G225</f>
        <v>27.7</v>
      </c>
      <c r="E193" s="8">
        <f>'1_Du_lieu'!H225</f>
        <v>24.8</v>
      </c>
      <c r="F193" s="8">
        <f>'1_Du_lieu'!I225</f>
        <v>57.5</v>
      </c>
      <c r="G193" s="6">
        <f t="shared" si="57"/>
        <v>5.1400000000000006</v>
      </c>
      <c r="H193" s="6">
        <f t="shared" si="58"/>
        <v>9.6949999999999985</v>
      </c>
      <c r="I193" s="6">
        <f t="shared" si="59"/>
        <v>8.68</v>
      </c>
      <c r="J193" s="6">
        <f t="shared" si="60"/>
        <v>5.75</v>
      </c>
      <c r="K193" s="6">
        <f t="shared" si="47"/>
        <v>29.265000000000001</v>
      </c>
      <c r="L193" s="9">
        <f t="shared" si="61"/>
        <v>5.4545454545454543E-2</v>
      </c>
      <c r="M193" s="9">
        <f t="shared" si="62"/>
        <v>9.0909090909090912E-2</v>
      </c>
      <c r="N193" s="9">
        <f t="shared" si="63"/>
        <v>5.4545454545454543E-2</v>
      </c>
      <c r="O193" s="9">
        <f t="shared" si="64"/>
        <v>0.27272727272727271</v>
      </c>
      <c r="P193" s="9">
        <f t="shared" si="65"/>
        <v>0.16363636363636364</v>
      </c>
    </row>
    <row r="194" spans="1:16" x14ac:dyDescent="0.25">
      <c r="A194" t="s">
        <v>123</v>
      </c>
      <c r="B194">
        <v>2020</v>
      </c>
      <c r="C194" s="8">
        <f>'1_Du_lieu'!F226</f>
        <v>36.1</v>
      </c>
      <c r="D194" s="8">
        <f>'1_Du_lieu'!G226</f>
        <v>50.8</v>
      </c>
      <c r="E194" s="8">
        <f>'1_Du_lieu'!H226</f>
        <v>24.9</v>
      </c>
      <c r="F194" s="8">
        <f>'1_Du_lieu'!I226</f>
        <v>69.599999999999994</v>
      </c>
      <c r="G194" s="6">
        <f t="shared" si="57"/>
        <v>7.2200000000000006</v>
      </c>
      <c r="H194" s="6">
        <f t="shared" si="58"/>
        <v>17.779999999999998</v>
      </c>
      <c r="I194" s="6">
        <f t="shared" si="59"/>
        <v>8.7149999999999981</v>
      </c>
      <c r="J194" s="6">
        <f t="shared" si="60"/>
        <v>6.96</v>
      </c>
      <c r="K194" s="6">
        <f t="shared" si="47"/>
        <v>40.674999999999997</v>
      </c>
      <c r="L194" s="9">
        <f t="shared" si="61"/>
        <v>0.5636363636363636</v>
      </c>
      <c r="M194" s="9">
        <f t="shared" si="62"/>
        <v>0.66363636363636369</v>
      </c>
      <c r="N194" s="9">
        <f t="shared" si="63"/>
        <v>0.76363636363636367</v>
      </c>
      <c r="O194" s="9">
        <f t="shared" si="64"/>
        <v>0.29090909090909089</v>
      </c>
      <c r="P194" s="9">
        <f t="shared" si="65"/>
        <v>0.67272727272727273</v>
      </c>
    </row>
    <row r="195" spans="1:16" x14ac:dyDescent="0.25">
      <c r="A195" t="s">
        <v>124</v>
      </c>
      <c r="B195">
        <v>2020</v>
      </c>
      <c r="C195" s="8">
        <f>'1_Du_lieu'!F227</f>
        <v>39.299999999999997</v>
      </c>
      <c r="D195" s="8">
        <f>'1_Du_lieu'!G227</f>
        <v>43.5</v>
      </c>
      <c r="E195" s="8">
        <f>'1_Du_lieu'!H227</f>
        <v>45.1</v>
      </c>
      <c r="F195" s="8">
        <f>'1_Du_lieu'!I227</f>
        <v>74.2</v>
      </c>
      <c r="G195" s="6">
        <f t="shared" si="57"/>
        <v>7.8599999999999994</v>
      </c>
      <c r="H195" s="6">
        <f t="shared" si="58"/>
        <v>15.225</v>
      </c>
      <c r="I195" s="6">
        <f t="shared" si="59"/>
        <v>15.785</v>
      </c>
      <c r="J195" s="6">
        <f t="shared" si="60"/>
        <v>7.4200000000000008</v>
      </c>
      <c r="K195" s="6">
        <f t="shared" si="47"/>
        <v>46.290000000000006</v>
      </c>
      <c r="L195" s="9">
        <f t="shared" si="61"/>
        <v>0.8</v>
      </c>
      <c r="M195" s="9">
        <f t="shared" si="62"/>
        <v>0.8545454545454545</v>
      </c>
      <c r="N195" s="9">
        <f t="shared" si="63"/>
        <v>0.52727272727272723</v>
      </c>
      <c r="O195" s="9">
        <f t="shared" si="64"/>
        <v>0.90909090909090906</v>
      </c>
      <c r="P195" s="9">
        <f t="shared" si="65"/>
        <v>0.81818181818181823</v>
      </c>
    </row>
    <row r="196" spans="1:16" x14ac:dyDescent="0.25">
      <c r="A196" t="s">
        <v>125</v>
      </c>
      <c r="B196">
        <v>2020</v>
      </c>
      <c r="C196" s="8">
        <f>'1_Du_lieu'!F228</f>
        <v>35.5</v>
      </c>
      <c r="D196" s="8">
        <f>'1_Du_lieu'!G228</f>
        <v>47.3</v>
      </c>
      <c r="E196" s="8">
        <f>'1_Du_lieu'!H228</f>
        <v>36.200000000000003</v>
      </c>
      <c r="F196" s="8">
        <f>'1_Du_lieu'!I228</f>
        <v>68.8</v>
      </c>
      <c r="G196" s="6">
        <f t="shared" si="57"/>
        <v>7.1000000000000005</v>
      </c>
      <c r="H196" s="6">
        <f t="shared" si="58"/>
        <v>16.555</v>
      </c>
      <c r="I196" s="6">
        <f t="shared" si="59"/>
        <v>12.67</v>
      </c>
      <c r="J196" s="6">
        <f t="shared" si="60"/>
        <v>6.88</v>
      </c>
      <c r="K196" s="6">
        <f t="shared" si="47"/>
        <v>43.205000000000005</v>
      </c>
      <c r="L196" s="9">
        <f t="shared" si="61"/>
        <v>0.70909090909090911</v>
      </c>
      <c r="M196" s="9">
        <f t="shared" si="62"/>
        <v>0.60909090909090913</v>
      </c>
      <c r="N196" s="9">
        <f t="shared" si="63"/>
        <v>0.67272727272727273</v>
      </c>
      <c r="O196" s="9">
        <f t="shared" si="64"/>
        <v>0.67272727272727273</v>
      </c>
      <c r="P196" s="9">
        <f t="shared" si="65"/>
        <v>0.6454545454545455</v>
      </c>
    </row>
    <row r="197" spans="1:16" x14ac:dyDescent="0.25">
      <c r="A197" t="s">
        <v>126</v>
      </c>
      <c r="B197">
        <v>2020</v>
      </c>
      <c r="C197" s="8">
        <f>'1_Du_lieu'!F229</f>
        <v>31.5</v>
      </c>
      <c r="D197" s="8">
        <f>'1_Du_lieu'!G229</f>
        <v>44.6</v>
      </c>
      <c r="E197" s="8">
        <f>'1_Du_lieu'!H229</f>
        <v>20.6</v>
      </c>
      <c r="F197" s="8">
        <f>'1_Du_lieu'!I229</f>
        <v>49</v>
      </c>
      <c r="G197" s="6">
        <f t="shared" si="57"/>
        <v>6.3000000000000007</v>
      </c>
      <c r="H197" s="6">
        <f t="shared" si="58"/>
        <v>15.61</v>
      </c>
      <c r="I197" s="6">
        <f t="shared" si="59"/>
        <v>7.21</v>
      </c>
      <c r="J197" s="6">
        <f t="shared" si="60"/>
        <v>4.9000000000000004</v>
      </c>
      <c r="K197" s="6">
        <f t="shared" ref="K197:K260" si="66">SUM(G197:J197)</f>
        <v>34.020000000000003</v>
      </c>
      <c r="L197" s="9">
        <f t="shared" si="61"/>
        <v>0.25454545454545452</v>
      </c>
      <c r="M197" s="9">
        <f t="shared" si="62"/>
        <v>0.34545454545454546</v>
      </c>
      <c r="N197" s="9">
        <f t="shared" si="63"/>
        <v>0.6</v>
      </c>
      <c r="O197" s="9">
        <f t="shared" si="64"/>
        <v>0.10909090909090909</v>
      </c>
      <c r="P197" s="9">
        <f t="shared" si="65"/>
        <v>5.4545454545454543E-2</v>
      </c>
    </row>
    <row r="198" spans="1:16" x14ac:dyDescent="0.25">
      <c r="A198" t="s">
        <v>127</v>
      </c>
      <c r="B198">
        <v>2020</v>
      </c>
      <c r="C198" s="8">
        <f>'1_Du_lieu'!F230</f>
        <v>33.9</v>
      </c>
      <c r="D198" s="8">
        <f>'1_Du_lieu'!G230</f>
        <v>42.1</v>
      </c>
      <c r="E198" s="8">
        <f>'1_Du_lieu'!H230</f>
        <v>32</v>
      </c>
      <c r="F198" s="8">
        <f>'1_Du_lieu'!I230</f>
        <v>67.099999999999994</v>
      </c>
      <c r="G198" s="6">
        <f t="shared" si="57"/>
        <v>6.78</v>
      </c>
      <c r="H198" s="6">
        <f t="shared" si="58"/>
        <v>14.734999999999999</v>
      </c>
      <c r="I198" s="6">
        <f t="shared" si="59"/>
        <v>11.2</v>
      </c>
      <c r="J198" s="6">
        <f t="shared" si="60"/>
        <v>6.71</v>
      </c>
      <c r="K198" s="6">
        <f t="shared" si="66"/>
        <v>39.425000000000004</v>
      </c>
      <c r="L198" s="9">
        <f t="shared" si="61"/>
        <v>0.49090909090909091</v>
      </c>
      <c r="M198" s="9">
        <f t="shared" si="62"/>
        <v>0.41818181818181815</v>
      </c>
      <c r="N198" s="9">
        <f t="shared" si="63"/>
        <v>0.42727272727272725</v>
      </c>
      <c r="O198" s="9">
        <f t="shared" si="64"/>
        <v>0.58181818181818179</v>
      </c>
      <c r="P198" s="9">
        <f t="shared" si="65"/>
        <v>0.50909090909090904</v>
      </c>
    </row>
    <row r="199" spans="1:16" x14ac:dyDescent="0.25">
      <c r="A199" t="s">
        <v>128</v>
      </c>
      <c r="B199">
        <v>2020</v>
      </c>
      <c r="C199" s="8">
        <f>'1_Du_lieu'!F231</f>
        <v>38.6</v>
      </c>
      <c r="D199" s="8">
        <f>'1_Du_lieu'!G231</f>
        <v>34.6</v>
      </c>
      <c r="E199" s="8">
        <f>'1_Du_lieu'!H231</f>
        <v>25.6</v>
      </c>
      <c r="F199" s="8">
        <f>'1_Du_lieu'!I231</f>
        <v>67.400000000000006</v>
      </c>
      <c r="G199" s="6">
        <f t="shared" ref="G199:G221" si="67">C199*$AC$7</f>
        <v>7.7200000000000006</v>
      </c>
      <c r="H199" s="6">
        <f t="shared" ref="H199:H221" si="68">D199*$AD$7</f>
        <v>12.11</v>
      </c>
      <c r="I199" s="6">
        <f t="shared" ref="I199:I221" si="69">E199*$AE$7</f>
        <v>8.9599999999999991</v>
      </c>
      <c r="J199" s="6">
        <f t="shared" ref="J199:J221" si="70">F199*$AF$7</f>
        <v>6.7400000000000011</v>
      </c>
      <c r="K199" s="6">
        <f t="shared" si="66"/>
        <v>35.53</v>
      </c>
      <c r="L199" s="9">
        <f t="shared" ref="L199:L230" si="71">_xlfn.RANK.AVG(K199,$K$167:$K$221,1)/55</f>
        <v>0.30909090909090908</v>
      </c>
      <c r="M199" s="9">
        <f t="shared" ref="M199:M221" si="72">_xlfn.RANK.AVG(G199,$G$167:$G$221,1)/55</f>
        <v>0.81818181818181823</v>
      </c>
      <c r="N199" s="9">
        <f t="shared" ref="N199:N221" si="73">_xlfn.RANK.AVG(H199,$H$167:$H$221,1)/55</f>
        <v>0.18181818181818182</v>
      </c>
      <c r="O199" s="9">
        <f t="shared" ref="O199:O221" si="74">_xlfn.RANK.AVG(I199,$I$167:$I$221,1)/55</f>
        <v>0.32727272727272727</v>
      </c>
      <c r="P199" s="9">
        <f t="shared" ref="P199:P221" si="75">_xlfn.RANK.AVG(J199,$J$167:$J$221,1)/55</f>
        <v>0.52727272727272723</v>
      </c>
    </row>
    <row r="200" spans="1:16" x14ac:dyDescent="0.25">
      <c r="A200" t="s">
        <v>129</v>
      </c>
      <c r="B200">
        <v>2020</v>
      </c>
      <c r="C200" s="8">
        <f>'1_Du_lieu'!F232</f>
        <v>28.6</v>
      </c>
      <c r="D200" s="8">
        <f>'1_Du_lieu'!G232</f>
        <v>41.4</v>
      </c>
      <c r="E200" s="8">
        <f>'1_Du_lieu'!H232</f>
        <v>19.600000000000001</v>
      </c>
      <c r="F200" s="8">
        <f>'1_Du_lieu'!I232</f>
        <v>53</v>
      </c>
      <c r="G200" s="6">
        <f t="shared" si="67"/>
        <v>5.7200000000000006</v>
      </c>
      <c r="H200" s="6">
        <f t="shared" si="68"/>
        <v>14.489999999999998</v>
      </c>
      <c r="I200" s="6">
        <f t="shared" si="69"/>
        <v>6.86</v>
      </c>
      <c r="J200" s="6">
        <f t="shared" si="70"/>
        <v>5.3000000000000007</v>
      </c>
      <c r="K200" s="6">
        <f t="shared" si="66"/>
        <v>32.370000000000005</v>
      </c>
      <c r="L200" s="9">
        <f t="shared" si="71"/>
        <v>0.2</v>
      </c>
      <c r="M200" s="9">
        <f t="shared" si="72"/>
        <v>0.2</v>
      </c>
      <c r="N200" s="9">
        <f t="shared" si="73"/>
        <v>0.4</v>
      </c>
      <c r="O200" s="9">
        <f t="shared" si="74"/>
        <v>7.2727272727272724E-2</v>
      </c>
      <c r="P200" s="9">
        <f t="shared" si="75"/>
        <v>0.10909090909090909</v>
      </c>
    </row>
    <row r="201" spans="1:16" x14ac:dyDescent="0.25">
      <c r="A201" t="s">
        <v>130</v>
      </c>
      <c r="B201">
        <v>2020</v>
      </c>
      <c r="C201" s="8">
        <f>'1_Du_lieu'!F233</f>
        <v>35.299999999999997</v>
      </c>
      <c r="D201" s="8">
        <f>'1_Du_lieu'!G233</f>
        <v>42.6</v>
      </c>
      <c r="E201" s="8">
        <f>'1_Du_lieu'!H233</f>
        <v>29.2</v>
      </c>
      <c r="F201" s="8">
        <f>'1_Du_lieu'!I233</f>
        <v>76.099999999999994</v>
      </c>
      <c r="G201" s="6">
        <f t="shared" si="67"/>
        <v>7.06</v>
      </c>
      <c r="H201" s="6">
        <f t="shared" si="68"/>
        <v>14.91</v>
      </c>
      <c r="I201" s="6">
        <f t="shared" si="69"/>
        <v>10.219999999999999</v>
      </c>
      <c r="J201" s="6">
        <f t="shared" si="70"/>
        <v>7.6099999999999994</v>
      </c>
      <c r="K201" s="6">
        <f t="shared" si="66"/>
        <v>39.799999999999997</v>
      </c>
      <c r="L201" s="9">
        <f t="shared" si="71"/>
        <v>0.50909090909090904</v>
      </c>
      <c r="M201" s="9">
        <f t="shared" si="72"/>
        <v>0.5636363636363636</v>
      </c>
      <c r="N201" s="9">
        <f t="shared" si="73"/>
        <v>0.47272727272727272</v>
      </c>
      <c r="O201" s="9">
        <f t="shared" si="74"/>
        <v>0.43636363636363634</v>
      </c>
      <c r="P201" s="9">
        <f t="shared" si="75"/>
        <v>0.92727272727272725</v>
      </c>
    </row>
    <row r="202" spans="1:16" x14ac:dyDescent="0.25">
      <c r="A202" t="s">
        <v>131</v>
      </c>
      <c r="B202">
        <v>2020</v>
      </c>
      <c r="C202" s="8">
        <f>'1_Du_lieu'!F234</f>
        <v>31.2</v>
      </c>
      <c r="D202" s="8">
        <f>'1_Du_lieu'!G234</f>
        <v>36.5</v>
      </c>
      <c r="E202" s="8">
        <f>'1_Du_lieu'!H234</f>
        <v>28.9</v>
      </c>
      <c r="F202" s="8">
        <f>'1_Du_lieu'!I234</f>
        <v>58.6</v>
      </c>
      <c r="G202" s="6">
        <f t="shared" si="67"/>
        <v>6.24</v>
      </c>
      <c r="H202" s="6">
        <f t="shared" si="68"/>
        <v>12.774999999999999</v>
      </c>
      <c r="I202" s="6">
        <f t="shared" si="69"/>
        <v>10.114999999999998</v>
      </c>
      <c r="J202" s="6">
        <f t="shared" si="70"/>
        <v>5.86</v>
      </c>
      <c r="K202" s="6">
        <f t="shared" si="66"/>
        <v>34.99</v>
      </c>
      <c r="L202" s="9">
        <f t="shared" si="71"/>
        <v>0.29090909090909089</v>
      </c>
      <c r="M202" s="9">
        <f t="shared" si="72"/>
        <v>0.30909090909090908</v>
      </c>
      <c r="N202" s="9">
        <f t="shared" si="73"/>
        <v>0.25454545454545452</v>
      </c>
      <c r="O202" s="9">
        <f t="shared" si="74"/>
        <v>0.40909090909090912</v>
      </c>
      <c r="P202" s="9">
        <f t="shared" si="75"/>
        <v>0.2</v>
      </c>
    </row>
    <row r="203" spans="1:16" x14ac:dyDescent="0.25">
      <c r="A203" t="s">
        <v>132</v>
      </c>
      <c r="B203">
        <v>2020</v>
      </c>
      <c r="C203" s="8">
        <f>'1_Du_lieu'!F235</f>
        <v>38</v>
      </c>
      <c r="D203" s="8">
        <f>'1_Du_lieu'!G235</f>
        <v>56.5</v>
      </c>
      <c r="E203" s="8">
        <f>'1_Du_lieu'!H235</f>
        <v>42</v>
      </c>
      <c r="F203" s="8">
        <f>'1_Du_lieu'!I235</f>
        <v>72</v>
      </c>
      <c r="G203" s="6">
        <f t="shared" si="67"/>
        <v>7.6000000000000005</v>
      </c>
      <c r="H203" s="6">
        <f t="shared" si="68"/>
        <v>19.774999999999999</v>
      </c>
      <c r="I203" s="6">
        <f t="shared" si="69"/>
        <v>14.7</v>
      </c>
      <c r="J203" s="6">
        <f t="shared" si="70"/>
        <v>7.2</v>
      </c>
      <c r="K203" s="6">
        <f t="shared" si="66"/>
        <v>49.275000000000006</v>
      </c>
      <c r="L203" s="9">
        <f t="shared" si="71"/>
        <v>0.87272727272727268</v>
      </c>
      <c r="M203" s="9">
        <f t="shared" si="72"/>
        <v>0.76363636363636367</v>
      </c>
      <c r="N203" s="9">
        <f t="shared" si="73"/>
        <v>0.83636363636363631</v>
      </c>
      <c r="O203" s="9">
        <f t="shared" si="74"/>
        <v>0.86363636363636365</v>
      </c>
      <c r="P203" s="9">
        <f t="shared" si="75"/>
        <v>0.70909090909090911</v>
      </c>
    </row>
    <row r="204" spans="1:16" x14ac:dyDescent="0.25">
      <c r="A204" t="s">
        <v>133</v>
      </c>
      <c r="B204">
        <v>2020</v>
      </c>
      <c r="C204" s="8">
        <f>'1_Du_lieu'!F236</f>
        <v>25.2</v>
      </c>
      <c r="D204" s="8">
        <f>'1_Du_lieu'!G236</f>
        <v>33.6</v>
      </c>
      <c r="E204" s="8">
        <f>'1_Du_lieu'!H236</f>
        <v>26.3</v>
      </c>
      <c r="F204" s="8">
        <f>'1_Du_lieu'!I236</f>
        <v>52.2</v>
      </c>
      <c r="G204" s="6">
        <f t="shared" si="67"/>
        <v>5.04</v>
      </c>
      <c r="H204" s="6">
        <f t="shared" si="68"/>
        <v>11.76</v>
      </c>
      <c r="I204" s="6">
        <f t="shared" si="69"/>
        <v>9.2050000000000001</v>
      </c>
      <c r="J204" s="6">
        <f t="shared" si="70"/>
        <v>5.2200000000000006</v>
      </c>
      <c r="K204" s="6">
        <f t="shared" si="66"/>
        <v>31.225000000000001</v>
      </c>
      <c r="L204" s="9">
        <f t="shared" si="71"/>
        <v>0.12727272727272726</v>
      </c>
      <c r="M204" s="9">
        <f t="shared" si="72"/>
        <v>7.2727272727272724E-2</v>
      </c>
      <c r="N204" s="9">
        <f t="shared" si="73"/>
        <v>0.14545454545454545</v>
      </c>
      <c r="O204" s="9">
        <f t="shared" si="74"/>
        <v>0.34545454545454546</v>
      </c>
      <c r="P204" s="9">
        <f t="shared" si="75"/>
        <v>9.0909090909090912E-2</v>
      </c>
    </row>
    <row r="205" spans="1:16" x14ac:dyDescent="0.25">
      <c r="A205" t="s">
        <v>136</v>
      </c>
      <c r="B205">
        <v>2020</v>
      </c>
      <c r="C205" s="8">
        <f>'1_Du_lieu'!F239</f>
        <v>87.7</v>
      </c>
      <c r="D205" s="8">
        <f>'1_Du_lieu'!G239</f>
        <v>89.8</v>
      </c>
      <c r="E205" s="8">
        <f>'1_Du_lieu'!H239</f>
        <v>90.1</v>
      </c>
      <c r="F205" s="8">
        <f>'1_Du_lieu'!I239</f>
        <v>86</v>
      </c>
      <c r="G205" s="6">
        <f t="shared" si="67"/>
        <v>17.540000000000003</v>
      </c>
      <c r="H205" s="6">
        <f t="shared" si="68"/>
        <v>31.429999999999996</v>
      </c>
      <c r="I205" s="6">
        <f t="shared" si="69"/>
        <v>31.534999999999997</v>
      </c>
      <c r="J205" s="6">
        <f t="shared" si="70"/>
        <v>8.6</v>
      </c>
      <c r="K205" s="6">
        <f t="shared" si="66"/>
        <v>89.10499999999999</v>
      </c>
      <c r="L205" s="9">
        <f t="shared" si="71"/>
        <v>1</v>
      </c>
      <c r="M205" s="9">
        <f t="shared" si="72"/>
        <v>0.98181818181818181</v>
      </c>
      <c r="N205" s="9">
        <f t="shared" si="73"/>
        <v>1</v>
      </c>
      <c r="O205" s="9">
        <f t="shared" si="74"/>
        <v>1</v>
      </c>
      <c r="P205" s="9">
        <f t="shared" si="75"/>
        <v>1</v>
      </c>
    </row>
    <row r="206" spans="1:16" x14ac:dyDescent="0.25">
      <c r="A206" t="s">
        <v>137</v>
      </c>
      <c r="B206">
        <v>2020</v>
      </c>
      <c r="C206" s="8">
        <f>'1_Du_lieu'!F240</f>
        <v>36.1</v>
      </c>
      <c r="D206" s="8">
        <f>'1_Du_lieu'!G240</f>
        <v>43</v>
      </c>
      <c r="E206" s="8">
        <f>'1_Du_lieu'!H240</f>
        <v>41.3</v>
      </c>
      <c r="F206" s="8">
        <f>'1_Du_lieu'!I240</f>
        <v>60</v>
      </c>
      <c r="G206" s="6">
        <f t="shared" si="67"/>
        <v>7.2200000000000006</v>
      </c>
      <c r="H206" s="6">
        <f t="shared" si="68"/>
        <v>15.049999999999999</v>
      </c>
      <c r="I206" s="6">
        <f t="shared" si="69"/>
        <v>14.454999999999998</v>
      </c>
      <c r="J206" s="6">
        <f t="shared" si="70"/>
        <v>6</v>
      </c>
      <c r="K206" s="6">
        <f t="shared" si="66"/>
        <v>42.724999999999994</v>
      </c>
      <c r="L206" s="9">
        <f t="shared" si="71"/>
        <v>0.67272727272727273</v>
      </c>
      <c r="M206" s="9">
        <f t="shared" si="72"/>
        <v>0.66363636363636369</v>
      </c>
      <c r="N206" s="9">
        <f t="shared" si="73"/>
        <v>0.49090909090909091</v>
      </c>
      <c r="O206" s="9">
        <f t="shared" si="74"/>
        <v>0.83636363636363631</v>
      </c>
      <c r="P206" s="9">
        <f t="shared" si="75"/>
        <v>0.25454545454545452</v>
      </c>
    </row>
    <row r="207" spans="1:16" x14ac:dyDescent="0.25">
      <c r="A207" t="s">
        <v>138</v>
      </c>
      <c r="B207">
        <v>2020</v>
      </c>
      <c r="C207" s="8">
        <f>'1_Du_lieu'!F241</f>
        <v>35</v>
      </c>
      <c r="D207" s="8">
        <f>'1_Du_lieu'!G241</f>
        <v>39.299999999999997</v>
      </c>
      <c r="E207" s="8">
        <f>'1_Du_lieu'!H241</f>
        <v>30.9</v>
      </c>
      <c r="F207" s="8">
        <f>'1_Du_lieu'!I241</f>
        <v>68.8</v>
      </c>
      <c r="G207" s="6">
        <f t="shared" si="67"/>
        <v>7</v>
      </c>
      <c r="H207" s="6">
        <f t="shared" si="68"/>
        <v>13.754999999999999</v>
      </c>
      <c r="I207" s="6">
        <f t="shared" si="69"/>
        <v>10.815</v>
      </c>
      <c r="J207" s="6">
        <f t="shared" si="70"/>
        <v>6.88</v>
      </c>
      <c r="K207" s="6">
        <f t="shared" si="66"/>
        <v>38.450000000000003</v>
      </c>
      <c r="L207" s="9">
        <f t="shared" si="71"/>
        <v>0.41818181818181815</v>
      </c>
      <c r="M207" s="9">
        <f t="shared" si="72"/>
        <v>0.51818181818181819</v>
      </c>
      <c r="N207" s="9">
        <f t="shared" si="73"/>
        <v>0.32727272727272727</v>
      </c>
      <c r="O207" s="9">
        <f t="shared" si="74"/>
        <v>0.5636363636363636</v>
      </c>
      <c r="P207" s="9">
        <f t="shared" si="75"/>
        <v>0.6454545454545455</v>
      </c>
    </row>
    <row r="208" spans="1:16" x14ac:dyDescent="0.25">
      <c r="A208" t="s">
        <v>139</v>
      </c>
      <c r="B208">
        <v>2020</v>
      </c>
      <c r="C208" s="8">
        <f>'1_Du_lieu'!F242</f>
        <v>37.1</v>
      </c>
      <c r="D208" s="8">
        <f>'1_Du_lieu'!G242</f>
        <v>35.799999999999997</v>
      </c>
      <c r="E208" s="8">
        <f>'1_Du_lieu'!H242</f>
        <v>37.5</v>
      </c>
      <c r="F208" s="8">
        <f>'1_Du_lieu'!I242</f>
        <v>67.7</v>
      </c>
      <c r="G208" s="6">
        <f t="shared" si="67"/>
        <v>7.4200000000000008</v>
      </c>
      <c r="H208" s="6">
        <f t="shared" si="68"/>
        <v>12.529999999999998</v>
      </c>
      <c r="I208" s="6">
        <f t="shared" si="69"/>
        <v>13.125</v>
      </c>
      <c r="J208" s="6">
        <f t="shared" si="70"/>
        <v>6.7700000000000005</v>
      </c>
      <c r="K208" s="6">
        <f t="shared" si="66"/>
        <v>39.845000000000006</v>
      </c>
      <c r="L208" s="9">
        <f t="shared" si="71"/>
        <v>0.52727272727272723</v>
      </c>
      <c r="M208" s="9">
        <f t="shared" si="72"/>
        <v>0.70909090909090911</v>
      </c>
      <c r="N208" s="9">
        <f t="shared" si="73"/>
        <v>0.21818181818181817</v>
      </c>
      <c r="O208" s="9">
        <f t="shared" si="74"/>
        <v>0.70909090909090911</v>
      </c>
      <c r="P208" s="9">
        <f t="shared" si="75"/>
        <v>0.5636363636363636</v>
      </c>
    </row>
    <row r="209" spans="1:16" x14ac:dyDescent="0.25">
      <c r="A209" t="s">
        <v>140</v>
      </c>
      <c r="B209">
        <v>2020</v>
      </c>
      <c r="C209" s="8">
        <f>'1_Du_lieu'!F243</f>
        <v>35.799999999999997</v>
      </c>
      <c r="D209" s="8">
        <f>'1_Du_lieu'!G243</f>
        <v>48.7</v>
      </c>
      <c r="E209" s="8">
        <f>'1_Du_lieu'!H243</f>
        <v>27.4</v>
      </c>
      <c r="F209" s="8">
        <f>'1_Du_lieu'!I243</f>
        <v>74.099999999999994</v>
      </c>
      <c r="G209" s="6">
        <f t="shared" si="67"/>
        <v>7.16</v>
      </c>
      <c r="H209" s="6">
        <f t="shared" si="68"/>
        <v>17.044999999999998</v>
      </c>
      <c r="I209" s="6">
        <f t="shared" si="69"/>
        <v>9.5899999999999981</v>
      </c>
      <c r="J209" s="6">
        <f t="shared" si="70"/>
        <v>7.41</v>
      </c>
      <c r="K209" s="6">
        <f t="shared" si="66"/>
        <v>41.204999999999998</v>
      </c>
      <c r="L209" s="9">
        <f t="shared" si="71"/>
        <v>0.6</v>
      </c>
      <c r="M209" s="9">
        <f t="shared" si="72"/>
        <v>0.63636363636363635</v>
      </c>
      <c r="N209" s="9">
        <f t="shared" si="73"/>
        <v>0.70909090909090911</v>
      </c>
      <c r="O209" s="9">
        <f t="shared" si="74"/>
        <v>0.38181818181818183</v>
      </c>
      <c r="P209" s="9">
        <f t="shared" si="75"/>
        <v>0.8</v>
      </c>
    </row>
    <row r="210" spans="1:16" x14ac:dyDescent="0.25">
      <c r="A210" t="s">
        <v>141</v>
      </c>
      <c r="B210">
        <v>2020</v>
      </c>
      <c r="C210" s="8">
        <f>'1_Du_lieu'!F244</f>
        <v>35.4</v>
      </c>
      <c r="D210" s="8">
        <f>'1_Du_lieu'!G244</f>
        <v>42.1</v>
      </c>
      <c r="E210" s="8">
        <f>'1_Du_lieu'!H244</f>
        <v>30.6</v>
      </c>
      <c r="F210" s="8">
        <f>'1_Du_lieu'!I244</f>
        <v>75.099999999999994</v>
      </c>
      <c r="G210" s="6">
        <f t="shared" si="67"/>
        <v>7.08</v>
      </c>
      <c r="H210" s="6">
        <f t="shared" si="68"/>
        <v>14.734999999999999</v>
      </c>
      <c r="I210" s="6">
        <f t="shared" si="69"/>
        <v>10.709999999999999</v>
      </c>
      <c r="J210" s="6">
        <f t="shared" si="70"/>
        <v>7.51</v>
      </c>
      <c r="K210" s="6">
        <f t="shared" si="66"/>
        <v>40.034999999999997</v>
      </c>
      <c r="L210" s="9">
        <f t="shared" si="71"/>
        <v>0.54545454545454541</v>
      </c>
      <c r="M210" s="9">
        <f t="shared" si="72"/>
        <v>0.58181818181818179</v>
      </c>
      <c r="N210" s="9">
        <f t="shared" si="73"/>
        <v>0.42727272727272725</v>
      </c>
      <c r="O210" s="9">
        <f t="shared" si="74"/>
        <v>0.51818181818181819</v>
      </c>
      <c r="P210" s="9">
        <f t="shared" si="75"/>
        <v>0.89090909090909087</v>
      </c>
    </row>
    <row r="211" spans="1:16" x14ac:dyDescent="0.25">
      <c r="A211" t="s">
        <v>142</v>
      </c>
      <c r="B211">
        <v>2020</v>
      </c>
      <c r="C211" s="8">
        <f>'1_Du_lieu'!F245</f>
        <v>28.2</v>
      </c>
      <c r="D211" s="8">
        <f>'1_Du_lieu'!G245</f>
        <v>39.200000000000003</v>
      </c>
      <c r="E211" s="8">
        <f>'1_Du_lieu'!H245</f>
        <v>17.899999999999999</v>
      </c>
      <c r="F211" s="8">
        <f>'1_Du_lieu'!I245</f>
        <v>57.6</v>
      </c>
      <c r="G211" s="6">
        <f t="shared" si="67"/>
        <v>5.6400000000000006</v>
      </c>
      <c r="H211" s="6">
        <f t="shared" si="68"/>
        <v>13.72</v>
      </c>
      <c r="I211" s="6">
        <f t="shared" si="69"/>
        <v>6.2649999999999988</v>
      </c>
      <c r="J211" s="6">
        <f t="shared" si="70"/>
        <v>5.7600000000000007</v>
      </c>
      <c r="K211" s="6">
        <f t="shared" si="66"/>
        <v>31.385000000000002</v>
      </c>
      <c r="L211" s="9">
        <f t="shared" si="71"/>
        <v>0.14545454545454545</v>
      </c>
      <c r="M211" s="9">
        <f t="shared" si="72"/>
        <v>0.18181818181818182</v>
      </c>
      <c r="N211" s="9">
        <f t="shared" si="73"/>
        <v>0.3</v>
      </c>
      <c r="O211" s="9">
        <f t="shared" si="74"/>
        <v>1.8181818181818181E-2</v>
      </c>
      <c r="P211" s="9">
        <f t="shared" si="75"/>
        <v>0.18181818181818182</v>
      </c>
    </row>
    <row r="212" spans="1:16" x14ac:dyDescent="0.25">
      <c r="A212" t="s">
        <v>143</v>
      </c>
      <c r="B212">
        <v>2020</v>
      </c>
      <c r="C212" s="8">
        <f>'1_Du_lieu'!F246</f>
        <v>27.8</v>
      </c>
      <c r="D212" s="8">
        <f>'1_Du_lieu'!G246</f>
        <v>28.2</v>
      </c>
      <c r="E212" s="8">
        <f>'1_Du_lieu'!H246</f>
        <v>20.8</v>
      </c>
      <c r="F212" s="8">
        <f>'1_Du_lieu'!I246</f>
        <v>66.400000000000006</v>
      </c>
      <c r="G212" s="6">
        <f t="shared" si="67"/>
        <v>5.5600000000000005</v>
      </c>
      <c r="H212" s="6">
        <f t="shared" si="68"/>
        <v>9.8699999999999992</v>
      </c>
      <c r="I212" s="6">
        <f t="shared" si="69"/>
        <v>7.2799999999999994</v>
      </c>
      <c r="J212" s="6">
        <f t="shared" si="70"/>
        <v>6.6400000000000006</v>
      </c>
      <c r="K212" s="6">
        <f t="shared" si="66"/>
        <v>29.35</v>
      </c>
      <c r="L212" s="9">
        <f t="shared" si="71"/>
        <v>7.2727272727272724E-2</v>
      </c>
      <c r="M212" s="9">
        <f t="shared" si="72"/>
        <v>0.15454545454545454</v>
      </c>
      <c r="N212" s="9">
        <f t="shared" si="73"/>
        <v>7.2727272727272724E-2</v>
      </c>
      <c r="O212" s="9">
        <f t="shared" si="74"/>
        <v>0.12727272727272726</v>
      </c>
      <c r="P212" s="9">
        <f t="shared" si="75"/>
        <v>0.45454545454545453</v>
      </c>
    </row>
    <row r="213" spans="1:16" x14ac:dyDescent="0.25">
      <c r="A213" t="s">
        <v>144</v>
      </c>
      <c r="B213">
        <v>2020</v>
      </c>
      <c r="C213" s="8">
        <f>'1_Du_lieu'!F247</f>
        <v>28.9</v>
      </c>
      <c r="D213" s="8">
        <f>'1_Du_lieu'!G247</f>
        <v>51.7</v>
      </c>
      <c r="E213" s="8">
        <f>'1_Du_lieu'!H247</f>
        <v>23.5</v>
      </c>
      <c r="F213" s="8">
        <f>'1_Du_lieu'!I247</f>
        <v>73.099999999999994</v>
      </c>
      <c r="G213" s="6">
        <f t="shared" si="67"/>
        <v>5.78</v>
      </c>
      <c r="H213" s="6">
        <f t="shared" si="68"/>
        <v>18.094999999999999</v>
      </c>
      <c r="I213" s="6">
        <f t="shared" si="69"/>
        <v>8.2249999999999996</v>
      </c>
      <c r="J213" s="6">
        <f t="shared" si="70"/>
        <v>7.31</v>
      </c>
      <c r="K213" s="6">
        <f t="shared" si="66"/>
        <v>39.410000000000004</v>
      </c>
      <c r="L213" s="9">
        <f t="shared" si="71"/>
        <v>0.47272727272727272</v>
      </c>
      <c r="M213" s="9">
        <f t="shared" si="72"/>
        <v>0.21818181818181817</v>
      </c>
      <c r="N213" s="9">
        <f t="shared" si="73"/>
        <v>0.78181818181818186</v>
      </c>
      <c r="O213" s="9">
        <f t="shared" si="74"/>
        <v>0.23636363636363636</v>
      </c>
      <c r="P213" s="9">
        <f t="shared" si="75"/>
        <v>0.74545454545454548</v>
      </c>
    </row>
    <row r="214" spans="1:16" x14ac:dyDescent="0.25">
      <c r="A214" t="s">
        <v>145</v>
      </c>
      <c r="B214">
        <v>2020</v>
      </c>
      <c r="C214" s="8">
        <f>'1_Du_lieu'!F248</f>
        <v>34.5</v>
      </c>
      <c r="D214" s="8">
        <f>'1_Du_lieu'!G248</f>
        <v>39.200000000000003</v>
      </c>
      <c r="E214" s="8">
        <f>'1_Du_lieu'!H248</f>
        <v>19.5</v>
      </c>
      <c r="F214" s="8">
        <f>'1_Du_lieu'!I248</f>
        <v>44.8</v>
      </c>
      <c r="G214" s="6">
        <f t="shared" si="67"/>
        <v>6.9</v>
      </c>
      <c r="H214" s="6">
        <f t="shared" si="68"/>
        <v>13.72</v>
      </c>
      <c r="I214" s="6">
        <f t="shared" si="69"/>
        <v>6.8249999999999993</v>
      </c>
      <c r="J214" s="6">
        <f t="shared" si="70"/>
        <v>4.4799999999999995</v>
      </c>
      <c r="K214" s="6">
        <f t="shared" si="66"/>
        <v>31.925000000000001</v>
      </c>
      <c r="L214" s="9">
        <f t="shared" si="71"/>
        <v>0.16363636363636364</v>
      </c>
      <c r="M214" s="9">
        <f t="shared" si="72"/>
        <v>0.47272727272727272</v>
      </c>
      <c r="N214" s="9">
        <f t="shared" si="73"/>
        <v>0.3</v>
      </c>
      <c r="O214" s="9">
        <f t="shared" si="74"/>
        <v>5.4545454545454543E-2</v>
      </c>
      <c r="P214" s="9">
        <f t="shared" si="75"/>
        <v>1.8181818181818181E-2</v>
      </c>
    </row>
    <row r="215" spans="1:16" x14ac:dyDescent="0.25">
      <c r="A215" t="s">
        <v>146</v>
      </c>
      <c r="B215">
        <v>2020</v>
      </c>
      <c r="C215" s="8">
        <f>'1_Du_lieu'!F249</f>
        <v>35.5</v>
      </c>
      <c r="D215" s="8">
        <f>'1_Du_lieu'!G249</f>
        <v>45.4</v>
      </c>
      <c r="E215" s="8">
        <f>'1_Du_lieu'!H249</f>
        <v>39.6</v>
      </c>
      <c r="F215" s="8">
        <f>'1_Du_lieu'!I249</f>
        <v>73.400000000000006</v>
      </c>
      <c r="G215" s="6">
        <f t="shared" si="67"/>
        <v>7.1000000000000005</v>
      </c>
      <c r="H215" s="6">
        <f t="shared" si="68"/>
        <v>15.889999999999999</v>
      </c>
      <c r="I215" s="6">
        <f t="shared" si="69"/>
        <v>13.86</v>
      </c>
      <c r="J215" s="6">
        <f t="shared" si="70"/>
        <v>7.3400000000000007</v>
      </c>
      <c r="K215" s="6">
        <f t="shared" si="66"/>
        <v>44.19</v>
      </c>
      <c r="L215" s="9">
        <f t="shared" si="71"/>
        <v>0.78181818181818186</v>
      </c>
      <c r="M215" s="9">
        <f t="shared" si="72"/>
        <v>0.60909090909090913</v>
      </c>
      <c r="N215" s="9">
        <f t="shared" si="73"/>
        <v>0.61818181818181817</v>
      </c>
      <c r="O215" s="9">
        <f t="shared" si="74"/>
        <v>0.78181818181818186</v>
      </c>
      <c r="P215" s="9">
        <f t="shared" si="75"/>
        <v>0.76363636363636367</v>
      </c>
    </row>
    <row r="216" spans="1:16" x14ac:dyDescent="0.25">
      <c r="A216" t="s">
        <v>147</v>
      </c>
      <c r="B216">
        <v>2020</v>
      </c>
      <c r="C216" s="8">
        <f>'1_Du_lieu'!F250</f>
        <v>30.4</v>
      </c>
      <c r="D216" s="8">
        <f>'1_Du_lieu'!G250</f>
        <v>32.4</v>
      </c>
      <c r="E216" s="8">
        <f>'1_Du_lieu'!H250</f>
        <v>33</v>
      </c>
      <c r="F216" s="8">
        <f>'1_Du_lieu'!I250</f>
        <v>53.2</v>
      </c>
      <c r="G216" s="6">
        <f t="shared" si="67"/>
        <v>6.08</v>
      </c>
      <c r="H216" s="6">
        <f t="shared" si="68"/>
        <v>11.339999999999998</v>
      </c>
      <c r="I216" s="6">
        <f t="shared" si="69"/>
        <v>11.549999999999999</v>
      </c>
      <c r="J216" s="6">
        <f t="shared" si="70"/>
        <v>5.32</v>
      </c>
      <c r="K216" s="6">
        <f t="shared" si="66"/>
        <v>34.29</v>
      </c>
      <c r="L216" s="9">
        <f t="shared" si="71"/>
        <v>0.27272727272727271</v>
      </c>
      <c r="M216" s="9">
        <f t="shared" si="72"/>
        <v>0.27272727272727271</v>
      </c>
      <c r="N216" s="9">
        <f t="shared" si="73"/>
        <v>0.12727272727272726</v>
      </c>
      <c r="O216" s="9">
        <f t="shared" si="74"/>
        <v>0.6</v>
      </c>
      <c r="P216" s="9">
        <f t="shared" si="75"/>
        <v>0.12727272727272726</v>
      </c>
    </row>
    <row r="217" spans="1:16" x14ac:dyDescent="0.25">
      <c r="A217" t="s">
        <v>149</v>
      </c>
      <c r="B217">
        <v>2020</v>
      </c>
      <c r="C217" s="8">
        <f>'1_Du_lieu'!F252</f>
        <v>45.3</v>
      </c>
      <c r="D217" s="8">
        <f>'1_Du_lieu'!G252</f>
        <v>66.3</v>
      </c>
      <c r="E217" s="8">
        <f>'1_Du_lieu'!H252</f>
        <v>53.2</v>
      </c>
      <c r="F217" s="8">
        <f>'1_Du_lieu'!I252</f>
        <v>75.7</v>
      </c>
      <c r="G217" s="6">
        <f t="shared" si="67"/>
        <v>9.06</v>
      </c>
      <c r="H217" s="6">
        <f t="shared" si="68"/>
        <v>23.204999999999998</v>
      </c>
      <c r="I217" s="6">
        <f t="shared" si="69"/>
        <v>18.62</v>
      </c>
      <c r="J217" s="6">
        <f t="shared" si="70"/>
        <v>7.57</v>
      </c>
      <c r="K217" s="6">
        <f t="shared" si="66"/>
        <v>58.455000000000005</v>
      </c>
      <c r="L217" s="9">
        <f t="shared" si="71"/>
        <v>0.94545454545454544</v>
      </c>
      <c r="M217" s="9">
        <f t="shared" si="72"/>
        <v>0.94545454545454544</v>
      </c>
      <c r="N217" s="9">
        <f t="shared" si="73"/>
        <v>0.90909090909090906</v>
      </c>
      <c r="O217" s="9">
        <f t="shared" si="74"/>
        <v>0.96363636363636362</v>
      </c>
      <c r="P217" s="9">
        <f t="shared" si="75"/>
        <v>0.90909090909090906</v>
      </c>
    </row>
    <row r="218" spans="1:16" x14ac:dyDescent="0.25">
      <c r="A218" t="s">
        <v>150</v>
      </c>
      <c r="B218">
        <v>2020</v>
      </c>
      <c r="C218" s="8">
        <f>'1_Du_lieu'!F253</f>
        <v>30.8</v>
      </c>
      <c r="D218" s="8">
        <f>'1_Du_lieu'!G253</f>
        <v>37.700000000000003</v>
      </c>
      <c r="E218" s="8">
        <f>'1_Du_lieu'!H253</f>
        <v>29.3</v>
      </c>
      <c r="F218" s="8">
        <f>'1_Du_lieu'!I253</f>
        <v>66.3</v>
      </c>
      <c r="G218" s="6">
        <f t="shared" si="67"/>
        <v>6.16</v>
      </c>
      <c r="H218" s="6">
        <f t="shared" si="68"/>
        <v>13.195</v>
      </c>
      <c r="I218" s="6">
        <f t="shared" si="69"/>
        <v>10.254999999999999</v>
      </c>
      <c r="J218" s="6">
        <f t="shared" si="70"/>
        <v>6.63</v>
      </c>
      <c r="K218" s="6">
        <f t="shared" si="66"/>
        <v>36.24</v>
      </c>
      <c r="L218" s="9">
        <f t="shared" si="71"/>
        <v>0.36363636363636365</v>
      </c>
      <c r="M218" s="9">
        <f t="shared" si="72"/>
        <v>0.29090909090909089</v>
      </c>
      <c r="N218" s="9">
        <f t="shared" si="73"/>
        <v>0.27272727272727271</v>
      </c>
      <c r="O218" s="9">
        <f t="shared" si="74"/>
        <v>0.45454545454545453</v>
      </c>
      <c r="P218" s="9">
        <f t="shared" si="75"/>
        <v>0.42727272727272725</v>
      </c>
    </row>
    <row r="219" spans="1:16" x14ac:dyDescent="0.25">
      <c r="A219" t="s">
        <v>151</v>
      </c>
      <c r="B219">
        <v>2020</v>
      </c>
      <c r="C219" s="8">
        <f>'1_Du_lieu'!F254</f>
        <v>26.5</v>
      </c>
      <c r="D219" s="8">
        <f>'1_Du_lieu'!G254</f>
        <v>40.4</v>
      </c>
      <c r="E219" s="8">
        <f>'1_Du_lieu'!H254</f>
        <v>20.100000000000001</v>
      </c>
      <c r="F219" s="8">
        <f>'1_Du_lieu'!I254</f>
        <v>59.3</v>
      </c>
      <c r="G219" s="6">
        <f t="shared" si="67"/>
        <v>5.3000000000000007</v>
      </c>
      <c r="H219" s="6">
        <f t="shared" si="68"/>
        <v>14.139999999999999</v>
      </c>
      <c r="I219" s="6">
        <f t="shared" si="69"/>
        <v>7.0350000000000001</v>
      </c>
      <c r="J219" s="6">
        <f t="shared" si="70"/>
        <v>5.93</v>
      </c>
      <c r="K219" s="6">
        <f t="shared" si="66"/>
        <v>32.405000000000001</v>
      </c>
      <c r="L219" s="9">
        <f t="shared" si="71"/>
        <v>0.21818181818181817</v>
      </c>
      <c r="M219" s="9">
        <f t="shared" si="72"/>
        <v>0.12727272727272726</v>
      </c>
      <c r="N219" s="9">
        <f t="shared" si="73"/>
        <v>0.38181818181818183</v>
      </c>
      <c r="O219" s="9">
        <f t="shared" si="74"/>
        <v>9.0909090909090912E-2</v>
      </c>
      <c r="P219" s="9">
        <f t="shared" si="75"/>
        <v>0.21818181818181817</v>
      </c>
    </row>
    <row r="220" spans="1:16" x14ac:dyDescent="0.25">
      <c r="A220" t="s">
        <v>152</v>
      </c>
      <c r="B220">
        <v>2020</v>
      </c>
      <c r="C220" s="8">
        <f>'1_Du_lieu'!F255</f>
        <v>41.9</v>
      </c>
      <c r="D220" s="8">
        <f>'1_Du_lieu'!G255</f>
        <v>64.099999999999994</v>
      </c>
      <c r="E220" s="8">
        <f>'1_Du_lieu'!H255</f>
        <v>47.6</v>
      </c>
      <c r="F220" s="8">
        <f>'1_Du_lieu'!I255</f>
        <v>74.3</v>
      </c>
      <c r="G220" s="6">
        <f t="shared" si="67"/>
        <v>8.3800000000000008</v>
      </c>
      <c r="H220" s="6">
        <f t="shared" si="68"/>
        <v>22.434999999999995</v>
      </c>
      <c r="I220" s="6">
        <f t="shared" si="69"/>
        <v>16.66</v>
      </c>
      <c r="J220" s="6">
        <f t="shared" si="70"/>
        <v>7.43</v>
      </c>
      <c r="K220" s="6">
        <f t="shared" si="66"/>
        <v>54.904999999999994</v>
      </c>
      <c r="L220" s="9">
        <f t="shared" si="71"/>
        <v>0.90909090909090906</v>
      </c>
      <c r="M220" s="9">
        <f t="shared" si="72"/>
        <v>0.90909090909090906</v>
      </c>
      <c r="N220" s="9">
        <f t="shared" si="73"/>
        <v>0.89090909090909087</v>
      </c>
      <c r="O220" s="9">
        <f t="shared" si="74"/>
        <v>0.92727272727272725</v>
      </c>
      <c r="P220" s="9">
        <f t="shared" si="75"/>
        <v>0.83636363636363631</v>
      </c>
    </row>
    <row r="221" spans="1:16" x14ac:dyDescent="0.25">
      <c r="A221" t="s">
        <v>153</v>
      </c>
      <c r="B221">
        <v>2020</v>
      </c>
      <c r="C221" s="8">
        <f>'1_Du_lieu'!F256</f>
        <v>34.799999999999997</v>
      </c>
      <c r="D221" s="8">
        <f>'1_Du_lieu'!G256</f>
        <v>40</v>
      </c>
      <c r="E221" s="8">
        <f>'1_Du_lieu'!H256</f>
        <v>29.6</v>
      </c>
      <c r="F221" s="8">
        <f>'1_Du_lieu'!I256</f>
        <v>73</v>
      </c>
      <c r="G221" s="6">
        <f t="shared" si="67"/>
        <v>6.96</v>
      </c>
      <c r="H221" s="6">
        <f t="shared" si="68"/>
        <v>14</v>
      </c>
      <c r="I221" s="6">
        <f t="shared" si="69"/>
        <v>10.36</v>
      </c>
      <c r="J221" s="6">
        <f t="shared" si="70"/>
        <v>7.3000000000000007</v>
      </c>
      <c r="K221" s="6">
        <f t="shared" si="66"/>
        <v>38.620000000000005</v>
      </c>
      <c r="L221" s="9">
        <f t="shared" si="71"/>
        <v>0.43636363636363634</v>
      </c>
      <c r="M221" s="9">
        <f t="shared" si="72"/>
        <v>0.49090909090909091</v>
      </c>
      <c r="N221" s="9">
        <f t="shared" si="73"/>
        <v>0.36363636363636365</v>
      </c>
      <c r="O221" s="9">
        <f t="shared" si="74"/>
        <v>0.47272727272727272</v>
      </c>
      <c r="P221" s="9">
        <f t="shared" si="75"/>
        <v>0.72727272727272729</v>
      </c>
    </row>
    <row r="222" spans="1:16" x14ac:dyDescent="0.25">
      <c r="A222" t="s">
        <v>85</v>
      </c>
      <c r="B222">
        <v>2021</v>
      </c>
      <c r="C222" s="8">
        <f>'1_Du_lieu'!F257</f>
        <v>11.88</v>
      </c>
      <c r="D222" s="8">
        <f>'1_Du_lieu'!G257</f>
        <v>4.46</v>
      </c>
      <c r="E222" s="8">
        <f>'1_Du_lieu'!H257</f>
        <v>3.2</v>
      </c>
      <c r="F222" s="16">
        <v>0</v>
      </c>
      <c r="G222" s="6">
        <f t="shared" ref="G222:G253" si="76">C222*$AC$8</f>
        <v>2.3760000000000003</v>
      </c>
      <c r="H222" s="6">
        <f t="shared" ref="H222:H253" si="77">D222*$AD$8</f>
        <v>1.784</v>
      </c>
      <c r="I222" s="6">
        <f t="shared" ref="I222:I253" si="78">E222*$AE$8</f>
        <v>1.2800000000000002</v>
      </c>
      <c r="J222" s="6">
        <f t="shared" ref="J222:J253" si="79">F222*$AF$8</f>
        <v>0</v>
      </c>
      <c r="K222" s="6">
        <f t="shared" si="66"/>
        <v>5.44</v>
      </c>
      <c r="L222" s="9">
        <f t="shared" ref="L222:L253" si="80">_xlfn.RANK.AVG(K222,$K$222:$K$277,1)/56</f>
        <v>0.375</v>
      </c>
      <c r="M222" s="9">
        <f t="shared" ref="M222:M253" si="81">_xlfn.RANK.AVG(G222,$G$222:$G$277,1)/56</f>
        <v>0.19642857142857142</v>
      </c>
      <c r="N222" s="9">
        <f t="shared" ref="N222:N253" si="82">_xlfn.RANK.AVG(H222,$H$222:$H$277,1)/56</f>
        <v>0.7142857142857143</v>
      </c>
      <c r="O222" s="9">
        <f t="shared" ref="O222:O253" si="83">_xlfn.RANK.AVG(I222,$I$222:$I$277,1)/56</f>
        <v>0.23214285714285715</v>
      </c>
      <c r="P222" s="17"/>
    </row>
    <row r="223" spans="1:16" x14ac:dyDescent="0.25">
      <c r="A223" t="s">
        <v>87</v>
      </c>
      <c r="B223">
        <v>2021</v>
      </c>
      <c r="C223" s="8">
        <f>'1_Du_lieu'!F258</f>
        <v>19.510000000000002</v>
      </c>
      <c r="D223" s="8">
        <f>'1_Du_lieu'!G258</f>
        <v>6.12</v>
      </c>
      <c r="E223" s="8">
        <f>'1_Du_lieu'!H258</f>
        <v>9.1</v>
      </c>
      <c r="F223" s="16">
        <v>0</v>
      </c>
      <c r="G223" s="6">
        <f t="shared" si="76"/>
        <v>3.9020000000000006</v>
      </c>
      <c r="H223" s="6">
        <f t="shared" si="77"/>
        <v>2.4480000000000004</v>
      </c>
      <c r="I223" s="6">
        <f t="shared" si="78"/>
        <v>3.64</v>
      </c>
      <c r="J223" s="6">
        <f t="shared" si="79"/>
        <v>0</v>
      </c>
      <c r="K223" s="6">
        <f t="shared" si="66"/>
        <v>9.990000000000002</v>
      </c>
      <c r="L223" s="9">
        <f t="shared" si="80"/>
        <v>0.8928571428571429</v>
      </c>
      <c r="M223" s="9">
        <f t="shared" si="81"/>
        <v>0.8928571428571429</v>
      </c>
      <c r="N223" s="9">
        <f t="shared" si="82"/>
        <v>0.8928571428571429</v>
      </c>
      <c r="O223" s="9">
        <f t="shared" si="83"/>
        <v>0.875</v>
      </c>
      <c r="P223" s="17"/>
    </row>
    <row r="224" spans="1:16" x14ac:dyDescent="0.25">
      <c r="A224" t="s">
        <v>89</v>
      </c>
      <c r="B224">
        <v>2021</v>
      </c>
      <c r="C224" s="8">
        <f>'1_Du_lieu'!F259</f>
        <v>20.309999999999999</v>
      </c>
      <c r="D224" s="8">
        <f>'1_Du_lieu'!G259</f>
        <v>11.86</v>
      </c>
      <c r="E224" s="8">
        <f>'1_Du_lieu'!H259</f>
        <v>14.9</v>
      </c>
      <c r="F224" s="16">
        <v>0</v>
      </c>
      <c r="G224" s="6">
        <f t="shared" si="76"/>
        <v>4.0620000000000003</v>
      </c>
      <c r="H224" s="6">
        <f t="shared" si="77"/>
        <v>4.7439999999999998</v>
      </c>
      <c r="I224" s="6">
        <f t="shared" si="78"/>
        <v>5.9600000000000009</v>
      </c>
      <c r="J224" s="6">
        <f t="shared" si="79"/>
        <v>0</v>
      </c>
      <c r="K224" s="6">
        <f t="shared" si="66"/>
        <v>14.766000000000002</v>
      </c>
      <c r="L224" s="9">
        <f t="shared" si="80"/>
        <v>0.9464285714285714</v>
      </c>
      <c r="M224" s="9">
        <f t="shared" si="81"/>
        <v>0.9464285714285714</v>
      </c>
      <c r="N224" s="9">
        <f t="shared" si="82"/>
        <v>0.9642857142857143</v>
      </c>
      <c r="O224" s="9">
        <f t="shared" si="83"/>
        <v>0.9464285714285714</v>
      </c>
      <c r="P224" s="17"/>
    </row>
    <row r="225" spans="1:16" x14ac:dyDescent="0.25">
      <c r="A225" t="s">
        <v>90</v>
      </c>
      <c r="B225">
        <v>2021</v>
      </c>
      <c r="C225" s="8">
        <f>'1_Du_lieu'!F260</f>
        <v>12.86</v>
      </c>
      <c r="D225" s="8">
        <f>'1_Du_lieu'!G260</f>
        <v>3.2</v>
      </c>
      <c r="E225" s="8">
        <f>'1_Du_lieu'!H260</f>
        <v>3.1</v>
      </c>
      <c r="F225" s="16">
        <v>0</v>
      </c>
      <c r="G225" s="6">
        <f t="shared" si="76"/>
        <v>2.5720000000000001</v>
      </c>
      <c r="H225" s="6">
        <f t="shared" si="77"/>
        <v>1.2800000000000002</v>
      </c>
      <c r="I225" s="6">
        <f t="shared" si="78"/>
        <v>1.2400000000000002</v>
      </c>
      <c r="J225" s="6">
        <f t="shared" si="79"/>
        <v>0</v>
      </c>
      <c r="K225" s="6">
        <f t="shared" si="66"/>
        <v>5.0920000000000005</v>
      </c>
      <c r="L225" s="9">
        <f t="shared" si="80"/>
        <v>0.25</v>
      </c>
      <c r="M225" s="9">
        <f t="shared" si="81"/>
        <v>0.375</v>
      </c>
      <c r="N225" s="9">
        <f t="shared" si="82"/>
        <v>0.375</v>
      </c>
      <c r="O225" s="9">
        <f t="shared" si="83"/>
        <v>0.19642857142857142</v>
      </c>
      <c r="P225" s="17"/>
    </row>
    <row r="226" spans="1:16" x14ac:dyDescent="0.25">
      <c r="A226" t="s">
        <v>91</v>
      </c>
      <c r="B226">
        <v>2021</v>
      </c>
      <c r="C226" s="8">
        <f>'1_Du_lieu'!F261</f>
        <v>13.5</v>
      </c>
      <c r="D226" s="8">
        <f>'1_Du_lieu'!G261</f>
        <v>3.36</v>
      </c>
      <c r="E226" s="8">
        <f>'1_Du_lieu'!H261</f>
        <v>4.4400000000000004</v>
      </c>
      <c r="F226" s="16">
        <v>0</v>
      </c>
      <c r="G226" s="6">
        <f t="shared" si="76"/>
        <v>2.7</v>
      </c>
      <c r="H226" s="6">
        <f t="shared" si="77"/>
        <v>1.3440000000000001</v>
      </c>
      <c r="I226" s="6">
        <f t="shared" si="78"/>
        <v>1.7760000000000002</v>
      </c>
      <c r="J226" s="6">
        <f t="shared" si="79"/>
        <v>0</v>
      </c>
      <c r="K226" s="6">
        <f t="shared" si="66"/>
        <v>5.82</v>
      </c>
      <c r="L226" s="9">
        <f t="shared" si="80"/>
        <v>0.5178571428571429</v>
      </c>
      <c r="M226" s="9">
        <f t="shared" si="81"/>
        <v>0.45535714285714285</v>
      </c>
      <c r="N226" s="9">
        <f t="shared" si="82"/>
        <v>0.42857142857142855</v>
      </c>
      <c r="O226" s="9">
        <f t="shared" si="83"/>
        <v>0.5267857142857143</v>
      </c>
      <c r="P226" s="17"/>
    </row>
    <row r="227" spans="1:16" x14ac:dyDescent="0.25">
      <c r="A227" t="s">
        <v>93</v>
      </c>
      <c r="B227">
        <v>2021</v>
      </c>
      <c r="C227" s="8">
        <f>'1_Du_lieu'!F262</f>
        <v>15.11</v>
      </c>
      <c r="D227" s="8">
        <f>'1_Du_lieu'!G262</f>
        <v>3.07</v>
      </c>
      <c r="E227" s="8">
        <f>'1_Du_lieu'!H262</f>
        <v>5.19</v>
      </c>
      <c r="F227" s="16">
        <v>0</v>
      </c>
      <c r="G227" s="6">
        <f t="shared" si="76"/>
        <v>3.0220000000000002</v>
      </c>
      <c r="H227" s="6">
        <f t="shared" si="77"/>
        <v>1.228</v>
      </c>
      <c r="I227" s="6">
        <f t="shared" si="78"/>
        <v>2.0760000000000001</v>
      </c>
      <c r="J227" s="6">
        <f t="shared" si="79"/>
        <v>0</v>
      </c>
      <c r="K227" s="6">
        <f t="shared" si="66"/>
        <v>6.3260000000000005</v>
      </c>
      <c r="L227" s="9">
        <f t="shared" si="80"/>
        <v>0.5892857142857143</v>
      </c>
      <c r="M227" s="9">
        <f t="shared" si="81"/>
        <v>0.625</v>
      </c>
      <c r="N227" s="9">
        <f t="shared" si="82"/>
        <v>0.3392857142857143</v>
      </c>
      <c r="O227" s="9">
        <f t="shared" si="83"/>
        <v>0.75</v>
      </c>
      <c r="P227" s="17"/>
    </row>
    <row r="228" spans="1:16" x14ac:dyDescent="0.25">
      <c r="A228" t="s">
        <v>95</v>
      </c>
      <c r="B228">
        <v>2021</v>
      </c>
      <c r="C228" s="8">
        <f>'1_Du_lieu'!F264</f>
        <v>13.83</v>
      </c>
      <c r="D228" s="8">
        <f>'1_Du_lieu'!G264</f>
        <v>4.5999999999999996</v>
      </c>
      <c r="E228" s="8">
        <f>'1_Du_lieu'!H264</f>
        <v>4.5</v>
      </c>
      <c r="F228" s="16">
        <v>0</v>
      </c>
      <c r="G228" s="6">
        <f t="shared" si="76"/>
        <v>2.766</v>
      </c>
      <c r="H228" s="6">
        <f t="shared" si="77"/>
        <v>1.8399999999999999</v>
      </c>
      <c r="I228" s="6">
        <f t="shared" si="78"/>
        <v>1.8</v>
      </c>
      <c r="J228" s="6">
        <f t="shared" si="79"/>
        <v>0</v>
      </c>
      <c r="K228" s="6">
        <f t="shared" si="66"/>
        <v>6.4059999999999997</v>
      </c>
      <c r="L228" s="9">
        <f t="shared" si="80"/>
        <v>0.625</v>
      </c>
      <c r="M228" s="9">
        <f t="shared" si="81"/>
        <v>0.5</v>
      </c>
      <c r="N228" s="9">
        <f t="shared" si="82"/>
        <v>0.75</v>
      </c>
      <c r="O228" s="9">
        <f t="shared" si="83"/>
        <v>0.5714285714285714</v>
      </c>
      <c r="P228" s="17"/>
    </row>
    <row r="229" spans="1:16" x14ac:dyDescent="0.25">
      <c r="A229" t="s">
        <v>97</v>
      </c>
      <c r="B229">
        <v>2021</v>
      </c>
      <c r="C229" s="8">
        <f>'1_Du_lieu'!F265</f>
        <v>11.57</v>
      </c>
      <c r="D229" s="8">
        <f>'1_Du_lieu'!G265</f>
        <v>2.04</v>
      </c>
      <c r="E229" s="8">
        <f>'1_Du_lieu'!H265</f>
        <v>2.11</v>
      </c>
      <c r="F229" s="16">
        <v>0</v>
      </c>
      <c r="G229" s="6">
        <f t="shared" si="76"/>
        <v>2.3140000000000001</v>
      </c>
      <c r="H229" s="6">
        <f t="shared" si="77"/>
        <v>0.81600000000000006</v>
      </c>
      <c r="I229" s="6">
        <f t="shared" si="78"/>
        <v>0.84399999999999997</v>
      </c>
      <c r="J229" s="6">
        <f t="shared" si="79"/>
        <v>0</v>
      </c>
      <c r="K229" s="6">
        <f t="shared" si="66"/>
        <v>3.9739999999999998</v>
      </c>
      <c r="L229" s="9">
        <f t="shared" si="80"/>
        <v>1.7857142857142856E-2</v>
      </c>
      <c r="M229" s="9">
        <f t="shared" si="81"/>
        <v>8.9285714285714288E-2</v>
      </c>
      <c r="N229" s="9">
        <f t="shared" si="82"/>
        <v>1.7857142857142856E-2</v>
      </c>
      <c r="O229" s="9">
        <f t="shared" si="83"/>
        <v>3.5714285714285712E-2</v>
      </c>
      <c r="P229" s="17"/>
    </row>
    <row r="230" spans="1:16" x14ac:dyDescent="0.25">
      <c r="A230" t="s">
        <v>98</v>
      </c>
      <c r="B230">
        <v>2021</v>
      </c>
      <c r="C230" s="8">
        <f>'1_Du_lieu'!F266</f>
        <v>17.350000000000001</v>
      </c>
      <c r="D230" s="8">
        <f>'1_Du_lieu'!G266</f>
        <v>5.7</v>
      </c>
      <c r="E230" s="8">
        <f>'1_Du_lieu'!H266</f>
        <v>9.16</v>
      </c>
      <c r="F230" s="16">
        <v>0</v>
      </c>
      <c r="G230" s="6">
        <f t="shared" si="76"/>
        <v>3.4700000000000006</v>
      </c>
      <c r="H230" s="6">
        <f t="shared" si="77"/>
        <v>2.2800000000000002</v>
      </c>
      <c r="I230" s="6">
        <f t="shared" si="78"/>
        <v>3.6640000000000001</v>
      </c>
      <c r="J230" s="6">
        <f t="shared" si="79"/>
        <v>0</v>
      </c>
      <c r="K230" s="6">
        <f t="shared" si="66"/>
        <v>9.4140000000000015</v>
      </c>
      <c r="L230" s="9">
        <f t="shared" si="80"/>
        <v>0.8571428571428571</v>
      </c>
      <c r="M230" s="9">
        <f t="shared" si="81"/>
        <v>0.875</v>
      </c>
      <c r="N230" s="9">
        <f t="shared" si="82"/>
        <v>0.875</v>
      </c>
      <c r="O230" s="9">
        <f t="shared" si="83"/>
        <v>0.8928571428571429</v>
      </c>
      <c r="P230" s="17"/>
    </row>
    <row r="231" spans="1:16" x14ac:dyDescent="0.25">
      <c r="A231" t="s">
        <v>100</v>
      </c>
      <c r="B231">
        <v>2021</v>
      </c>
      <c r="C231" s="8">
        <f>'1_Du_lieu'!F267</f>
        <v>15.4</v>
      </c>
      <c r="D231" s="8">
        <f>'1_Du_lieu'!G267</f>
        <v>4.49</v>
      </c>
      <c r="E231" s="8">
        <f>'1_Du_lieu'!H267</f>
        <v>4.46</v>
      </c>
      <c r="F231" s="16">
        <v>0</v>
      </c>
      <c r="G231" s="6">
        <f t="shared" si="76"/>
        <v>3.08</v>
      </c>
      <c r="H231" s="6">
        <f t="shared" si="77"/>
        <v>1.7960000000000003</v>
      </c>
      <c r="I231" s="6">
        <f t="shared" si="78"/>
        <v>1.784</v>
      </c>
      <c r="J231" s="6">
        <f t="shared" si="79"/>
        <v>0</v>
      </c>
      <c r="K231" s="6">
        <f t="shared" si="66"/>
        <v>6.66</v>
      </c>
      <c r="L231" s="9">
        <f t="shared" si="80"/>
        <v>0.6785714285714286</v>
      </c>
      <c r="M231" s="9">
        <f t="shared" si="81"/>
        <v>0.7142857142857143</v>
      </c>
      <c r="N231" s="9">
        <f t="shared" si="82"/>
        <v>0.7321428571428571</v>
      </c>
      <c r="O231" s="9">
        <f t="shared" si="83"/>
        <v>0.5535714285714286</v>
      </c>
      <c r="P231" s="17"/>
    </row>
    <row r="232" spans="1:16" x14ac:dyDescent="0.25">
      <c r="A232" t="s">
        <v>102</v>
      </c>
      <c r="B232">
        <v>2021</v>
      </c>
      <c r="C232" s="8">
        <f>'1_Du_lieu'!F269</f>
        <v>11.42</v>
      </c>
      <c r="D232" s="8">
        <f>'1_Du_lieu'!G269</f>
        <v>2.96</v>
      </c>
      <c r="E232" s="8">
        <f>'1_Du_lieu'!H269</f>
        <v>3.04</v>
      </c>
      <c r="F232" s="16">
        <v>0</v>
      </c>
      <c r="G232" s="6">
        <f t="shared" si="76"/>
        <v>2.2840000000000003</v>
      </c>
      <c r="H232" s="6">
        <f t="shared" si="77"/>
        <v>1.1839999999999999</v>
      </c>
      <c r="I232" s="6">
        <f t="shared" si="78"/>
        <v>1.2160000000000002</v>
      </c>
      <c r="J232" s="6">
        <f t="shared" si="79"/>
        <v>0</v>
      </c>
      <c r="K232" s="6">
        <f t="shared" si="66"/>
        <v>4.6840000000000002</v>
      </c>
      <c r="L232" s="9">
        <f t="shared" si="80"/>
        <v>0.17857142857142858</v>
      </c>
      <c r="M232" s="9">
        <f t="shared" si="81"/>
        <v>2.6785714285714284E-2</v>
      </c>
      <c r="N232" s="9">
        <f t="shared" si="82"/>
        <v>0.2857142857142857</v>
      </c>
      <c r="O232" s="9">
        <f t="shared" si="83"/>
        <v>0.17857142857142858</v>
      </c>
      <c r="P232" s="17"/>
    </row>
    <row r="233" spans="1:16" x14ac:dyDescent="0.25">
      <c r="A233" t="s">
        <v>103</v>
      </c>
      <c r="B233">
        <v>2021</v>
      </c>
      <c r="C233" s="8">
        <f>'1_Du_lieu'!F270</f>
        <v>17.190000000000001</v>
      </c>
      <c r="D233" s="8">
        <f>'1_Du_lieu'!G270</f>
        <v>5.68</v>
      </c>
      <c r="E233" s="8">
        <f>'1_Du_lieu'!H270</f>
        <v>7.21</v>
      </c>
      <c r="F233" s="16">
        <v>0</v>
      </c>
      <c r="G233" s="6">
        <f t="shared" si="76"/>
        <v>3.4380000000000006</v>
      </c>
      <c r="H233" s="6">
        <f t="shared" si="77"/>
        <v>2.2719999999999998</v>
      </c>
      <c r="I233" s="6">
        <f t="shared" si="78"/>
        <v>2.8840000000000003</v>
      </c>
      <c r="J233" s="6">
        <f t="shared" si="79"/>
        <v>0</v>
      </c>
      <c r="K233" s="6">
        <f t="shared" si="66"/>
        <v>8.5940000000000012</v>
      </c>
      <c r="L233" s="9">
        <f t="shared" si="80"/>
        <v>0.8392857142857143</v>
      </c>
      <c r="M233" s="9">
        <f t="shared" si="81"/>
        <v>0.8571428571428571</v>
      </c>
      <c r="N233" s="9">
        <f t="shared" si="82"/>
        <v>0.8571428571428571</v>
      </c>
      <c r="O233" s="9">
        <f t="shared" si="83"/>
        <v>0.8392857142857143</v>
      </c>
      <c r="P233" s="17"/>
    </row>
    <row r="234" spans="1:16" x14ac:dyDescent="0.25">
      <c r="A234" t="s">
        <v>104</v>
      </c>
      <c r="B234">
        <v>2021</v>
      </c>
      <c r="C234" s="8">
        <f>'1_Du_lieu'!F271</f>
        <v>11.69</v>
      </c>
      <c r="D234" s="8">
        <f>'1_Du_lieu'!G271</f>
        <v>3.26</v>
      </c>
      <c r="E234" s="8">
        <f>'1_Du_lieu'!H271</f>
        <v>3.49</v>
      </c>
      <c r="F234" s="16">
        <v>0</v>
      </c>
      <c r="G234" s="6">
        <f t="shared" si="76"/>
        <v>2.3380000000000001</v>
      </c>
      <c r="H234" s="6">
        <f t="shared" si="77"/>
        <v>1.304</v>
      </c>
      <c r="I234" s="6">
        <f t="shared" si="78"/>
        <v>1.3960000000000001</v>
      </c>
      <c r="J234" s="6">
        <f t="shared" si="79"/>
        <v>0</v>
      </c>
      <c r="K234" s="6">
        <f t="shared" si="66"/>
        <v>5.0380000000000003</v>
      </c>
      <c r="L234" s="9">
        <f t="shared" si="80"/>
        <v>0.23214285714285715</v>
      </c>
      <c r="M234" s="9">
        <f t="shared" si="81"/>
        <v>0.14285714285714285</v>
      </c>
      <c r="N234" s="9">
        <f t="shared" si="82"/>
        <v>0.4107142857142857</v>
      </c>
      <c r="O234" s="9">
        <f t="shared" si="83"/>
        <v>0.2857142857142857</v>
      </c>
      <c r="P234" s="17"/>
    </row>
    <row r="235" spans="1:16" x14ac:dyDescent="0.25">
      <c r="A235" t="s">
        <v>107</v>
      </c>
      <c r="B235">
        <v>2021</v>
      </c>
      <c r="C235" s="8">
        <f>'1_Du_lieu'!F273</f>
        <v>16.079999999999998</v>
      </c>
      <c r="D235" s="8">
        <f>'1_Du_lieu'!G273</f>
        <v>3.53</v>
      </c>
      <c r="E235" s="8">
        <f>'1_Du_lieu'!H273</f>
        <v>4.7</v>
      </c>
      <c r="F235" s="16">
        <v>0</v>
      </c>
      <c r="G235" s="6">
        <f t="shared" si="76"/>
        <v>3.2159999999999997</v>
      </c>
      <c r="H235" s="6">
        <f t="shared" si="77"/>
        <v>1.4119999999999999</v>
      </c>
      <c r="I235" s="6">
        <f t="shared" si="78"/>
        <v>1.8800000000000001</v>
      </c>
      <c r="J235" s="6">
        <f t="shared" si="79"/>
        <v>0</v>
      </c>
      <c r="K235" s="6">
        <f t="shared" si="66"/>
        <v>6.508</v>
      </c>
      <c r="L235" s="9">
        <f t="shared" si="80"/>
        <v>0.6428571428571429</v>
      </c>
      <c r="M235" s="9">
        <f t="shared" si="81"/>
        <v>0.7857142857142857</v>
      </c>
      <c r="N235" s="9">
        <f t="shared" si="82"/>
        <v>0.4732142857142857</v>
      </c>
      <c r="O235" s="9">
        <f t="shared" si="83"/>
        <v>0.6339285714285714</v>
      </c>
      <c r="P235" s="17"/>
    </row>
    <row r="236" spans="1:16" x14ac:dyDescent="0.25">
      <c r="A236" t="s">
        <v>108</v>
      </c>
      <c r="B236">
        <v>2021</v>
      </c>
      <c r="C236" s="8">
        <f>'1_Du_lieu'!F274</f>
        <v>64.41</v>
      </c>
      <c r="D236" s="8">
        <f>'1_Du_lieu'!G274</f>
        <v>60.92</v>
      </c>
      <c r="E236" s="8">
        <f>'1_Du_lieu'!H274</f>
        <v>46.02</v>
      </c>
      <c r="F236" s="16">
        <v>0</v>
      </c>
      <c r="G236" s="6">
        <f t="shared" si="76"/>
        <v>12.882</v>
      </c>
      <c r="H236" s="6">
        <f t="shared" si="77"/>
        <v>24.368000000000002</v>
      </c>
      <c r="I236" s="6">
        <f t="shared" si="78"/>
        <v>18.408000000000001</v>
      </c>
      <c r="J236" s="6">
        <f t="shared" si="79"/>
        <v>0</v>
      </c>
      <c r="K236" s="6">
        <f t="shared" si="66"/>
        <v>55.658000000000001</v>
      </c>
      <c r="L236" s="9">
        <f t="shared" si="80"/>
        <v>0.9821428571428571</v>
      </c>
      <c r="M236" s="9">
        <f t="shared" si="81"/>
        <v>1</v>
      </c>
      <c r="N236" s="9">
        <f t="shared" si="82"/>
        <v>0.9821428571428571</v>
      </c>
      <c r="O236" s="9">
        <f t="shared" si="83"/>
        <v>0.9821428571428571</v>
      </c>
      <c r="P236" s="17"/>
    </row>
    <row r="237" spans="1:16" x14ac:dyDescent="0.25">
      <c r="A237" t="s">
        <v>109</v>
      </c>
      <c r="B237">
        <v>2021</v>
      </c>
      <c r="C237" s="8">
        <f>'1_Du_lieu'!F275</f>
        <v>13.5</v>
      </c>
      <c r="D237" s="8">
        <f>'1_Du_lieu'!G275</f>
        <v>3.9</v>
      </c>
      <c r="E237" s="8">
        <f>'1_Du_lieu'!H275</f>
        <v>3.76</v>
      </c>
      <c r="F237" s="16">
        <v>0</v>
      </c>
      <c r="G237" s="6">
        <f t="shared" si="76"/>
        <v>2.7</v>
      </c>
      <c r="H237" s="6">
        <f t="shared" si="77"/>
        <v>1.56</v>
      </c>
      <c r="I237" s="6">
        <f t="shared" si="78"/>
        <v>1.504</v>
      </c>
      <c r="J237" s="6">
        <f t="shared" si="79"/>
        <v>0</v>
      </c>
      <c r="K237" s="6">
        <f t="shared" si="66"/>
        <v>5.7639999999999993</v>
      </c>
      <c r="L237" s="9">
        <f t="shared" si="80"/>
        <v>0.5</v>
      </c>
      <c r="M237" s="9">
        <f t="shared" si="81"/>
        <v>0.45535714285714285</v>
      </c>
      <c r="N237" s="9">
        <f t="shared" si="82"/>
        <v>0.6160714285714286</v>
      </c>
      <c r="O237" s="9">
        <f t="shared" si="83"/>
        <v>0.39285714285714285</v>
      </c>
      <c r="P237" s="17"/>
    </row>
    <row r="238" spans="1:16" x14ac:dyDescent="0.25">
      <c r="A238" t="s">
        <v>110</v>
      </c>
      <c r="B238">
        <v>2021</v>
      </c>
      <c r="C238" s="8">
        <f>'1_Du_lieu'!F276</f>
        <v>12.5</v>
      </c>
      <c r="D238" s="8">
        <f>'1_Du_lieu'!G276</f>
        <v>2.38</v>
      </c>
      <c r="E238" s="8">
        <f>'1_Du_lieu'!H276</f>
        <v>2.87</v>
      </c>
      <c r="F238" s="16">
        <v>0</v>
      </c>
      <c r="G238" s="6">
        <f t="shared" si="76"/>
        <v>2.5</v>
      </c>
      <c r="H238" s="6">
        <f t="shared" si="77"/>
        <v>0.95199999999999996</v>
      </c>
      <c r="I238" s="6">
        <f t="shared" si="78"/>
        <v>1.1480000000000001</v>
      </c>
      <c r="J238" s="6">
        <f t="shared" si="79"/>
        <v>0</v>
      </c>
      <c r="K238" s="6">
        <f t="shared" si="66"/>
        <v>4.5999999999999996</v>
      </c>
      <c r="L238" s="9">
        <f t="shared" si="80"/>
        <v>0.14285714285714285</v>
      </c>
      <c r="M238" s="9">
        <f t="shared" si="81"/>
        <v>0.2767857142857143</v>
      </c>
      <c r="N238" s="9">
        <f t="shared" si="82"/>
        <v>8.9285714285714288E-2</v>
      </c>
      <c r="O238" s="9">
        <f t="shared" si="83"/>
        <v>0.10714285714285714</v>
      </c>
      <c r="P238" s="17"/>
    </row>
    <row r="239" spans="1:16" x14ac:dyDescent="0.25">
      <c r="A239" t="s">
        <v>111</v>
      </c>
      <c r="B239">
        <v>2021</v>
      </c>
      <c r="C239" s="8">
        <f>'1_Du_lieu'!F277</f>
        <v>16.690000000000001</v>
      </c>
      <c r="D239" s="8">
        <f>'1_Du_lieu'!G277</f>
        <v>3.97</v>
      </c>
      <c r="E239" s="8">
        <f>'1_Du_lieu'!H277</f>
        <v>6.07</v>
      </c>
      <c r="F239" s="16">
        <v>0</v>
      </c>
      <c r="G239" s="6">
        <f t="shared" si="76"/>
        <v>3.3380000000000005</v>
      </c>
      <c r="H239" s="6">
        <f t="shared" si="77"/>
        <v>1.5880000000000001</v>
      </c>
      <c r="I239" s="6">
        <f t="shared" si="78"/>
        <v>2.4280000000000004</v>
      </c>
      <c r="J239" s="6">
        <f t="shared" si="79"/>
        <v>0</v>
      </c>
      <c r="K239" s="6">
        <f t="shared" si="66"/>
        <v>7.354000000000001</v>
      </c>
      <c r="L239" s="9">
        <f t="shared" si="80"/>
        <v>0.8035714285714286</v>
      </c>
      <c r="M239" s="9">
        <f t="shared" si="81"/>
        <v>0.8392857142857143</v>
      </c>
      <c r="N239" s="9">
        <f t="shared" si="82"/>
        <v>0.6428571428571429</v>
      </c>
      <c r="O239" s="9">
        <f t="shared" si="83"/>
        <v>0.7857142857142857</v>
      </c>
      <c r="P239" s="17"/>
    </row>
    <row r="240" spans="1:16" x14ac:dyDescent="0.25">
      <c r="A240" t="s">
        <v>112</v>
      </c>
      <c r="B240">
        <v>2021</v>
      </c>
      <c r="C240" s="8">
        <f>'1_Du_lieu'!F278</f>
        <v>15.14</v>
      </c>
      <c r="D240" s="8">
        <f>'1_Du_lieu'!G278</f>
        <v>4.4400000000000004</v>
      </c>
      <c r="E240" s="8">
        <f>'1_Du_lieu'!H278</f>
        <v>5</v>
      </c>
      <c r="F240" s="16">
        <v>0</v>
      </c>
      <c r="G240" s="6">
        <f t="shared" si="76"/>
        <v>3.0280000000000005</v>
      </c>
      <c r="H240" s="6">
        <f t="shared" si="77"/>
        <v>1.7760000000000002</v>
      </c>
      <c r="I240" s="6">
        <f t="shared" si="78"/>
        <v>2</v>
      </c>
      <c r="J240" s="6">
        <f t="shared" si="79"/>
        <v>0</v>
      </c>
      <c r="K240" s="6">
        <f t="shared" si="66"/>
        <v>6.8040000000000003</v>
      </c>
      <c r="L240" s="9">
        <f t="shared" si="80"/>
        <v>0.75</v>
      </c>
      <c r="M240" s="9">
        <f t="shared" si="81"/>
        <v>0.6428571428571429</v>
      </c>
      <c r="N240" s="9">
        <f t="shared" si="82"/>
        <v>0.6964285714285714</v>
      </c>
      <c r="O240" s="9">
        <f t="shared" si="83"/>
        <v>0.6785714285714286</v>
      </c>
      <c r="P240" s="17"/>
    </row>
    <row r="241" spans="1:16" x14ac:dyDescent="0.25">
      <c r="A241" t="s">
        <v>113</v>
      </c>
      <c r="B241">
        <v>2021</v>
      </c>
      <c r="C241" s="8">
        <f>'1_Du_lieu'!F279</f>
        <v>20.3</v>
      </c>
      <c r="D241" s="8">
        <f>'1_Du_lieu'!G279</f>
        <v>6.49</v>
      </c>
      <c r="E241" s="8">
        <f>'1_Du_lieu'!H279</f>
        <v>11.12</v>
      </c>
      <c r="F241" s="16">
        <v>0</v>
      </c>
      <c r="G241" s="6">
        <f t="shared" si="76"/>
        <v>4.0600000000000005</v>
      </c>
      <c r="H241" s="6">
        <f t="shared" si="77"/>
        <v>2.5960000000000001</v>
      </c>
      <c r="I241" s="6">
        <f t="shared" si="78"/>
        <v>4.4479999999999995</v>
      </c>
      <c r="J241" s="6">
        <f t="shared" si="79"/>
        <v>0</v>
      </c>
      <c r="K241" s="6">
        <f t="shared" si="66"/>
        <v>11.103999999999999</v>
      </c>
      <c r="L241" s="9">
        <f t="shared" si="80"/>
        <v>0.9107142857142857</v>
      </c>
      <c r="M241" s="9">
        <f t="shared" si="81"/>
        <v>0.9285714285714286</v>
      </c>
      <c r="N241" s="9">
        <f t="shared" si="82"/>
        <v>0.9107142857142857</v>
      </c>
      <c r="O241" s="9">
        <f t="shared" si="83"/>
        <v>0.9285714285714286</v>
      </c>
      <c r="P241" s="17"/>
    </row>
    <row r="242" spans="1:16" x14ac:dyDescent="0.25">
      <c r="A242" t="s">
        <v>114</v>
      </c>
      <c r="B242">
        <v>2021</v>
      </c>
      <c r="C242" s="8">
        <f>'1_Du_lieu'!F280</f>
        <v>11.45</v>
      </c>
      <c r="D242" s="8">
        <f>'1_Du_lieu'!G280</f>
        <v>2.5</v>
      </c>
      <c r="E242" s="8">
        <f>'1_Du_lieu'!H280</f>
        <v>2.91</v>
      </c>
      <c r="F242" s="16">
        <v>0</v>
      </c>
      <c r="G242" s="6">
        <f t="shared" si="76"/>
        <v>2.29</v>
      </c>
      <c r="H242" s="6">
        <f t="shared" si="77"/>
        <v>1</v>
      </c>
      <c r="I242" s="6">
        <f t="shared" si="78"/>
        <v>1.1640000000000001</v>
      </c>
      <c r="J242" s="6">
        <f t="shared" si="79"/>
        <v>0</v>
      </c>
      <c r="K242" s="6">
        <f t="shared" si="66"/>
        <v>4.4540000000000006</v>
      </c>
      <c r="L242" s="9">
        <f t="shared" si="80"/>
        <v>8.9285714285714288E-2</v>
      </c>
      <c r="M242" s="9">
        <f t="shared" si="81"/>
        <v>7.1428571428571425E-2</v>
      </c>
      <c r="N242" s="9">
        <f t="shared" si="82"/>
        <v>0.125</v>
      </c>
      <c r="O242" s="9">
        <f t="shared" si="83"/>
        <v>0.125</v>
      </c>
      <c r="P242" s="17"/>
    </row>
    <row r="243" spans="1:16" x14ac:dyDescent="0.25">
      <c r="A243" t="s">
        <v>115</v>
      </c>
      <c r="B243">
        <v>2021</v>
      </c>
      <c r="C243" s="8">
        <f>'1_Du_lieu'!F281</f>
        <v>19.75</v>
      </c>
      <c r="D243" s="8">
        <f>'1_Du_lieu'!G281</f>
        <v>3.87</v>
      </c>
      <c r="E243" s="8">
        <f>'1_Du_lieu'!H281</f>
        <v>10.53</v>
      </c>
      <c r="F243" s="16">
        <v>0</v>
      </c>
      <c r="G243" s="6">
        <f t="shared" si="76"/>
        <v>3.95</v>
      </c>
      <c r="H243" s="6">
        <f t="shared" si="77"/>
        <v>1.548</v>
      </c>
      <c r="I243" s="6">
        <f t="shared" si="78"/>
        <v>4.2119999999999997</v>
      </c>
      <c r="J243" s="6">
        <f t="shared" si="79"/>
        <v>0</v>
      </c>
      <c r="K243" s="6">
        <f t="shared" si="66"/>
        <v>9.7100000000000009</v>
      </c>
      <c r="L243" s="9">
        <f t="shared" si="80"/>
        <v>0.875</v>
      </c>
      <c r="M243" s="9">
        <f t="shared" si="81"/>
        <v>0.9107142857142857</v>
      </c>
      <c r="N243" s="9">
        <f t="shared" si="82"/>
        <v>0.5892857142857143</v>
      </c>
      <c r="O243" s="9">
        <f t="shared" si="83"/>
        <v>0.9107142857142857</v>
      </c>
      <c r="P243" s="17"/>
    </row>
    <row r="244" spans="1:16" x14ac:dyDescent="0.25">
      <c r="A244" t="s">
        <v>116</v>
      </c>
      <c r="B244">
        <v>2021</v>
      </c>
      <c r="C244" s="8">
        <f>'1_Du_lieu'!F282</f>
        <v>12.63</v>
      </c>
      <c r="D244" s="8">
        <f>'1_Du_lieu'!G282</f>
        <v>3.9</v>
      </c>
      <c r="E244" s="8">
        <f>'1_Du_lieu'!H282</f>
        <v>4</v>
      </c>
      <c r="F244" s="16">
        <v>0</v>
      </c>
      <c r="G244" s="6">
        <f t="shared" si="76"/>
        <v>2.5260000000000002</v>
      </c>
      <c r="H244" s="6">
        <f t="shared" si="77"/>
        <v>1.56</v>
      </c>
      <c r="I244" s="6">
        <f t="shared" si="78"/>
        <v>1.6</v>
      </c>
      <c r="J244" s="6">
        <f t="shared" si="79"/>
        <v>0</v>
      </c>
      <c r="K244" s="6">
        <f t="shared" si="66"/>
        <v>5.6859999999999999</v>
      </c>
      <c r="L244" s="9">
        <f t="shared" si="80"/>
        <v>0.48214285714285715</v>
      </c>
      <c r="M244" s="9">
        <f t="shared" si="81"/>
        <v>0.32142857142857145</v>
      </c>
      <c r="N244" s="9">
        <f t="shared" si="82"/>
        <v>0.6160714285714286</v>
      </c>
      <c r="O244" s="9">
        <f t="shared" si="83"/>
        <v>0.48214285714285715</v>
      </c>
      <c r="P244" s="17"/>
    </row>
    <row r="245" spans="1:16" x14ac:dyDescent="0.25">
      <c r="A245" t="s">
        <v>117</v>
      </c>
      <c r="B245">
        <v>2021</v>
      </c>
      <c r="C245" s="8">
        <f>'1_Du_lieu'!F283</f>
        <v>11.89</v>
      </c>
      <c r="D245" s="8">
        <f>'1_Du_lieu'!G283</f>
        <v>2.11</v>
      </c>
      <c r="E245" s="8">
        <f>'1_Du_lieu'!H283</f>
        <v>3.19</v>
      </c>
      <c r="F245" s="16">
        <v>0</v>
      </c>
      <c r="G245" s="6">
        <f t="shared" si="76"/>
        <v>2.3780000000000001</v>
      </c>
      <c r="H245" s="6">
        <f t="shared" si="77"/>
        <v>0.84399999999999997</v>
      </c>
      <c r="I245" s="6">
        <f t="shared" si="78"/>
        <v>1.276</v>
      </c>
      <c r="J245" s="6">
        <f t="shared" si="79"/>
        <v>0</v>
      </c>
      <c r="K245" s="6">
        <f t="shared" si="66"/>
        <v>4.4980000000000002</v>
      </c>
      <c r="L245" s="9">
        <f t="shared" si="80"/>
        <v>0.10714285714285714</v>
      </c>
      <c r="M245" s="9">
        <f t="shared" si="81"/>
        <v>0.21428571428571427</v>
      </c>
      <c r="N245" s="9">
        <f t="shared" si="82"/>
        <v>3.5714285714285712E-2</v>
      </c>
      <c r="O245" s="9">
        <f t="shared" si="83"/>
        <v>0.21428571428571427</v>
      </c>
      <c r="P245" s="17"/>
    </row>
    <row r="246" spans="1:16" x14ac:dyDescent="0.25">
      <c r="A246" t="s">
        <v>119</v>
      </c>
      <c r="B246">
        <v>2021</v>
      </c>
      <c r="C246" s="8">
        <f>'1_Du_lieu'!F285</f>
        <v>14.76</v>
      </c>
      <c r="D246" s="8">
        <f>'1_Du_lieu'!G285</f>
        <v>5.0199999999999996</v>
      </c>
      <c r="E246" s="8">
        <f>'1_Du_lieu'!H285</f>
        <v>5.9</v>
      </c>
      <c r="F246" s="16">
        <v>0</v>
      </c>
      <c r="G246" s="6">
        <f t="shared" si="76"/>
        <v>2.952</v>
      </c>
      <c r="H246" s="6">
        <f t="shared" si="77"/>
        <v>2.008</v>
      </c>
      <c r="I246" s="6">
        <f t="shared" si="78"/>
        <v>2.3600000000000003</v>
      </c>
      <c r="J246" s="6">
        <f t="shared" si="79"/>
        <v>0</v>
      </c>
      <c r="K246" s="6">
        <f t="shared" si="66"/>
        <v>7.32</v>
      </c>
      <c r="L246" s="9">
        <f t="shared" si="80"/>
        <v>0.7857142857142857</v>
      </c>
      <c r="M246" s="9">
        <f t="shared" si="81"/>
        <v>0.5892857142857143</v>
      </c>
      <c r="N246" s="9">
        <f t="shared" si="82"/>
        <v>0.8035714285714286</v>
      </c>
      <c r="O246" s="9">
        <f t="shared" si="83"/>
        <v>0.7678571428571429</v>
      </c>
      <c r="P246" s="17"/>
    </row>
    <row r="247" spans="1:16" x14ac:dyDescent="0.25">
      <c r="A247" t="s">
        <v>120</v>
      </c>
      <c r="B247">
        <v>2021</v>
      </c>
      <c r="C247" s="8">
        <f>'1_Du_lieu'!F286</f>
        <v>12.59</v>
      </c>
      <c r="D247" s="8">
        <f>'1_Du_lieu'!G286</f>
        <v>2.42</v>
      </c>
      <c r="E247" s="8">
        <f>'1_Du_lieu'!H286</f>
        <v>3.7</v>
      </c>
      <c r="F247" s="16">
        <v>0</v>
      </c>
      <c r="G247" s="6">
        <f t="shared" si="76"/>
        <v>2.5180000000000002</v>
      </c>
      <c r="H247" s="6">
        <f t="shared" si="77"/>
        <v>0.96799999999999997</v>
      </c>
      <c r="I247" s="6">
        <f t="shared" si="78"/>
        <v>1.4800000000000002</v>
      </c>
      <c r="J247" s="6">
        <f t="shared" si="79"/>
        <v>0</v>
      </c>
      <c r="K247" s="6">
        <f t="shared" si="66"/>
        <v>4.9660000000000002</v>
      </c>
      <c r="L247" s="9">
        <f t="shared" si="80"/>
        <v>0.19642857142857142</v>
      </c>
      <c r="M247" s="9">
        <f t="shared" si="81"/>
        <v>0.30357142857142855</v>
      </c>
      <c r="N247" s="9">
        <f t="shared" si="82"/>
        <v>0.10714285714285714</v>
      </c>
      <c r="O247" s="9">
        <f t="shared" si="83"/>
        <v>0.375</v>
      </c>
      <c r="P247" s="17"/>
    </row>
    <row r="248" spans="1:16" x14ac:dyDescent="0.25">
      <c r="A248" t="s">
        <v>121</v>
      </c>
      <c r="B248">
        <v>2021</v>
      </c>
      <c r="C248" s="8">
        <f>'1_Du_lieu'!F287</f>
        <v>16.010000000000002</v>
      </c>
      <c r="D248" s="8">
        <f>'1_Du_lieu'!G287</f>
        <v>3.53</v>
      </c>
      <c r="E248" s="8">
        <f>'1_Du_lieu'!H287</f>
        <v>5.0999999999999996</v>
      </c>
      <c r="F248" s="16">
        <v>0</v>
      </c>
      <c r="G248" s="6">
        <f t="shared" si="76"/>
        <v>3.2020000000000004</v>
      </c>
      <c r="H248" s="6">
        <f t="shared" si="77"/>
        <v>1.4119999999999999</v>
      </c>
      <c r="I248" s="6">
        <f t="shared" si="78"/>
        <v>2.04</v>
      </c>
      <c r="J248" s="6">
        <f t="shared" si="79"/>
        <v>0</v>
      </c>
      <c r="K248" s="6">
        <f t="shared" si="66"/>
        <v>6.6540000000000008</v>
      </c>
      <c r="L248" s="9">
        <f t="shared" si="80"/>
        <v>0.6607142857142857</v>
      </c>
      <c r="M248" s="9">
        <f t="shared" si="81"/>
        <v>0.7589285714285714</v>
      </c>
      <c r="N248" s="9">
        <f t="shared" si="82"/>
        <v>0.4732142857142857</v>
      </c>
      <c r="O248" s="9">
        <f t="shared" si="83"/>
        <v>0.7142857142857143</v>
      </c>
      <c r="P248" s="17"/>
    </row>
    <row r="249" spans="1:16" x14ac:dyDescent="0.25">
      <c r="A249" t="s">
        <v>122</v>
      </c>
      <c r="B249">
        <v>2021</v>
      </c>
      <c r="C249" s="8">
        <f>'1_Du_lieu'!F288</f>
        <v>11.43</v>
      </c>
      <c r="D249" s="8">
        <f>'1_Du_lieu'!G288</f>
        <v>2.19</v>
      </c>
      <c r="E249" s="8">
        <f>'1_Du_lieu'!H288</f>
        <v>2.62</v>
      </c>
      <c r="F249" s="16">
        <v>0</v>
      </c>
      <c r="G249" s="6">
        <f t="shared" si="76"/>
        <v>2.286</v>
      </c>
      <c r="H249" s="6">
        <f t="shared" si="77"/>
        <v>0.876</v>
      </c>
      <c r="I249" s="6">
        <f t="shared" si="78"/>
        <v>1.048</v>
      </c>
      <c r="J249" s="6">
        <f t="shared" si="79"/>
        <v>0</v>
      </c>
      <c r="K249" s="6">
        <f t="shared" si="66"/>
        <v>4.21</v>
      </c>
      <c r="L249" s="9">
        <f t="shared" si="80"/>
        <v>5.3571428571428568E-2</v>
      </c>
      <c r="M249" s="9">
        <f t="shared" si="81"/>
        <v>5.3571428571428568E-2</v>
      </c>
      <c r="N249" s="9">
        <f t="shared" si="82"/>
        <v>5.3571428571428568E-2</v>
      </c>
      <c r="O249" s="9">
        <f t="shared" si="83"/>
        <v>7.1428571428571425E-2</v>
      </c>
      <c r="P249" s="17"/>
    </row>
    <row r="250" spans="1:16" x14ac:dyDescent="0.25">
      <c r="A250" t="s">
        <v>123</v>
      </c>
      <c r="B250">
        <v>2021</v>
      </c>
      <c r="C250" s="8">
        <f>'1_Du_lieu'!F289</f>
        <v>16.46</v>
      </c>
      <c r="D250" s="8">
        <f>'1_Du_lieu'!G289</f>
        <v>5.14</v>
      </c>
      <c r="E250" s="8">
        <f>'1_Du_lieu'!H289</f>
        <v>3.46</v>
      </c>
      <c r="F250" s="16">
        <v>0</v>
      </c>
      <c r="G250" s="6">
        <f t="shared" si="76"/>
        <v>3.2920000000000003</v>
      </c>
      <c r="H250" s="6">
        <f t="shared" si="77"/>
        <v>2.056</v>
      </c>
      <c r="I250" s="6">
        <f t="shared" si="78"/>
        <v>1.3840000000000001</v>
      </c>
      <c r="J250" s="6">
        <f t="shared" si="79"/>
        <v>0</v>
      </c>
      <c r="K250" s="6">
        <f t="shared" si="66"/>
        <v>6.7320000000000011</v>
      </c>
      <c r="L250" s="9">
        <f t="shared" si="80"/>
        <v>0.7142857142857143</v>
      </c>
      <c r="M250" s="9">
        <f t="shared" si="81"/>
        <v>0.8035714285714286</v>
      </c>
      <c r="N250" s="9">
        <f t="shared" si="82"/>
        <v>0.8392857142857143</v>
      </c>
      <c r="O250" s="9">
        <f t="shared" si="83"/>
        <v>0.26785714285714285</v>
      </c>
      <c r="P250" s="17"/>
    </row>
    <row r="251" spans="1:16" x14ac:dyDescent="0.25">
      <c r="A251" t="s">
        <v>124</v>
      </c>
      <c r="B251">
        <v>2021</v>
      </c>
      <c r="C251" s="8">
        <f>'1_Du_lieu'!F290</f>
        <v>14.9</v>
      </c>
      <c r="D251" s="8">
        <f>'1_Du_lieu'!G290</f>
        <v>4.6100000000000003</v>
      </c>
      <c r="E251" s="8">
        <f>'1_Du_lieu'!H290</f>
        <v>4.7</v>
      </c>
      <c r="F251" s="16">
        <v>0</v>
      </c>
      <c r="G251" s="6">
        <f t="shared" si="76"/>
        <v>2.9800000000000004</v>
      </c>
      <c r="H251" s="6">
        <f t="shared" si="77"/>
        <v>1.8440000000000003</v>
      </c>
      <c r="I251" s="6">
        <f t="shared" si="78"/>
        <v>1.8800000000000001</v>
      </c>
      <c r="J251" s="6">
        <f t="shared" si="79"/>
        <v>0</v>
      </c>
      <c r="K251" s="6">
        <f t="shared" si="66"/>
        <v>6.7040000000000006</v>
      </c>
      <c r="L251" s="9">
        <f t="shared" si="80"/>
        <v>0.6964285714285714</v>
      </c>
      <c r="M251" s="9">
        <f t="shared" si="81"/>
        <v>0.6071428571428571</v>
      </c>
      <c r="N251" s="9">
        <f t="shared" si="82"/>
        <v>0.7678571428571429</v>
      </c>
      <c r="O251" s="9">
        <f t="shared" si="83"/>
        <v>0.6339285714285714</v>
      </c>
      <c r="P251" s="17"/>
    </row>
    <row r="252" spans="1:16" x14ac:dyDescent="0.25">
      <c r="A252" t="s">
        <v>125</v>
      </c>
      <c r="B252">
        <v>2021</v>
      </c>
      <c r="C252" s="8">
        <f>'1_Du_lieu'!F291</f>
        <v>15.18</v>
      </c>
      <c r="D252" s="8">
        <f>'1_Du_lieu'!G291</f>
        <v>3.59</v>
      </c>
      <c r="E252" s="8">
        <f>'1_Du_lieu'!H291</f>
        <v>4.5999999999999996</v>
      </c>
      <c r="F252" s="16">
        <v>0</v>
      </c>
      <c r="G252" s="6">
        <f t="shared" si="76"/>
        <v>3.036</v>
      </c>
      <c r="H252" s="6">
        <f t="shared" si="77"/>
        <v>1.4359999999999999</v>
      </c>
      <c r="I252" s="6">
        <f t="shared" si="78"/>
        <v>1.8399999999999999</v>
      </c>
      <c r="J252" s="6">
        <f t="shared" si="79"/>
        <v>0</v>
      </c>
      <c r="K252" s="6">
        <f t="shared" si="66"/>
        <v>6.3119999999999994</v>
      </c>
      <c r="L252" s="9">
        <f t="shared" si="80"/>
        <v>0.5714285714285714</v>
      </c>
      <c r="M252" s="9">
        <f t="shared" si="81"/>
        <v>0.6607142857142857</v>
      </c>
      <c r="N252" s="9">
        <f t="shared" si="82"/>
        <v>0.5</v>
      </c>
      <c r="O252" s="9">
        <f t="shared" si="83"/>
        <v>0.6071428571428571</v>
      </c>
      <c r="P252" s="17"/>
    </row>
    <row r="253" spans="1:16" x14ac:dyDescent="0.25">
      <c r="A253" t="s">
        <v>126</v>
      </c>
      <c r="B253">
        <v>2021</v>
      </c>
      <c r="C253" s="8">
        <f>'1_Du_lieu'!F292</f>
        <v>12.72</v>
      </c>
      <c r="D253" s="8">
        <f>'1_Du_lieu'!G292</f>
        <v>2.66</v>
      </c>
      <c r="E253" s="8">
        <f>'1_Du_lieu'!H292</f>
        <v>4.1399999999999997</v>
      </c>
      <c r="F253" s="16">
        <v>0</v>
      </c>
      <c r="G253" s="6">
        <f t="shared" si="76"/>
        <v>2.5440000000000005</v>
      </c>
      <c r="H253" s="6">
        <f t="shared" si="77"/>
        <v>1.0640000000000001</v>
      </c>
      <c r="I253" s="6">
        <f t="shared" si="78"/>
        <v>1.6559999999999999</v>
      </c>
      <c r="J253" s="6">
        <f t="shared" si="79"/>
        <v>0</v>
      </c>
      <c r="K253" s="6">
        <f t="shared" si="66"/>
        <v>5.2640000000000002</v>
      </c>
      <c r="L253" s="9">
        <f t="shared" si="80"/>
        <v>0.2857142857142857</v>
      </c>
      <c r="M253" s="9">
        <f t="shared" si="81"/>
        <v>0.35714285714285715</v>
      </c>
      <c r="N253" s="9">
        <f t="shared" si="82"/>
        <v>0.16071428571428573</v>
      </c>
      <c r="O253" s="9">
        <f t="shared" si="83"/>
        <v>0.5</v>
      </c>
      <c r="P253" s="17"/>
    </row>
    <row r="254" spans="1:16" x14ac:dyDescent="0.25">
      <c r="A254" t="s">
        <v>127</v>
      </c>
      <c r="B254">
        <v>2021</v>
      </c>
      <c r="C254" s="8">
        <f>'1_Du_lieu'!F293</f>
        <v>13.35</v>
      </c>
      <c r="D254" s="8">
        <f>'1_Du_lieu'!G293</f>
        <v>2.93</v>
      </c>
      <c r="E254" s="8">
        <f>'1_Du_lieu'!H293</f>
        <v>3.6</v>
      </c>
      <c r="F254" s="16">
        <v>0</v>
      </c>
      <c r="G254" s="6">
        <f t="shared" ref="G254:G277" si="84">C254*$AC$8</f>
        <v>2.67</v>
      </c>
      <c r="H254" s="6">
        <f t="shared" ref="H254:H277" si="85">D254*$AD$8</f>
        <v>1.1720000000000002</v>
      </c>
      <c r="I254" s="6">
        <f t="shared" ref="I254:I277" si="86">E254*$AE$8</f>
        <v>1.4400000000000002</v>
      </c>
      <c r="J254" s="6">
        <f t="shared" ref="J254:J277" si="87">F254*$AF$8</f>
        <v>0</v>
      </c>
      <c r="K254" s="6">
        <f t="shared" si="66"/>
        <v>5.282</v>
      </c>
      <c r="L254" s="9">
        <f t="shared" ref="L254:L285" si="88">_xlfn.RANK.AVG(K254,$K$222:$K$277,1)/56</f>
        <v>0.30357142857142855</v>
      </c>
      <c r="M254" s="9">
        <f t="shared" ref="M254:M277" si="89">_xlfn.RANK.AVG(G254,$G$222:$G$277,1)/56</f>
        <v>0.42857142857142855</v>
      </c>
      <c r="N254" s="9">
        <f t="shared" ref="N254:N277" si="90">_xlfn.RANK.AVG(H254,$H$222:$H$277,1)/56</f>
        <v>0.25</v>
      </c>
      <c r="O254" s="9">
        <f t="shared" ref="O254:O277" si="91">_xlfn.RANK.AVG(I254,$I$222:$I$277,1)/56</f>
        <v>0.3392857142857143</v>
      </c>
      <c r="P254" s="17"/>
    </row>
    <row r="255" spans="1:16" x14ac:dyDescent="0.25">
      <c r="A255" t="s">
        <v>128</v>
      </c>
      <c r="B255">
        <v>2021</v>
      </c>
      <c r="C255" s="8">
        <f>'1_Du_lieu'!F294</f>
        <v>12.71</v>
      </c>
      <c r="D255" s="8">
        <f>'1_Du_lieu'!G294</f>
        <v>2.85</v>
      </c>
      <c r="E255" s="8">
        <f>'1_Du_lieu'!H294</f>
        <v>3.3</v>
      </c>
      <c r="F255" s="16">
        <v>0</v>
      </c>
      <c r="G255" s="6">
        <f t="shared" si="84"/>
        <v>2.5420000000000003</v>
      </c>
      <c r="H255" s="6">
        <f t="shared" si="85"/>
        <v>1.1400000000000001</v>
      </c>
      <c r="I255" s="6">
        <f t="shared" si="86"/>
        <v>1.32</v>
      </c>
      <c r="J255" s="6">
        <f t="shared" si="87"/>
        <v>0</v>
      </c>
      <c r="K255" s="6">
        <f t="shared" si="66"/>
        <v>5.0020000000000007</v>
      </c>
      <c r="L255" s="9">
        <f t="shared" si="88"/>
        <v>0.21428571428571427</v>
      </c>
      <c r="M255" s="9">
        <f t="shared" si="89"/>
        <v>0.3392857142857143</v>
      </c>
      <c r="N255" s="9">
        <f t="shared" si="90"/>
        <v>0.19642857142857142</v>
      </c>
      <c r="O255" s="9">
        <f t="shared" si="91"/>
        <v>0.25</v>
      </c>
      <c r="P255" s="17"/>
    </row>
    <row r="256" spans="1:16" x14ac:dyDescent="0.25">
      <c r="A256" t="s">
        <v>129</v>
      </c>
      <c r="B256">
        <v>2021</v>
      </c>
      <c r="C256" s="8">
        <f>'1_Du_lieu'!F295</f>
        <v>13.33</v>
      </c>
      <c r="D256" s="8">
        <f>'1_Du_lieu'!G295</f>
        <v>2.73</v>
      </c>
      <c r="E256" s="8">
        <f>'1_Du_lieu'!H295</f>
        <v>3.9</v>
      </c>
      <c r="F256" s="16">
        <v>0</v>
      </c>
      <c r="G256" s="6">
        <f t="shared" si="84"/>
        <v>2.6660000000000004</v>
      </c>
      <c r="H256" s="6">
        <f t="shared" si="85"/>
        <v>1.0920000000000001</v>
      </c>
      <c r="I256" s="6">
        <f t="shared" si="86"/>
        <v>1.56</v>
      </c>
      <c r="J256" s="6">
        <f t="shared" si="87"/>
        <v>0</v>
      </c>
      <c r="K256" s="6">
        <f t="shared" si="66"/>
        <v>5.3180000000000005</v>
      </c>
      <c r="L256" s="9">
        <f t="shared" si="88"/>
        <v>0.32142857142857145</v>
      </c>
      <c r="M256" s="9">
        <f t="shared" si="89"/>
        <v>0.4107142857142857</v>
      </c>
      <c r="N256" s="9">
        <f t="shared" si="90"/>
        <v>0.17857142857142858</v>
      </c>
      <c r="O256" s="9">
        <f t="shared" si="91"/>
        <v>0.42857142857142855</v>
      </c>
      <c r="P256" s="17"/>
    </row>
    <row r="257" spans="1:16" x14ac:dyDescent="0.25">
      <c r="A257" t="s">
        <v>130</v>
      </c>
      <c r="B257">
        <v>2021</v>
      </c>
      <c r="C257" s="8">
        <f>'1_Du_lieu'!F296</f>
        <v>15.24</v>
      </c>
      <c r="D257" s="8">
        <f>'1_Du_lieu'!G296</f>
        <v>2.94</v>
      </c>
      <c r="E257" s="8">
        <f>'1_Du_lieu'!H296</f>
        <v>5.07</v>
      </c>
      <c r="F257" s="16">
        <v>0</v>
      </c>
      <c r="G257" s="6">
        <f t="shared" si="84"/>
        <v>3.048</v>
      </c>
      <c r="H257" s="6">
        <f t="shared" si="85"/>
        <v>1.1759999999999999</v>
      </c>
      <c r="I257" s="6">
        <f t="shared" si="86"/>
        <v>2.028</v>
      </c>
      <c r="J257" s="6">
        <f t="shared" si="87"/>
        <v>0</v>
      </c>
      <c r="K257" s="6">
        <f t="shared" si="66"/>
        <v>6.2520000000000007</v>
      </c>
      <c r="L257" s="9">
        <f t="shared" si="88"/>
        <v>0.5535714285714286</v>
      </c>
      <c r="M257" s="9">
        <f t="shared" si="89"/>
        <v>0.6964285714285714</v>
      </c>
      <c r="N257" s="9">
        <f t="shared" si="90"/>
        <v>0.26785714285714285</v>
      </c>
      <c r="O257" s="9">
        <f t="shared" si="91"/>
        <v>0.6964285714285714</v>
      </c>
      <c r="P257" s="17"/>
    </row>
    <row r="258" spans="1:16" x14ac:dyDescent="0.25">
      <c r="A258" t="s">
        <v>131</v>
      </c>
      <c r="B258">
        <v>2021</v>
      </c>
      <c r="C258" s="8">
        <f>'1_Du_lieu'!F297</f>
        <v>14.13</v>
      </c>
      <c r="D258" s="8">
        <f>'1_Du_lieu'!G297</f>
        <v>2.86</v>
      </c>
      <c r="E258" s="8">
        <f>'1_Du_lieu'!H297</f>
        <v>3.9</v>
      </c>
      <c r="F258" s="16">
        <v>0</v>
      </c>
      <c r="G258" s="6">
        <f t="shared" si="84"/>
        <v>2.8260000000000005</v>
      </c>
      <c r="H258" s="6">
        <f t="shared" si="85"/>
        <v>1.1439999999999999</v>
      </c>
      <c r="I258" s="6">
        <f t="shared" si="86"/>
        <v>1.56</v>
      </c>
      <c r="J258" s="6">
        <f t="shared" si="87"/>
        <v>0</v>
      </c>
      <c r="K258" s="6">
        <f t="shared" si="66"/>
        <v>5.5300000000000011</v>
      </c>
      <c r="L258" s="9">
        <f t="shared" si="88"/>
        <v>0.4107142857142857</v>
      </c>
      <c r="M258" s="9">
        <f t="shared" si="89"/>
        <v>0.5178571428571429</v>
      </c>
      <c r="N258" s="9">
        <f t="shared" si="90"/>
        <v>0.21428571428571427</v>
      </c>
      <c r="O258" s="9">
        <f t="shared" si="91"/>
        <v>0.42857142857142855</v>
      </c>
      <c r="P258" s="17"/>
    </row>
    <row r="259" spans="1:16" x14ac:dyDescent="0.25">
      <c r="A259" t="s">
        <v>132</v>
      </c>
      <c r="B259">
        <v>2021</v>
      </c>
      <c r="C259" s="8">
        <f>'1_Du_lieu'!F298</f>
        <v>16.010000000000002</v>
      </c>
      <c r="D259" s="8">
        <f>'1_Du_lieu'!G298</f>
        <v>5.04</v>
      </c>
      <c r="E259" s="8">
        <f>'1_Du_lieu'!H298</f>
        <v>7.02</v>
      </c>
      <c r="F259" s="16">
        <v>0</v>
      </c>
      <c r="G259" s="6">
        <f t="shared" si="84"/>
        <v>3.2020000000000004</v>
      </c>
      <c r="H259" s="6">
        <f t="shared" si="85"/>
        <v>2.016</v>
      </c>
      <c r="I259" s="6">
        <f t="shared" si="86"/>
        <v>2.8079999999999998</v>
      </c>
      <c r="J259" s="6">
        <f t="shared" si="87"/>
        <v>0</v>
      </c>
      <c r="K259" s="6">
        <f t="shared" si="66"/>
        <v>8.0259999999999998</v>
      </c>
      <c r="L259" s="9">
        <f t="shared" si="88"/>
        <v>0.8214285714285714</v>
      </c>
      <c r="M259" s="9">
        <f t="shared" si="89"/>
        <v>0.7589285714285714</v>
      </c>
      <c r="N259" s="9">
        <f t="shared" si="90"/>
        <v>0.8214285714285714</v>
      </c>
      <c r="O259" s="9">
        <f t="shared" si="91"/>
        <v>0.8214285714285714</v>
      </c>
      <c r="P259" s="17"/>
    </row>
    <row r="260" spans="1:16" x14ac:dyDescent="0.25">
      <c r="A260" t="s">
        <v>133</v>
      </c>
      <c r="B260">
        <v>2021</v>
      </c>
      <c r="C260" s="8">
        <f>'1_Du_lieu'!F299</f>
        <v>12.91</v>
      </c>
      <c r="D260" s="8">
        <f>'1_Du_lieu'!G299</f>
        <v>2.6</v>
      </c>
      <c r="E260" s="8">
        <f>'1_Du_lieu'!H299</f>
        <v>4.4400000000000004</v>
      </c>
      <c r="F260" s="16">
        <v>0</v>
      </c>
      <c r="G260" s="6">
        <f t="shared" si="84"/>
        <v>2.5820000000000003</v>
      </c>
      <c r="H260" s="6">
        <f t="shared" si="85"/>
        <v>1.04</v>
      </c>
      <c r="I260" s="6">
        <f t="shared" si="86"/>
        <v>1.7760000000000002</v>
      </c>
      <c r="J260" s="6">
        <f t="shared" si="87"/>
        <v>0</v>
      </c>
      <c r="K260" s="6">
        <f t="shared" si="66"/>
        <v>5.3980000000000006</v>
      </c>
      <c r="L260" s="9">
        <f t="shared" si="88"/>
        <v>0.35714285714285715</v>
      </c>
      <c r="M260" s="9">
        <f t="shared" si="89"/>
        <v>0.39285714285714285</v>
      </c>
      <c r="N260" s="9">
        <f t="shared" si="90"/>
        <v>0.14285714285714285</v>
      </c>
      <c r="O260" s="9">
        <f t="shared" si="91"/>
        <v>0.5267857142857143</v>
      </c>
      <c r="P260" s="17"/>
    </row>
    <row r="261" spans="1:16" x14ac:dyDescent="0.25">
      <c r="A261" t="s">
        <v>136</v>
      </c>
      <c r="B261">
        <v>2021</v>
      </c>
      <c r="C261" s="8">
        <f>'1_Du_lieu'!F302</f>
        <v>64.13</v>
      </c>
      <c r="D261" s="8">
        <f>'1_Du_lieu'!G302</f>
        <v>76.319999999999993</v>
      </c>
      <c r="E261" s="8">
        <f>'1_Du_lieu'!H302</f>
        <v>60.68</v>
      </c>
      <c r="F261" s="16">
        <v>0</v>
      </c>
      <c r="G261" s="6">
        <f t="shared" si="84"/>
        <v>12.826000000000001</v>
      </c>
      <c r="H261" s="6">
        <f t="shared" si="85"/>
        <v>30.527999999999999</v>
      </c>
      <c r="I261" s="6">
        <f t="shared" si="86"/>
        <v>24.272000000000002</v>
      </c>
      <c r="J261" s="6">
        <f t="shared" si="87"/>
        <v>0</v>
      </c>
      <c r="K261" s="6">
        <f t="shared" ref="K261:K324" si="92">SUM(G261:J261)</f>
        <v>67.626000000000005</v>
      </c>
      <c r="L261" s="9">
        <f t="shared" si="88"/>
        <v>1</v>
      </c>
      <c r="M261" s="9">
        <f t="shared" si="89"/>
        <v>0.9821428571428571</v>
      </c>
      <c r="N261" s="9">
        <f t="shared" si="90"/>
        <v>1</v>
      </c>
      <c r="O261" s="9">
        <f t="shared" si="91"/>
        <v>1</v>
      </c>
      <c r="P261" s="17"/>
    </row>
    <row r="262" spans="1:16" x14ac:dyDescent="0.25">
      <c r="A262" t="s">
        <v>137</v>
      </c>
      <c r="B262">
        <v>2021</v>
      </c>
      <c r="C262" s="8">
        <f>'1_Du_lieu'!F303</f>
        <v>15.2</v>
      </c>
      <c r="D262" s="8">
        <f>'1_Du_lieu'!G303</f>
        <v>4.6500000000000004</v>
      </c>
      <c r="E262" s="8">
        <f>'1_Du_lieu'!H303</f>
        <v>4.75</v>
      </c>
      <c r="F262" s="16">
        <v>0</v>
      </c>
      <c r="G262" s="6">
        <f t="shared" si="84"/>
        <v>3.04</v>
      </c>
      <c r="H262" s="6">
        <f t="shared" si="85"/>
        <v>1.8600000000000003</v>
      </c>
      <c r="I262" s="6">
        <f t="shared" si="86"/>
        <v>1.9000000000000001</v>
      </c>
      <c r="J262" s="6">
        <f t="shared" si="87"/>
        <v>0</v>
      </c>
      <c r="K262" s="6">
        <f t="shared" si="92"/>
        <v>6.8000000000000007</v>
      </c>
      <c r="L262" s="9">
        <f t="shared" si="88"/>
        <v>0.7321428571428571</v>
      </c>
      <c r="M262" s="9">
        <f t="shared" si="89"/>
        <v>0.6785714285714286</v>
      </c>
      <c r="N262" s="9">
        <f t="shared" si="90"/>
        <v>0.7857142857142857</v>
      </c>
      <c r="O262" s="9">
        <f t="shared" si="91"/>
        <v>0.6607142857142857</v>
      </c>
      <c r="P262" s="17"/>
    </row>
    <row r="263" spans="1:16" x14ac:dyDescent="0.25">
      <c r="A263" t="s">
        <v>138</v>
      </c>
      <c r="B263">
        <v>2021</v>
      </c>
      <c r="C263" s="8">
        <f>'1_Du_lieu'!F304</f>
        <v>14.56</v>
      </c>
      <c r="D263" s="8">
        <f>'1_Du_lieu'!G304</f>
        <v>3.48</v>
      </c>
      <c r="E263" s="8">
        <f>'1_Du_lieu'!H304</f>
        <v>2.94</v>
      </c>
      <c r="F263" s="16">
        <v>0</v>
      </c>
      <c r="G263" s="6">
        <f t="shared" si="84"/>
        <v>2.9120000000000004</v>
      </c>
      <c r="H263" s="6">
        <f t="shared" si="85"/>
        <v>1.3920000000000001</v>
      </c>
      <c r="I263" s="6">
        <f t="shared" si="86"/>
        <v>1.1759999999999999</v>
      </c>
      <c r="J263" s="6">
        <f t="shared" si="87"/>
        <v>0</v>
      </c>
      <c r="K263" s="6">
        <f t="shared" si="92"/>
        <v>5.48</v>
      </c>
      <c r="L263" s="9">
        <f t="shared" si="88"/>
        <v>0.39285714285714285</v>
      </c>
      <c r="M263" s="9">
        <f t="shared" si="89"/>
        <v>0.5714285714285714</v>
      </c>
      <c r="N263" s="9">
        <f t="shared" si="90"/>
        <v>0.44642857142857145</v>
      </c>
      <c r="O263" s="9">
        <f t="shared" si="91"/>
        <v>0.14285714285714285</v>
      </c>
      <c r="P263" s="17"/>
    </row>
    <row r="264" spans="1:16" x14ac:dyDescent="0.25">
      <c r="A264" t="s">
        <v>139</v>
      </c>
      <c r="B264">
        <v>2021</v>
      </c>
      <c r="C264" s="8">
        <f>'1_Du_lieu'!F305</f>
        <v>14.51</v>
      </c>
      <c r="D264" s="8">
        <f>'1_Du_lieu'!G305</f>
        <v>4.12</v>
      </c>
      <c r="E264" s="8">
        <f>'1_Du_lieu'!H305</f>
        <v>4.59</v>
      </c>
      <c r="F264" s="16">
        <v>0</v>
      </c>
      <c r="G264" s="6">
        <f t="shared" si="84"/>
        <v>2.9020000000000001</v>
      </c>
      <c r="H264" s="6">
        <f t="shared" si="85"/>
        <v>1.6480000000000001</v>
      </c>
      <c r="I264" s="6">
        <f t="shared" si="86"/>
        <v>1.8360000000000001</v>
      </c>
      <c r="J264" s="6">
        <f t="shared" si="87"/>
        <v>0</v>
      </c>
      <c r="K264" s="6">
        <f t="shared" si="92"/>
        <v>6.386000000000001</v>
      </c>
      <c r="L264" s="9">
        <f t="shared" si="88"/>
        <v>0.6071428571428571</v>
      </c>
      <c r="M264" s="9">
        <f t="shared" si="89"/>
        <v>0.5535714285714286</v>
      </c>
      <c r="N264" s="9">
        <f t="shared" si="90"/>
        <v>0.6785714285714286</v>
      </c>
      <c r="O264" s="9">
        <f t="shared" si="91"/>
        <v>0.5892857142857143</v>
      </c>
      <c r="P264" s="17"/>
    </row>
    <row r="265" spans="1:16" x14ac:dyDescent="0.25">
      <c r="A265" t="s">
        <v>140</v>
      </c>
      <c r="B265">
        <v>2021</v>
      </c>
      <c r="C265" s="8">
        <f>'1_Du_lieu'!F306</f>
        <v>14.15</v>
      </c>
      <c r="D265" s="8">
        <f>'1_Du_lieu'!G306</f>
        <v>3.13</v>
      </c>
      <c r="E265" s="8">
        <f>'1_Du_lieu'!H306</f>
        <v>5.18</v>
      </c>
      <c r="F265" s="16">
        <v>0</v>
      </c>
      <c r="G265" s="6">
        <f t="shared" si="84"/>
        <v>2.83</v>
      </c>
      <c r="H265" s="6">
        <f t="shared" si="85"/>
        <v>1.252</v>
      </c>
      <c r="I265" s="6">
        <f t="shared" si="86"/>
        <v>2.0720000000000001</v>
      </c>
      <c r="J265" s="6">
        <f t="shared" si="87"/>
        <v>0</v>
      </c>
      <c r="K265" s="6">
        <f t="shared" si="92"/>
        <v>6.1539999999999999</v>
      </c>
      <c r="L265" s="9">
        <f t="shared" si="88"/>
        <v>0.5357142857142857</v>
      </c>
      <c r="M265" s="9">
        <f t="shared" si="89"/>
        <v>0.5357142857142857</v>
      </c>
      <c r="N265" s="9">
        <f t="shared" si="90"/>
        <v>0.35714285714285715</v>
      </c>
      <c r="O265" s="9">
        <f t="shared" si="91"/>
        <v>0.7321428571428571</v>
      </c>
      <c r="P265" s="17"/>
    </row>
    <row r="266" spans="1:16" x14ac:dyDescent="0.25">
      <c r="A266" t="s">
        <v>141</v>
      </c>
      <c r="B266">
        <v>2021</v>
      </c>
      <c r="C266" s="8">
        <f>'1_Du_lieu'!F307</f>
        <v>12.15</v>
      </c>
      <c r="D266" s="8">
        <f>'1_Du_lieu'!G307</f>
        <v>3.82</v>
      </c>
      <c r="E266" s="8">
        <f>'1_Du_lieu'!H307</f>
        <v>3.5</v>
      </c>
      <c r="F266" s="16">
        <v>0</v>
      </c>
      <c r="G266" s="6">
        <f t="shared" si="84"/>
        <v>2.4300000000000002</v>
      </c>
      <c r="H266" s="6">
        <f t="shared" si="85"/>
        <v>1.528</v>
      </c>
      <c r="I266" s="6">
        <f t="shared" si="86"/>
        <v>1.4000000000000001</v>
      </c>
      <c r="J266" s="6">
        <f t="shared" si="87"/>
        <v>0</v>
      </c>
      <c r="K266" s="6">
        <f t="shared" si="92"/>
        <v>5.3580000000000005</v>
      </c>
      <c r="L266" s="9">
        <f t="shared" si="88"/>
        <v>0.3392857142857143</v>
      </c>
      <c r="M266" s="9">
        <f t="shared" si="89"/>
        <v>0.23214285714285715</v>
      </c>
      <c r="N266" s="9">
        <f t="shared" si="90"/>
        <v>0.5714285714285714</v>
      </c>
      <c r="O266" s="9">
        <f t="shared" si="91"/>
        <v>0.30357142857142855</v>
      </c>
      <c r="P266" s="17"/>
    </row>
    <row r="267" spans="1:16" x14ac:dyDescent="0.25">
      <c r="A267" t="s">
        <v>142</v>
      </c>
      <c r="B267">
        <v>2021</v>
      </c>
      <c r="C267" s="8">
        <f>'1_Du_lieu'!F308</f>
        <v>11.72</v>
      </c>
      <c r="D267" s="8">
        <f>'1_Du_lieu'!G308</f>
        <v>2.9</v>
      </c>
      <c r="E267" s="8">
        <f>'1_Du_lieu'!H308</f>
        <v>2.19</v>
      </c>
      <c r="F267" s="16">
        <v>0</v>
      </c>
      <c r="G267" s="6">
        <f t="shared" si="84"/>
        <v>2.3440000000000003</v>
      </c>
      <c r="H267" s="6">
        <f t="shared" si="85"/>
        <v>1.1599999999999999</v>
      </c>
      <c r="I267" s="6">
        <f t="shared" si="86"/>
        <v>0.876</v>
      </c>
      <c r="J267" s="6">
        <f t="shared" si="87"/>
        <v>0</v>
      </c>
      <c r="K267" s="6">
        <f t="shared" si="92"/>
        <v>4.3800000000000008</v>
      </c>
      <c r="L267" s="9">
        <f t="shared" si="88"/>
        <v>7.1428571428571425E-2</v>
      </c>
      <c r="M267" s="9">
        <f t="shared" si="89"/>
        <v>0.16071428571428573</v>
      </c>
      <c r="N267" s="9">
        <f t="shared" si="90"/>
        <v>0.23214285714285715</v>
      </c>
      <c r="O267" s="9">
        <f t="shared" si="91"/>
        <v>5.3571428571428568E-2</v>
      </c>
      <c r="P267" s="17"/>
    </row>
    <row r="268" spans="1:16" x14ac:dyDescent="0.25">
      <c r="A268" t="s">
        <v>143</v>
      </c>
      <c r="B268">
        <v>2021</v>
      </c>
      <c r="C268" s="8">
        <f>'1_Du_lieu'!F309</f>
        <v>11.63</v>
      </c>
      <c r="D268" s="8">
        <f>'1_Du_lieu'!G309</f>
        <v>2.34</v>
      </c>
      <c r="E268" s="8">
        <f>'1_Du_lieu'!H309</f>
        <v>1.86</v>
      </c>
      <c r="F268" s="16">
        <v>0</v>
      </c>
      <c r="G268" s="6">
        <f t="shared" si="84"/>
        <v>2.3260000000000001</v>
      </c>
      <c r="H268" s="6">
        <f t="shared" si="85"/>
        <v>0.93599999999999994</v>
      </c>
      <c r="I268" s="6">
        <f t="shared" si="86"/>
        <v>0.74400000000000011</v>
      </c>
      <c r="J268" s="6">
        <f t="shared" si="87"/>
        <v>0</v>
      </c>
      <c r="K268" s="6">
        <f t="shared" si="92"/>
        <v>4.0060000000000002</v>
      </c>
      <c r="L268" s="9">
        <f t="shared" si="88"/>
        <v>3.5714285714285712E-2</v>
      </c>
      <c r="M268" s="9">
        <f t="shared" si="89"/>
        <v>0.125</v>
      </c>
      <c r="N268" s="9">
        <f t="shared" si="90"/>
        <v>7.1428571428571425E-2</v>
      </c>
      <c r="O268" s="9">
        <f t="shared" si="91"/>
        <v>1.7857142857142856E-2</v>
      </c>
      <c r="P268" s="17"/>
    </row>
    <row r="269" spans="1:16" x14ac:dyDescent="0.25">
      <c r="A269" t="s">
        <v>144</v>
      </c>
      <c r="B269">
        <v>2021</v>
      </c>
      <c r="C269" s="8">
        <f>'1_Du_lieu'!F310</f>
        <v>12.42</v>
      </c>
      <c r="D269" s="8">
        <f>'1_Du_lieu'!G310</f>
        <v>4.03</v>
      </c>
      <c r="E269" s="8">
        <f>'1_Du_lieu'!H310</f>
        <v>3.66</v>
      </c>
      <c r="F269" s="16">
        <v>0</v>
      </c>
      <c r="G269" s="6">
        <f t="shared" si="84"/>
        <v>2.484</v>
      </c>
      <c r="H269" s="6">
        <f t="shared" si="85"/>
        <v>1.6120000000000001</v>
      </c>
      <c r="I269" s="6">
        <f t="shared" si="86"/>
        <v>1.4640000000000002</v>
      </c>
      <c r="J269" s="6">
        <f t="shared" si="87"/>
        <v>0</v>
      </c>
      <c r="K269" s="6">
        <f t="shared" si="92"/>
        <v>5.5600000000000005</v>
      </c>
      <c r="L269" s="9">
        <f t="shared" si="88"/>
        <v>0.42857142857142855</v>
      </c>
      <c r="M269" s="9">
        <f t="shared" si="89"/>
        <v>0.25</v>
      </c>
      <c r="N269" s="9">
        <f t="shared" si="90"/>
        <v>0.6607142857142857</v>
      </c>
      <c r="O269" s="9">
        <f t="shared" si="91"/>
        <v>0.35714285714285715</v>
      </c>
      <c r="P269" s="17"/>
    </row>
    <row r="270" spans="1:16" x14ac:dyDescent="0.25">
      <c r="A270" t="s">
        <v>145</v>
      </c>
      <c r="B270">
        <v>2021</v>
      </c>
      <c r="C270" s="8">
        <f>'1_Du_lieu'!F311</f>
        <v>11.62</v>
      </c>
      <c r="D270" s="8">
        <f>'1_Du_lieu'!G311</f>
        <v>3.05</v>
      </c>
      <c r="E270" s="8">
        <f>'1_Du_lieu'!H311</f>
        <v>2.63</v>
      </c>
      <c r="F270" s="16">
        <v>0</v>
      </c>
      <c r="G270" s="6">
        <f t="shared" si="84"/>
        <v>2.3239999999999998</v>
      </c>
      <c r="H270" s="6">
        <f t="shared" si="85"/>
        <v>1.22</v>
      </c>
      <c r="I270" s="6">
        <f t="shared" si="86"/>
        <v>1.052</v>
      </c>
      <c r="J270" s="6">
        <f t="shared" si="87"/>
        <v>0</v>
      </c>
      <c r="K270" s="6">
        <f t="shared" si="92"/>
        <v>4.5960000000000001</v>
      </c>
      <c r="L270" s="9">
        <f t="shared" si="88"/>
        <v>0.125</v>
      </c>
      <c r="M270" s="9">
        <f t="shared" si="89"/>
        <v>0.10714285714285714</v>
      </c>
      <c r="N270" s="9">
        <f t="shared" si="90"/>
        <v>0.32142857142857145</v>
      </c>
      <c r="O270" s="9">
        <f t="shared" si="91"/>
        <v>8.9285714285714288E-2</v>
      </c>
      <c r="P270" s="17"/>
    </row>
    <row r="271" spans="1:16" x14ac:dyDescent="0.25">
      <c r="A271" t="s">
        <v>146</v>
      </c>
      <c r="B271">
        <v>2021</v>
      </c>
      <c r="C271" s="8">
        <f>'1_Du_lieu'!F312</f>
        <v>15.75</v>
      </c>
      <c r="D271" s="8">
        <f>'1_Du_lieu'!G312</f>
        <v>3.73</v>
      </c>
      <c r="E271" s="8">
        <f>'1_Du_lieu'!H312</f>
        <v>6.37</v>
      </c>
      <c r="F271" s="16">
        <v>0</v>
      </c>
      <c r="G271" s="6">
        <f t="shared" si="84"/>
        <v>3.1500000000000004</v>
      </c>
      <c r="H271" s="6">
        <f t="shared" si="85"/>
        <v>1.492</v>
      </c>
      <c r="I271" s="6">
        <f t="shared" si="86"/>
        <v>2.548</v>
      </c>
      <c r="J271" s="6">
        <f t="shared" si="87"/>
        <v>0</v>
      </c>
      <c r="K271" s="6">
        <f t="shared" si="92"/>
        <v>7.19</v>
      </c>
      <c r="L271" s="9">
        <f t="shared" si="88"/>
        <v>0.7678571428571429</v>
      </c>
      <c r="M271" s="9">
        <f t="shared" si="89"/>
        <v>0.7321428571428571</v>
      </c>
      <c r="N271" s="9">
        <f t="shared" si="90"/>
        <v>0.5357142857142857</v>
      </c>
      <c r="O271" s="9">
        <f t="shared" si="91"/>
        <v>0.8035714285714286</v>
      </c>
      <c r="P271" s="17"/>
    </row>
    <row r="272" spans="1:16" x14ac:dyDescent="0.25">
      <c r="A272" t="s">
        <v>147</v>
      </c>
      <c r="B272">
        <v>2021</v>
      </c>
      <c r="C272" s="8">
        <f>'1_Du_lieu'!F313</f>
        <v>11.87</v>
      </c>
      <c r="D272" s="8">
        <f>'1_Du_lieu'!G313</f>
        <v>3.7</v>
      </c>
      <c r="E272" s="8">
        <f>'1_Du_lieu'!H313</f>
        <v>3.52</v>
      </c>
      <c r="F272" s="16">
        <v>0</v>
      </c>
      <c r="G272" s="6">
        <f t="shared" si="84"/>
        <v>2.3740000000000001</v>
      </c>
      <c r="H272" s="6">
        <f t="shared" si="85"/>
        <v>1.4800000000000002</v>
      </c>
      <c r="I272" s="6">
        <f t="shared" si="86"/>
        <v>1.4080000000000001</v>
      </c>
      <c r="J272" s="6">
        <f t="shared" si="87"/>
        <v>0</v>
      </c>
      <c r="K272" s="6">
        <f t="shared" si="92"/>
        <v>5.2620000000000005</v>
      </c>
      <c r="L272" s="9">
        <f t="shared" si="88"/>
        <v>0.26785714285714285</v>
      </c>
      <c r="M272" s="9">
        <f t="shared" si="89"/>
        <v>0.17857142857142858</v>
      </c>
      <c r="N272" s="9">
        <f t="shared" si="90"/>
        <v>0.5178571428571429</v>
      </c>
      <c r="O272" s="9">
        <f t="shared" si="91"/>
        <v>0.32142857142857145</v>
      </c>
      <c r="P272" s="17"/>
    </row>
    <row r="273" spans="1:16" x14ac:dyDescent="0.25">
      <c r="A273" t="s">
        <v>149</v>
      </c>
      <c r="B273">
        <v>2021</v>
      </c>
      <c r="C273" s="8">
        <f>'1_Du_lieu'!F315</f>
        <v>35.71</v>
      </c>
      <c r="D273" s="8">
        <f>'1_Du_lieu'!G315</f>
        <v>7.62</v>
      </c>
      <c r="E273" s="8">
        <f>'1_Du_lieu'!H315</f>
        <v>22.12</v>
      </c>
      <c r="F273" s="16">
        <v>0</v>
      </c>
      <c r="G273" s="6">
        <f t="shared" si="84"/>
        <v>7.1420000000000003</v>
      </c>
      <c r="H273" s="6">
        <f t="shared" si="85"/>
        <v>3.048</v>
      </c>
      <c r="I273" s="6">
        <f t="shared" si="86"/>
        <v>8.8480000000000008</v>
      </c>
      <c r="J273" s="6">
        <f t="shared" si="87"/>
        <v>0</v>
      </c>
      <c r="K273" s="6">
        <f t="shared" si="92"/>
        <v>19.038000000000004</v>
      </c>
      <c r="L273" s="9">
        <f t="shared" si="88"/>
        <v>0.9642857142857143</v>
      </c>
      <c r="M273" s="9">
        <f t="shared" si="89"/>
        <v>0.9642857142857143</v>
      </c>
      <c r="N273" s="9">
        <f t="shared" si="90"/>
        <v>0.9285714285714286</v>
      </c>
      <c r="O273" s="9">
        <f t="shared" si="91"/>
        <v>0.9642857142857143</v>
      </c>
      <c r="P273" s="17"/>
    </row>
    <row r="274" spans="1:16" x14ac:dyDescent="0.25">
      <c r="A274" t="s">
        <v>150</v>
      </c>
      <c r="B274">
        <v>2021</v>
      </c>
      <c r="C274" s="8">
        <f>'1_Du_lieu'!F316</f>
        <v>13.6</v>
      </c>
      <c r="D274" s="8">
        <f>'1_Du_lieu'!G316</f>
        <v>3.23</v>
      </c>
      <c r="E274" s="8">
        <f>'1_Du_lieu'!H316</f>
        <v>3.98</v>
      </c>
      <c r="F274" s="16">
        <v>0</v>
      </c>
      <c r="G274" s="6">
        <f t="shared" si="84"/>
        <v>2.72</v>
      </c>
      <c r="H274" s="6">
        <f t="shared" si="85"/>
        <v>1.292</v>
      </c>
      <c r="I274" s="6">
        <f t="shared" si="86"/>
        <v>1.5920000000000001</v>
      </c>
      <c r="J274" s="6">
        <f t="shared" si="87"/>
        <v>0</v>
      </c>
      <c r="K274" s="6">
        <f t="shared" si="92"/>
        <v>5.604000000000001</v>
      </c>
      <c r="L274" s="9">
        <f t="shared" si="88"/>
        <v>0.4642857142857143</v>
      </c>
      <c r="M274" s="9">
        <f t="shared" si="89"/>
        <v>0.48214285714285715</v>
      </c>
      <c r="N274" s="9">
        <f t="shared" si="90"/>
        <v>0.39285714285714285</v>
      </c>
      <c r="O274" s="9">
        <f t="shared" si="91"/>
        <v>0.4642857142857143</v>
      </c>
      <c r="P274" s="17"/>
    </row>
    <row r="275" spans="1:16" x14ac:dyDescent="0.25">
      <c r="A275" t="s">
        <v>151</v>
      </c>
      <c r="B275">
        <v>2021</v>
      </c>
      <c r="C275" s="8">
        <f>'1_Du_lieu'!F317</f>
        <v>11.42</v>
      </c>
      <c r="D275" s="8">
        <f>'1_Du_lieu'!G317</f>
        <v>2.98</v>
      </c>
      <c r="E275" s="8">
        <f>'1_Du_lieu'!H317</f>
        <v>2.98</v>
      </c>
      <c r="F275" s="16">
        <v>0</v>
      </c>
      <c r="G275" s="6">
        <f t="shared" si="84"/>
        <v>2.2840000000000003</v>
      </c>
      <c r="H275" s="6">
        <f t="shared" si="85"/>
        <v>1.1919999999999999</v>
      </c>
      <c r="I275" s="6">
        <f t="shared" si="86"/>
        <v>1.1919999999999999</v>
      </c>
      <c r="J275" s="6">
        <f t="shared" si="87"/>
        <v>0</v>
      </c>
      <c r="K275" s="6">
        <f t="shared" si="92"/>
        <v>4.6680000000000001</v>
      </c>
      <c r="L275" s="9">
        <f t="shared" si="88"/>
        <v>0.16071428571428573</v>
      </c>
      <c r="M275" s="9">
        <f t="shared" si="89"/>
        <v>2.6785714285714284E-2</v>
      </c>
      <c r="N275" s="9">
        <f t="shared" si="90"/>
        <v>0.30357142857142855</v>
      </c>
      <c r="O275" s="9">
        <f t="shared" si="91"/>
        <v>0.16071428571428573</v>
      </c>
      <c r="P275" s="17"/>
    </row>
    <row r="276" spans="1:16" x14ac:dyDescent="0.25">
      <c r="A276" t="s">
        <v>152</v>
      </c>
      <c r="B276">
        <v>2021</v>
      </c>
      <c r="C276" s="8">
        <f>'1_Du_lieu'!F318</f>
        <v>16.510000000000002</v>
      </c>
      <c r="D276" s="8">
        <f>'1_Du_lieu'!G318</f>
        <v>10.69</v>
      </c>
      <c r="E276" s="8">
        <f>'1_Du_lieu'!H318</f>
        <v>8.92</v>
      </c>
      <c r="F276" s="16">
        <v>0</v>
      </c>
      <c r="G276" s="6">
        <f t="shared" si="84"/>
        <v>3.3020000000000005</v>
      </c>
      <c r="H276" s="6">
        <f t="shared" si="85"/>
        <v>4.2759999999999998</v>
      </c>
      <c r="I276" s="6">
        <f t="shared" si="86"/>
        <v>3.5680000000000001</v>
      </c>
      <c r="J276" s="6">
        <f t="shared" si="87"/>
        <v>0</v>
      </c>
      <c r="K276" s="6">
        <f t="shared" si="92"/>
        <v>11.146000000000001</v>
      </c>
      <c r="L276" s="9">
        <f t="shared" si="88"/>
        <v>0.9285714285714286</v>
      </c>
      <c r="M276" s="9">
        <f t="shared" si="89"/>
        <v>0.8214285714285714</v>
      </c>
      <c r="N276" s="9">
        <f t="shared" si="90"/>
        <v>0.9464285714285714</v>
      </c>
      <c r="O276" s="9">
        <f t="shared" si="91"/>
        <v>0.8571428571428571</v>
      </c>
      <c r="P276" s="17"/>
    </row>
    <row r="277" spans="1:16" x14ac:dyDescent="0.25">
      <c r="A277" t="s">
        <v>153</v>
      </c>
      <c r="B277">
        <v>2021</v>
      </c>
      <c r="C277" s="8">
        <f>'1_Du_lieu'!F319</f>
        <v>12.5</v>
      </c>
      <c r="D277" s="8">
        <f>'1_Du_lieu'!G319</f>
        <v>3.8</v>
      </c>
      <c r="E277" s="8">
        <f>'1_Du_lieu'!H319</f>
        <v>3.9</v>
      </c>
      <c r="F277" s="16">
        <v>0</v>
      </c>
      <c r="G277" s="6">
        <f t="shared" si="84"/>
        <v>2.5</v>
      </c>
      <c r="H277" s="6">
        <f t="shared" si="85"/>
        <v>1.52</v>
      </c>
      <c r="I277" s="6">
        <f t="shared" si="86"/>
        <v>1.56</v>
      </c>
      <c r="J277" s="6">
        <f t="shared" si="87"/>
        <v>0</v>
      </c>
      <c r="K277" s="6">
        <f t="shared" si="92"/>
        <v>5.58</v>
      </c>
      <c r="L277" s="9">
        <f t="shared" si="88"/>
        <v>0.44642857142857145</v>
      </c>
      <c r="M277" s="9">
        <f t="shared" si="89"/>
        <v>0.2767857142857143</v>
      </c>
      <c r="N277" s="9">
        <f t="shared" si="90"/>
        <v>0.5535714285714286</v>
      </c>
      <c r="O277" s="9">
        <f t="shared" si="91"/>
        <v>0.42857142857142855</v>
      </c>
      <c r="P277" s="17"/>
    </row>
    <row r="278" spans="1:16" x14ac:dyDescent="0.25">
      <c r="A278" t="s">
        <v>85</v>
      </c>
      <c r="B278">
        <v>2022</v>
      </c>
      <c r="C278" s="8">
        <f>'1_Du_lieu'!F320</f>
        <v>12.7</v>
      </c>
      <c r="D278" s="8">
        <f>'1_Du_lieu'!G320</f>
        <v>23</v>
      </c>
      <c r="E278" s="8">
        <f>'1_Du_lieu'!H320</f>
        <v>13.1</v>
      </c>
      <c r="F278" s="16">
        <v>0</v>
      </c>
      <c r="G278" s="6">
        <f t="shared" ref="G278:G309" si="93">C278*$AC$9</f>
        <v>2.54</v>
      </c>
      <c r="H278" s="6">
        <f t="shared" ref="H278:H309" si="94">D278*$AD$9</f>
        <v>9.2000000000000011</v>
      </c>
      <c r="I278" s="6">
        <f t="shared" ref="I278:I309" si="95">E278*$AE$9</f>
        <v>5.24</v>
      </c>
      <c r="J278" s="6">
        <f t="shared" ref="J278:J309" si="96">F278*$AF$9</f>
        <v>0</v>
      </c>
      <c r="K278" s="6">
        <f t="shared" si="92"/>
        <v>16.980000000000004</v>
      </c>
      <c r="L278" s="9">
        <f t="shared" ref="L278:L309" si="97">_xlfn.RANK.AVG(K278,$K$278:$K$333,1)/56</f>
        <v>0.5357142857142857</v>
      </c>
      <c r="M278" s="9">
        <f t="shared" ref="M278:M309" si="98">_xlfn.RANK.AVG(G278,$G$278:$G$333,1)/56</f>
        <v>0.2767857142857143</v>
      </c>
      <c r="N278" s="9">
        <f t="shared" ref="N278:N309" si="99">_xlfn.RANK.AVG(H278,$H$278:$H$333,1)/56</f>
        <v>0.6964285714285714</v>
      </c>
      <c r="O278" s="9">
        <f t="shared" ref="O278:O309" si="100">_xlfn.RANK.AVG(I278,$I$278:$I$333,1)/56</f>
        <v>0.39285714285714285</v>
      </c>
      <c r="P278" s="17"/>
    </row>
    <row r="279" spans="1:16" x14ac:dyDescent="0.25">
      <c r="A279" t="s">
        <v>87</v>
      </c>
      <c r="B279">
        <v>2022</v>
      </c>
      <c r="C279" s="8">
        <f>'1_Du_lieu'!F321</f>
        <v>30.2</v>
      </c>
      <c r="D279" s="8">
        <f>'1_Du_lieu'!G321</f>
        <v>25.2</v>
      </c>
      <c r="E279" s="8">
        <f>'1_Du_lieu'!H321</f>
        <v>23.1</v>
      </c>
      <c r="F279" s="16">
        <v>0</v>
      </c>
      <c r="G279" s="6">
        <f t="shared" si="93"/>
        <v>6.04</v>
      </c>
      <c r="H279" s="6">
        <f t="shared" si="94"/>
        <v>10.08</v>
      </c>
      <c r="I279" s="6">
        <f t="shared" si="95"/>
        <v>9.24</v>
      </c>
      <c r="J279" s="6">
        <f t="shared" si="96"/>
        <v>0</v>
      </c>
      <c r="K279" s="6">
        <f t="shared" si="92"/>
        <v>25.36</v>
      </c>
      <c r="L279" s="9">
        <f t="shared" si="97"/>
        <v>0.8571428571428571</v>
      </c>
      <c r="M279" s="9">
        <f t="shared" si="98"/>
        <v>0.9107142857142857</v>
      </c>
      <c r="N279" s="9">
        <f t="shared" si="99"/>
        <v>0.7678571428571429</v>
      </c>
      <c r="O279" s="9">
        <f t="shared" si="100"/>
        <v>0.8392857142857143</v>
      </c>
      <c r="P279" s="17"/>
    </row>
    <row r="280" spans="1:16" x14ac:dyDescent="0.25">
      <c r="A280" t="s">
        <v>89</v>
      </c>
      <c r="B280">
        <v>2022</v>
      </c>
      <c r="C280" s="8">
        <f>'1_Du_lieu'!F322</f>
        <v>32</v>
      </c>
      <c r="D280" s="8">
        <f>'1_Du_lieu'!G322</f>
        <v>38</v>
      </c>
      <c r="E280" s="8">
        <f>'1_Du_lieu'!H322</f>
        <v>37</v>
      </c>
      <c r="F280" s="16">
        <v>0</v>
      </c>
      <c r="G280" s="6">
        <f t="shared" si="93"/>
        <v>6.4</v>
      </c>
      <c r="H280" s="6">
        <f t="shared" si="94"/>
        <v>15.200000000000001</v>
      </c>
      <c r="I280" s="6">
        <f t="shared" si="95"/>
        <v>14.8</v>
      </c>
      <c r="J280" s="6">
        <f t="shared" si="96"/>
        <v>0</v>
      </c>
      <c r="K280" s="6">
        <f t="shared" si="92"/>
        <v>36.400000000000006</v>
      </c>
      <c r="L280" s="9">
        <f t="shared" si="97"/>
        <v>0.9464285714285714</v>
      </c>
      <c r="M280" s="9">
        <f t="shared" si="98"/>
        <v>0.9285714285714286</v>
      </c>
      <c r="N280" s="9">
        <f t="shared" si="99"/>
        <v>0.9642857142857143</v>
      </c>
      <c r="O280" s="9">
        <f t="shared" si="100"/>
        <v>0.9642857142857143</v>
      </c>
      <c r="P280" s="17"/>
    </row>
    <row r="281" spans="1:16" x14ac:dyDescent="0.25">
      <c r="A281" t="s">
        <v>90</v>
      </c>
      <c r="B281">
        <v>2022</v>
      </c>
      <c r="C281" s="8">
        <f>'1_Du_lieu'!F323</f>
        <v>15.9</v>
      </c>
      <c r="D281" s="8">
        <f>'1_Du_lieu'!G323</f>
        <v>13</v>
      </c>
      <c r="E281" s="8">
        <f>'1_Du_lieu'!H323</f>
        <v>12</v>
      </c>
      <c r="F281" s="16">
        <v>0</v>
      </c>
      <c r="G281" s="6">
        <f t="shared" si="93"/>
        <v>3.18</v>
      </c>
      <c r="H281" s="6">
        <f t="shared" si="94"/>
        <v>5.2</v>
      </c>
      <c r="I281" s="6">
        <f t="shared" si="95"/>
        <v>4.8000000000000007</v>
      </c>
      <c r="J281" s="6">
        <f t="shared" si="96"/>
        <v>0</v>
      </c>
      <c r="K281" s="6">
        <f t="shared" si="92"/>
        <v>13.180000000000001</v>
      </c>
      <c r="L281" s="9">
        <f t="shared" si="97"/>
        <v>0.21428571428571427</v>
      </c>
      <c r="M281" s="9">
        <f t="shared" si="98"/>
        <v>0.42857142857142855</v>
      </c>
      <c r="N281" s="9">
        <f t="shared" si="99"/>
        <v>0.11607142857142858</v>
      </c>
      <c r="O281" s="9">
        <f t="shared" si="100"/>
        <v>0.2857142857142857</v>
      </c>
      <c r="P281" s="17"/>
    </row>
    <row r="282" spans="1:16" x14ac:dyDescent="0.25">
      <c r="A282" t="s">
        <v>91</v>
      </c>
      <c r="B282">
        <v>2022</v>
      </c>
      <c r="C282" s="8">
        <f>'1_Du_lieu'!F324</f>
        <v>15.5</v>
      </c>
      <c r="D282" s="8">
        <f>'1_Du_lieu'!G324</f>
        <v>18</v>
      </c>
      <c r="E282" s="8">
        <f>'1_Du_lieu'!H324</f>
        <v>12.6</v>
      </c>
      <c r="F282" s="16">
        <v>0</v>
      </c>
      <c r="G282" s="6">
        <f t="shared" si="93"/>
        <v>3.1</v>
      </c>
      <c r="H282" s="6">
        <f t="shared" si="94"/>
        <v>7.2</v>
      </c>
      <c r="I282" s="6">
        <f t="shared" si="95"/>
        <v>5.04</v>
      </c>
      <c r="J282" s="6">
        <f t="shared" si="96"/>
        <v>0</v>
      </c>
      <c r="K282" s="6">
        <f t="shared" si="92"/>
        <v>15.34</v>
      </c>
      <c r="L282" s="9">
        <f t="shared" si="97"/>
        <v>0.48214285714285715</v>
      </c>
      <c r="M282" s="9">
        <f t="shared" si="98"/>
        <v>0.39285714285714285</v>
      </c>
      <c r="N282" s="9">
        <f t="shared" si="99"/>
        <v>0.5267857142857143</v>
      </c>
      <c r="O282" s="9">
        <f t="shared" si="100"/>
        <v>0.3392857142857143</v>
      </c>
      <c r="P282" s="17"/>
    </row>
    <row r="283" spans="1:16" x14ac:dyDescent="0.25">
      <c r="A283" t="s">
        <v>93</v>
      </c>
      <c r="B283">
        <v>2022</v>
      </c>
      <c r="C283" s="8">
        <f>'1_Du_lieu'!F325</f>
        <v>20.8</v>
      </c>
      <c r="D283" s="8">
        <f>'1_Du_lieu'!G325</f>
        <v>20.5</v>
      </c>
      <c r="E283" s="8">
        <f>'1_Du_lieu'!H325</f>
        <v>16.899999999999999</v>
      </c>
      <c r="F283" s="16">
        <v>0</v>
      </c>
      <c r="G283" s="6">
        <f t="shared" si="93"/>
        <v>4.16</v>
      </c>
      <c r="H283" s="6">
        <f t="shared" si="94"/>
        <v>8.2000000000000011</v>
      </c>
      <c r="I283" s="6">
        <f t="shared" si="95"/>
        <v>6.76</v>
      </c>
      <c r="J283" s="6">
        <f t="shared" si="96"/>
        <v>0</v>
      </c>
      <c r="K283" s="6">
        <f t="shared" si="92"/>
        <v>19.12</v>
      </c>
      <c r="L283" s="9">
        <f t="shared" si="97"/>
        <v>0.6428571428571429</v>
      </c>
      <c r="M283" s="9">
        <f t="shared" si="98"/>
        <v>0.6964285714285714</v>
      </c>
      <c r="N283" s="9">
        <f t="shared" si="99"/>
        <v>0.5892857142857143</v>
      </c>
      <c r="O283" s="9">
        <f t="shared" si="100"/>
        <v>0.6517857142857143</v>
      </c>
      <c r="P283" s="17"/>
    </row>
    <row r="284" spans="1:16" x14ac:dyDescent="0.25">
      <c r="A284" t="s">
        <v>95</v>
      </c>
      <c r="B284">
        <v>2022</v>
      </c>
      <c r="C284" s="8">
        <f>'1_Du_lieu'!F327</f>
        <v>15.2</v>
      </c>
      <c r="D284" s="8">
        <f>'1_Du_lieu'!G327</f>
        <v>21.5</v>
      </c>
      <c r="E284" s="8">
        <f>'1_Du_lieu'!H327</f>
        <v>13.9</v>
      </c>
      <c r="F284" s="16">
        <v>0</v>
      </c>
      <c r="G284" s="6">
        <f t="shared" si="93"/>
        <v>3.04</v>
      </c>
      <c r="H284" s="6">
        <f t="shared" si="94"/>
        <v>8.6</v>
      </c>
      <c r="I284" s="6">
        <f t="shared" si="95"/>
        <v>5.5600000000000005</v>
      </c>
      <c r="J284" s="6">
        <f t="shared" si="96"/>
        <v>0</v>
      </c>
      <c r="K284" s="6">
        <f t="shared" si="92"/>
        <v>17.200000000000003</v>
      </c>
      <c r="L284" s="9">
        <f t="shared" si="97"/>
        <v>0.5535714285714286</v>
      </c>
      <c r="M284" s="9">
        <f t="shared" si="98"/>
        <v>0.375</v>
      </c>
      <c r="N284" s="9">
        <f t="shared" si="99"/>
        <v>0.625</v>
      </c>
      <c r="O284" s="9">
        <f t="shared" si="100"/>
        <v>0.48214285714285715</v>
      </c>
      <c r="P284" s="17"/>
    </row>
    <row r="285" spans="1:16" x14ac:dyDescent="0.25">
      <c r="A285" t="s">
        <v>97</v>
      </c>
      <c r="B285">
        <v>2022</v>
      </c>
      <c r="C285" s="8">
        <f>'1_Du_lieu'!F328</f>
        <v>11.9</v>
      </c>
      <c r="D285" s="8">
        <f>'1_Du_lieu'!G328</f>
        <v>11.4</v>
      </c>
      <c r="E285" s="8">
        <f>'1_Du_lieu'!H328</f>
        <v>10</v>
      </c>
      <c r="F285" s="16">
        <v>0</v>
      </c>
      <c r="G285" s="6">
        <f t="shared" si="93"/>
        <v>2.3800000000000003</v>
      </c>
      <c r="H285" s="6">
        <f t="shared" si="94"/>
        <v>4.5600000000000005</v>
      </c>
      <c r="I285" s="6">
        <f t="shared" si="95"/>
        <v>4</v>
      </c>
      <c r="J285" s="6">
        <f t="shared" si="96"/>
        <v>0</v>
      </c>
      <c r="K285" s="6">
        <f t="shared" si="92"/>
        <v>10.940000000000001</v>
      </c>
      <c r="L285" s="9">
        <f t="shared" si="97"/>
        <v>8.9285714285714288E-2</v>
      </c>
      <c r="M285" s="9">
        <f t="shared" si="98"/>
        <v>0.16964285714285715</v>
      </c>
      <c r="N285" s="9">
        <f t="shared" si="99"/>
        <v>5.3571428571428568E-2</v>
      </c>
      <c r="O285" s="9">
        <f t="shared" si="100"/>
        <v>0.125</v>
      </c>
      <c r="P285" s="17"/>
    </row>
    <row r="286" spans="1:16" x14ac:dyDescent="0.25">
      <c r="A286" t="s">
        <v>98</v>
      </c>
      <c r="B286">
        <v>2022</v>
      </c>
      <c r="C286" s="8">
        <f>'1_Du_lieu'!F329</f>
        <v>24.3</v>
      </c>
      <c r="D286" s="8">
        <f>'1_Du_lieu'!G329</f>
        <v>31.6</v>
      </c>
      <c r="E286" s="8">
        <f>'1_Du_lieu'!H329</f>
        <v>22.8</v>
      </c>
      <c r="F286" s="16">
        <v>0</v>
      </c>
      <c r="G286" s="6">
        <f t="shared" si="93"/>
        <v>4.8600000000000003</v>
      </c>
      <c r="H286" s="6">
        <f t="shared" si="94"/>
        <v>12.64</v>
      </c>
      <c r="I286" s="6">
        <f t="shared" si="95"/>
        <v>9.120000000000001</v>
      </c>
      <c r="J286" s="6">
        <f t="shared" si="96"/>
        <v>0</v>
      </c>
      <c r="K286" s="6">
        <f t="shared" si="92"/>
        <v>26.62</v>
      </c>
      <c r="L286" s="9">
        <f t="shared" si="97"/>
        <v>0.875</v>
      </c>
      <c r="M286" s="9">
        <f t="shared" si="98"/>
        <v>0.8214285714285714</v>
      </c>
      <c r="N286" s="9">
        <f t="shared" si="99"/>
        <v>0.9107142857142857</v>
      </c>
      <c r="O286" s="9">
        <f t="shared" si="100"/>
        <v>0.8214285714285714</v>
      </c>
      <c r="P286" s="17"/>
    </row>
    <row r="287" spans="1:16" x14ac:dyDescent="0.25">
      <c r="A287" t="s">
        <v>100</v>
      </c>
      <c r="B287">
        <v>2022</v>
      </c>
      <c r="C287" s="8">
        <f>'1_Du_lieu'!F330</f>
        <v>16</v>
      </c>
      <c r="D287" s="8">
        <f>'1_Du_lieu'!G330</f>
        <v>17</v>
      </c>
      <c r="E287" s="8">
        <f>'1_Du_lieu'!H330</f>
        <v>19</v>
      </c>
      <c r="F287" s="16">
        <v>0</v>
      </c>
      <c r="G287" s="6">
        <f t="shared" si="93"/>
        <v>3.2</v>
      </c>
      <c r="H287" s="6">
        <f t="shared" si="94"/>
        <v>6.8000000000000007</v>
      </c>
      <c r="I287" s="6">
        <f t="shared" si="95"/>
        <v>7.6000000000000005</v>
      </c>
      <c r="J287" s="6">
        <f t="shared" si="96"/>
        <v>0</v>
      </c>
      <c r="K287" s="6">
        <f t="shared" si="92"/>
        <v>17.600000000000001</v>
      </c>
      <c r="L287" s="9">
        <f t="shared" si="97"/>
        <v>0.5714285714285714</v>
      </c>
      <c r="M287" s="9">
        <f t="shared" si="98"/>
        <v>0.45535714285714285</v>
      </c>
      <c r="N287" s="9">
        <f t="shared" si="99"/>
        <v>0.42857142857142855</v>
      </c>
      <c r="O287" s="9">
        <f t="shared" si="100"/>
        <v>0.75</v>
      </c>
      <c r="P287" s="17"/>
    </row>
    <row r="288" spans="1:16" x14ac:dyDescent="0.25">
      <c r="A288" t="s">
        <v>102</v>
      </c>
      <c r="B288">
        <v>2022</v>
      </c>
      <c r="C288" s="8">
        <f>'1_Du_lieu'!F332</f>
        <v>11</v>
      </c>
      <c r="D288" s="8">
        <f>'1_Du_lieu'!G332</f>
        <v>14</v>
      </c>
      <c r="E288" s="8">
        <f>'1_Du_lieu'!H332</f>
        <v>11.2</v>
      </c>
      <c r="F288" s="16">
        <v>0</v>
      </c>
      <c r="G288" s="6">
        <f t="shared" si="93"/>
        <v>2.2000000000000002</v>
      </c>
      <c r="H288" s="6">
        <f t="shared" si="94"/>
        <v>5.6000000000000005</v>
      </c>
      <c r="I288" s="6">
        <f t="shared" si="95"/>
        <v>4.4799999999999995</v>
      </c>
      <c r="J288" s="6">
        <f t="shared" si="96"/>
        <v>0</v>
      </c>
      <c r="K288" s="6">
        <f t="shared" si="92"/>
        <v>12.280000000000001</v>
      </c>
      <c r="L288" s="9">
        <f t="shared" si="97"/>
        <v>0.17857142857142858</v>
      </c>
      <c r="M288" s="9">
        <f t="shared" si="98"/>
        <v>9.8214285714285712E-2</v>
      </c>
      <c r="N288" s="9">
        <f t="shared" si="99"/>
        <v>0.26785714285714285</v>
      </c>
      <c r="O288" s="9">
        <f t="shared" si="100"/>
        <v>0.23214285714285715</v>
      </c>
      <c r="P288" s="17"/>
    </row>
    <row r="289" spans="1:16" x14ac:dyDescent="0.25">
      <c r="A289" t="s">
        <v>103</v>
      </c>
      <c r="B289">
        <v>2022</v>
      </c>
      <c r="C289" s="8">
        <f>'1_Du_lieu'!F333</f>
        <v>25.3</v>
      </c>
      <c r="D289" s="8">
        <f>'1_Du_lieu'!G333</f>
        <v>30</v>
      </c>
      <c r="E289" s="8">
        <f>'1_Du_lieu'!H333</f>
        <v>24.3</v>
      </c>
      <c r="F289" s="16">
        <v>0</v>
      </c>
      <c r="G289" s="6">
        <f t="shared" si="93"/>
        <v>5.0600000000000005</v>
      </c>
      <c r="H289" s="6">
        <f t="shared" si="94"/>
        <v>12</v>
      </c>
      <c r="I289" s="6">
        <f t="shared" si="95"/>
        <v>9.7200000000000006</v>
      </c>
      <c r="J289" s="6">
        <f t="shared" si="96"/>
        <v>0</v>
      </c>
      <c r="K289" s="6">
        <f t="shared" si="92"/>
        <v>26.78</v>
      </c>
      <c r="L289" s="9">
        <f t="shared" si="97"/>
        <v>0.8928571428571429</v>
      </c>
      <c r="M289" s="9">
        <f t="shared" si="98"/>
        <v>0.8392857142857143</v>
      </c>
      <c r="N289" s="9">
        <f t="shared" si="99"/>
        <v>0.875</v>
      </c>
      <c r="O289" s="9">
        <f t="shared" si="100"/>
        <v>0.8928571428571429</v>
      </c>
      <c r="P289" s="17"/>
    </row>
    <row r="290" spans="1:16" x14ac:dyDescent="0.25">
      <c r="A290" t="s">
        <v>104</v>
      </c>
      <c r="B290">
        <v>2022</v>
      </c>
      <c r="C290" s="8">
        <f>'1_Du_lieu'!F334</f>
        <v>12</v>
      </c>
      <c r="D290" s="8">
        <f>'1_Du_lieu'!G334</f>
        <v>13.8</v>
      </c>
      <c r="E290" s="8">
        <f>'1_Du_lieu'!H334</f>
        <v>15</v>
      </c>
      <c r="F290" s="16">
        <v>0</v>
      </c>
      <c r="G290" s="6">
        <f t="shared" si="93"/>
        <v>2.4000000000000004</v>
      </c>
      <c r="H290" s="6">
        <f t="shared" si="94"/>
        <v>5.5200000000000005</v>
      </c>
      <c r="I290" s="6">
        <f t="shared" si="95"/>
        <v>6</v>
      </c>
      <c r="J290" s="6">
        <f t="shared" si="96"/>
        <v>0</v>
      </c>
      <c r="K290" s="6">
        <f t="shared" si="92"/>
        <v>13.920000000000002</v>
      </c>
      <c r="L290" s="9">
        <f t="shared" si="97"/>
        <v>0.30357142857142855</v>
      </c>
      <c r="M290" s="9">
        <f t="shared" si="98"/>
        <v>0.20535714285714285</v>
      </c>
      <c r="N290" s="9">
        <f t="shared" si="99"/>
        <v>0.19642857142857142</v>
      </c>
      <c r="O290" s="9">
        <f t="shared" si="100"/>
        <v>0.5714285714285714</v>
      </c>
      <c r="P290" s="17"/>
    </row>
    <row r="291" spans="1:16" x14ac:dyDescent="0.25">
      <c r="A291" t="s">
        <v>107</v>
      </c>
      <c r="B291">
        <v>2022</v>
      </c>
      <c r="C291" s="8">
        <f>'1_Du_lieu'!F336</f>
        <v>23.3</v>
      </c>
      <c r="D291" s="8">
        <f>'1_Du_lieu'!G336</f>
        <v>17.899999999999999</v>
      </c>
      <c r="E291" s="8">
        <f>'1_Du_lieu'!H336</f>
        <v>15.5</v>
      </c>
      <c r="F291" s="16">
        <v>0</v>
      </c>
      <c r="G291" s="6">
        <f t="shared" si="93"/>
        <v>4.66</v>
      </c>
      <c r="H291" s="6">
        <f t="shared" si="94"/>
        <v>7.16</v>
      </c>
      <c r="I291" s="6">
        <f t="shared" si="95"/>
        <v>6.2</v>
      </c>
      <c r="J291" s="6">
        <f t="shared" si="96"/>
        <v>0</v>
      </c>
      <c r="K291" s="6">
        <f t="shared" si="92"/>
        <v>18.02</v>
      </c>
      <c r="L291" s="9">
        <f t="shared" si="97"/>
        <v>0.6071428571428571</v>
      </c>
      <c r="M291" s="9">
        <f t="shared" si="98"/>
        <v>0.7857142857142857</v>
      </c>
      <c r="N291" s="9">
        <f t="shared" si="99"/>
        <v>0.5</v>
      </c>
      <c r="O291" s="9">
        <f t="shared" si="100"/>
        <v>0.5892857142857143</v>
      </c>
      <c r="P291" s="17"/>
    </row>
    <row r="292" spans="1:16" x14ac:dyDescent="0.25">
      <c r="A292" t="s">
        <v>108</v>
      </c>
      <c r="B292">
        <v>2022</v>
      </c>
      <c r="C292" s="8">
        <f>'1_Du_lieu'!F337</f>
        <v>97</v>
      </c>
      <c r="D292" s="8">
        <f>'1_Du_lieu'!G337</f>
        <v>82.4</v>
      </c>
      <c r="E292" s="8">
        <f>'1_Du_lieu'!H337</f>
        <v>83.9</v>
      </c>
      <c r="F292" s="16">
        <v>0</v>
      </c>
      <c r="G292" s="6">
        <f t="shared" si="93"/>
        <v>19.400000000000002</v>
      </c>
      <c r="H292" s="6">
        <f t="shared" si="94"/>
        <v>32.96</v>
      </c>
      <c r="I292" s="6">
        <f t="shared" si="95"/>
        <v>33.56</v>
      </c>
      <c r="J292" s="6">
        <f t="shared" si="96"/>
        <v>0</v>
      </c>
      <c r="K292" s="6">
        <f t="shared" si="92"/>
        <v>85.92</v>
      </c>
      <c r="L292" s="9">
        <f t="shared" si="97"/>
        <v>0.9821428571428571</v>
      </c>
      <c r="M292" s="9">
        <f t="shared" si="98"/>
        <v>0.9821428571428571</v>
      </c>
      <c r="N292" s="9">
        <f t="shared" si="99"/>
        <v>0.9821428571428571</v>
      </c>
      <c r="O292" s="9">
        <f t="shared" si="100"/>
        <v>0.9821428571428571</v>
      </c>
      <c r="P292" s="17"/>
    </row>
    <row r="293" spans="1:16" x14ac:dyDescent="0.25">
      <c r="A293" t="s">
        <v>109</v>
      </c>
      <c r="B293">
        <v>2022</v>
      </c>
      <c r="C293" s="8">
        <f>'1_Du_lieu'!F338</f>
        <v>15.8</v>
      </c>
      <c r="D293" s="8">
        <f>'1_Du_lieu'!G338</f>
        <v>13.2</v>
      </c>
      <c r="E293" s="8">
        <f>'1_Du_lieu'!H338</f>
        <v>14</v>
      </c>
      <c r="F293" s="16">
        <v>0</v>
      </c>
      <c r="G293" s="6">
        <f t="shared" si="93"/>
        <v>3.16</v>
      </c>
      <c r="H293" s="6">
        <f t="shared" si="94"/>
        <v>5.28</v>
      </c>
      <c r="I293" s="6">
        <f t="shared" si="95"/>
        <v>5.6000000000000005</v>
      </c>
      <c r="J293" s="6">
        <f t="shared" si="96"/>
        <v>0</v>
      </c>
      <c r="K293" s="6">
        <f t="shared" si="92"/>
        <v>14.040000000000003</v>
      </c>
      <c r="L293" s="9">
        <f t="shared" si="97"/>
        <v>0.35714285714285715</v>
      </c>
      <c r="M293" s="9">
        <f t="shared" si="98"/>
        <v>0.4107142857142857</v>
      </c>
      <c r="N293" s="9">
        <f t="shared" si="99"/>
        <v>0.16071428571428573</v>
      </c>
      <c r="O293" s="9">
        <f t="shared" si="100"/>
        <v>0.5</v>
      </c>
      <c r="P293" s="17"/>
    </row>
    <row r="294" spans="1:16" x14ac:dyDescent="0.25">
      <c r="A294" t="s">
        <v>110</v>
      </c>
      <c r="B294">
        <v>2022</v>
      </c>
      <c r="C294" s="8">
        <f>'1_Du_lieu'!F339</f>
        <v>11.9</v>
      </c>
      <c r="D294" s="8">
        <f>'1_Du_lieu'!G339</f>
        <v>12.2</v>
      </c>
      <c r="E294" s="8">
        <f>'1_Du_lieu'!H339</f>
        <v>8.6</v>
      </c>
      <c r="F294" s="16">
        <v>0</v>
      </c>
      <c r="G294" s="6">
        <f t="shared" si="93"/>
        <v>2.3800000000000003</v>
      </c>
      <c r="H294" s="6">
        <f t="shared" si="94"/>
        <v>4.88</v>
      </c>
      <c r="I294" s="6">
        <f t="shared" si="95"/>
        <v>3.44</v>
      </c>
      <c r="J294" s="6">
        <f t="shared" si="96"/>
        <v>0</v>
      </c>
      <c r="K294" s="6">
        <f t="shared" si="92"/>
        <v>10.7</v>
      </c>
      <c r="L294" s="9">
        <f t="shared" si="97"/>
        <v>3.5714285714285712E-2</v>
      </c>
      <c r="M294" s="9">
        <f t="shared" si="98"/>
        <v>0.16964285714285715</v>
      </c>
      <c r="N294" s="9">
        <f t="shared" si="99"/>
        <v>7.1428571428571425E-2</v>
      </c>
      <c r="O294" s="9">
        <f t="shared" si="100"/>
        <v>5.3571428571428568E-2</v>
      </c>
      <c r="P294" s="17"/>
    </row>
    <row r="295" spans="1:16" x14ac:dyDescent="0.25">
      <c r="A295" t="s">
        <v>111</v>
      </c>
      <c r="B295">
        <v>2022</v>
      </c>
      <c r="C295" s="8">
        <f>'1_Du_lieu'!F340</f>
        <v>26.8</v>
      </c>
      <c r="D295" s="8">
        <f>'1_Du_lieu'!G340</f>
        <v>27.2</v>
      </c>
      <c r="E295" s="8">
        <f>'1_Du_lieu'!H340</f>
        <v>18</v>
      </c>
      <c r="F295" s="16">
        <v>0</v>
      </c>
      <c r="G295" s="6">
        <f t="shared" si="93"/>
        <v>5.36</v>
      </c>
      <c r="H295" s="6">
        <f t="shared" si="94"/>
        <v>10.88</v>
      </c>
      <c r="I295" s="6">
        <f t="shared" si="95"/>
        <v>7.2</v>
      </c>
      <c r="J295" s="6">
        <f t="shared" si="96"/>
        <v>0</v>
      </c>
      <c r="K295" s="6">
        <f t="shared" si="92"/>
        <v>23.44</v>
      </c>
      <c r="L295" s="9">
        <f t="shared" si="97"/>
        <v>0.8035714285714286</v>
      </c>
      <c r="M295" s="9">
        <f t="shared" si="98"/>
        <v>0.875</v>
      </c>
      <c r="N295" s="9">
        <f t="shared" si="99"/>
        <v>0.8392857142857143</v>
      </c>
      <c r="O295" s="9">
        <f t="shared" si="100"/>
        <v>0.7053571428571429</v>
      </c>
      <c r="P295" s="17"/>
    </row>
    <row r="296" spans="1:16" x14ac:dyDescent="0.25">
      <c r="A296" t="s">
        <v>112</v>
      </c>
      <c r="B296">
        <v>2022</v>
      </c>
      <c r="C296" s="8">
        <f>'1_Du_lieu'!F341</f>
        <v>20.9</v>
      </c>
      <c r="D296" s="8">
        <f>'1_Du_lieu'!G341</f>
        <v>26.5</v>
      </c>
      <c r="E296" s="8">
        <f>'1_Du_lieu'!H341</f>
        <v>19.100000000000001</v>
      </c>
      <c r="F296" s="16">
        <v>0</v>
      </c>
      <c r="G296" s="6">
        <f t="shared" si="93"/>
        <v>4.18</v>
      </c>
      <c r="H296" s="6">
        <f t="shared" si="94"/>
        <v>10.600000000000001</v>
      </c>
      <c r="I296" s="6">
        <f t="shared" si="95"/>
        <v>7.6400000000000006</v>
      </c>
      <c r="J296" s="6">
        <f t="shared" si="96"/>
        <v>0</v>
      </c>
      <c r="K296" s="6">
        <f t="shared" si="92"/>
        <v>22.42</v>
      </c>
      <c r="L296" s="9">
        <f t="shared" si="97"/>
        <v>0.7678571428571429</v>
      </c>
      <c r="M296" s="9">
        <f t="shared" si="98"/>
        <v>0.7142857142857143</v>
      </c>
      <c r="N296" s="9">
        <f t="shared" si="99"/>
        <v>0.8035714285714286</v>
      </c>
      <c r="O296" s="9">
        <f t="shared" si="100"/>
        <v>0.7678571428571429</v>
      </c>
      <c r="P296" s="17"/>
    </row>
    <row r="297" spans="1:16" x14ac:dyDescent="0.25">
      <c r="A297" t="s">
        <v>113</v>
      </c>
      <c r="B297">
        <v>2022</v>
      </c>
      <c r="C297" s="8">
        <f>'1_Du_lieu'!F342</f>
        <v>35.4</v>
      </c>
      <c r="D297" s="8">
        <f>'1_Du_lieu'!G342</f>
        <v>30.7</v>
      </c>
      <c r="E297" s="8">
        <f>'1_Du_lieu'!H342</f>
        <v>31.7</v>
      </c>
      <c r="F297" s="16">
        <v>0</v>
      </c>
      <c r="G297" s="6">
        <f t="shared" si="93"/>
        <v>7.08</v>
      </c>
      <c r="H297" s="6">
        <f t="shared" si="94"/>
        <v>12.280000000000001</v>
      </c>
      <c r="I297" s="6">
        <f t="shared" si="95"/>
        <v>12.68</v>
      </c>
      <c r="J297" s="6">
        <f t="shared" si="96"/>
        <v>0</v>
      </c>
      <c r="K297" s="6">
        <f t="shared" si="92"/>
        <v>32.04</v>
      </c>
      <c r="L297" s="9">
        <f t="shared" si="97"/>
        <v>0.9107142857142857</v>
      </c>
      <c r="M297" s="9">
        <f t="shared" si="98"/>
        <v>0.9464285714285714</v>
      </c>
      <c r="N297" s="9">
        <f t="shared" si="99"/>
        <v>0.8928571428571429</v>
      </c>
      <c r="O297" s="9">
        <f t="shared" si="100"/>
        <v>0.9107142857142857</v>
      </c>
      <c r="P297" s="17"/>
    </row>
    <row r="298" spans="1:16" x14ac:dyDescent="0.25">
      <c r="A298" t="s">
        <v>114</v>
      </c>
      <c r="B298">
        <v>2022</v>
      </c>
      <c r="C298" s="8">
        <f>'1_Du_lieu'!F343</f>
        <v>8.5</v>
      </c>
      <c r="D298" s="8">
        <f>'1_Du_lieu'!G343</f>
        <v>15.6</v>
      </c>
      <c r="E298" s="8">
        <f>'1_Du_lieu'!H343</f>
        <v>8.4</v>
      </c>
      <c r="F298" s="16">
        <v>0</v>
      </c>
      <c r="G298" s="6">
        <f t="shared" si="93"/>
        <v>1.7000000000000002</v>
      </c>
      <c r="H298" s="6">
        <f t="shared" si="94"/>
        <v>6.24</v>
      </c>
      <c r="I298" s="6">
        <f t="shared" si="95"/>
        <v>3.3600000000000003</v>
      </c>
      <c r="J298" s="6">
        <f t="shared" si="96"/>
        <v>0</v>
      </c>
      <c r="K298" s="6">
        <f t="shared" si="92"/>
        <v>11.3</v>
      </c>
      <c r="L298" s="9">
        <f t="shared" si="97"/>
        <v>0.10714285714285714</v>
      </c>
      <c r="M298" s="9">
        <f t="shared" si="98"/>
        <v>1.7857142857142856E-2</v>
      </c>
      <c r="N298" s="9">
        <f t="shared" si="99"/>
        <v>0.4017857142857143</v>
      </c>
      <c r="O298" s="9">
        <f t="shared" si="100"/>
        <v>3.5714285714285712E-2</v>
      </c>
      <c r="P298" s="17"/>
    </row>
    <row r="299" spans="1:16" x14ac:dyDescent="0.25">
      <c r="A299" t="s">
        <v>115</v>
      </c>
      <c r="B299">
        <v>2022</v>
      </c>
      <c r="C299" s="8">
        <f>'1_Du_lieu'!F344</f>
        <v>29.4</v>
      </c>
      <c r="D299" s="8">
        <f>'1_Du_lieu'!G344</f>
        <v>19</v>
      </c>
      <c r="E299" s="8">
        <f>'1_Du_lieu'!H344</f>
        <v>23.7</v>
      </c>
      <c r="F299" s="16">
        <v>0</v>
      </c>
      <c r="G299" s="6">
        <f t="shared" si="93"/>
        <v>5.88</v>
      </c>
      <c r="H299" s="6">
        <f t="shared" si="94"/>
        <v>7.6000000000000005</v>
      </c>
      <c r="I299" s="6">
        <f t="shared" si="95"/>
        <v>9.48</v>
      </c>
      <c r="J299" s="6">
        <f t="shared" si="96"/>
        <v>0</v>
      </c>
      <c r="K299" s="6">
        <f t="shared" si="92"/>
        <v>22.96</v>
      </c>
      <c r="L299" s="9">
        <f t="shared" si="97"/>
        <v>0.7857142857142857</v>
      </c>
      <c r="M299" s="9">
        <f t="shared" si="98"/>
        <v>0.8928571428571429</v>
      </c>
      <c r="N299" s="9">
        <f t="shared" si="99"/>
        <v>0.5714285714285714</v>
      </c>
      <c r="O299" s="9">
        <f t="shared" si="100"/>
        <v>0.875</v>
      </c>
      <c r="P299" s="17"/>
    </row>
    <row r="300" spans="1:16" x14ac:dyDescent="0.25">
      <c r="A300" t="s">
        <v>116</v>
      </c>
      <c r="B300">
        <v>2022</v>
      </c>
      <c r="C300" s="8">
        <f>'1_Du_lieu'!F345</f>
        <v>12.3</v>
      </c>
      <c r="D300" s="8">
        <f>'1_Du_lieu'!G345</f>
        <v>18.3</v>
      </c>
      <c r="E300" s="8">
        <f>'1_Du_lieu'!H345</f>
        <v>10.8</v>
      </c>
      <c r="F300" s="16">
        <v>0</v>
      </c>
      <c r="G300" s="6">
        <f t="shared" si="93"/>
        <v>2.4600000000000004</v>
      </c>
      <c r="H300" s="6">
        <f t="shared" si="94"/>
        <v>7.32</v>
      </c>
      <c r="I300" s="6">
        <f t="shared" si="95"/>
        <v>4.32</v>
      </c>
      <c r="J300" s="6">
        <f t="shared" si="96"/>
        <v>0</v>
      </c>
      <c r="K300" s="6">
        <f t="shared" si="92"/>
        <v>14.100000000000001</v>
      </c>
      <c r="L300" s="9">
        <f t="shared" si="97"/>
        <v>0.375</v>
      </c>
      <c r="M300" s="9">
        <f t="shared" si="98"/>
        <v>0.23214285714285715</v>
      </c>
      <c r="N300" s="9">
        <f t="shared" si="99"/>
        <v>0.5535714285714286</v>
      </c>
      <c r="O300" s="9">
        <f t="shared" si="100"/>
        <v>0.1875</v>
      </c>
      <c r="P300" s="17"/>
    </row>
    <row r="301" spans="1:16" x14ac:dyDescent="0.25">
      <c r="A301" t="s">
        <v>117</v>
      </c>
      <c r="B301">
        <v>2022</v>
      </c>
      <c r="C301" s="8">
        <f>'1_Du_lieu'!F346</f>
        <v>11</v>
      </c>
      <c r="D301" s="8">
        <f>'1_Du_lieu'!G346</f>
        <v>10.8</v>
      </c>
      <c r="E301" s="8">
        <f>'1_Du_lieu'!H346</f>
        <v>10.5</v>
      </c>
      <c r="F301" s="16">
        <v>0</v>
      </c>
      <c r="G301" s="6">
        <f t="shared" si="93"/>
        <v>2.2000000000000002</v>
      </c>
      <c r="H301" s="6">
        <f t="shared" si="94"/>
        <v>4.32</v>
      </c>
      <c r="I301" s="6">
        <f t="shared" si="95"/>
        <v>4.2</v>
      </c>
      <c r="J301" s="6">
        <f t="shared" si="96"/>
        <v>0</v>
      </c>
      <c r="K301" s="6">
        <f t="shared" si="92"/>
        <v>10.72</v>
      </c>
      <c r="L301" s="9">
        <f t="shared" si="97"/>
        <v>5.3571428571428568E-2</v>
      </c>
      <c r="M301" s="9">
        <f t="shared" si="98"/>
        <v>9.8214285714285712E-2</v>
      </c>
      <c r="N301" s="9">
        <f t="shared" si="99"/>
        <v>3.5714285714285712E-2</v>
      </c>
      <c r="O301" s="9">
        <f t="shared" si="100"/>
        <v>0.16071428571428573</v>
      </c>
      <c r="P301" s="17"/>
    </row>
    <row r="302" spans="1:16" x14ac:dyDescent="0.25">
      <c r="A302" t="s">
        <v>119</v>
      </c>
      <c r="B302">
        <v>2022</v>
      </c>
      <c r="C302" s="8">
        <f>'1_Du_lieu'!F348</f>
        <v>18.600000000000001</v>
      </c>
      <c r="D302" s="8">
        <f>'1_Du_lieu'!G348</f>
        <v>24.5</v>
      </c>
      <c r="E302" s="8">
        <f>'1_Du_lieu'!H348</f>
        <v>16.399999999999999</v>
      </c>
      <c r="F302" s="16">
        <v>0</v>
      </c>
      <c r="G302" s="6">
        <f t="shared" si="93"/>
        <v>3.7200000000000006</v>
      </c>
      <c r="H302" s="6">
        <f t="shared" si="94"/>
        <v>9.8000000000000007</v>
      </c>
      <c r="I302" s="6">
        <f t="shared" si="95"/>
        <v>6.56</v>
      </c>
      <c r="J302" s="6">
        <f t="shared" si="96"/>
        <v>0</v>
      </c>
      <c r="K302" s="6">
        <f t="shared" si="92"/>
        <v>20.080000000000002</v>
      </c>
      <c r="L302" s="9">
        <f t="shared" si="97"/>
        <v>0.6785714285714286</v>
      </c>
      <c r="M302" s="9">
        <f t="shared" si="98"/>
        <v>0.6071428571428571</v>
      </c>
      <c r="N302" s="9">
        <f t="shared" si="99"/>
        <v>0.7142857142857143</v>
      </c>
      <c r="O302" s="9">
        <f t="shared" si="100"/>
        <v>0.625</v>
      </c>
      <c r="P302" s="17"/>
    </row>
    <row r="303" spans="1:16" x14ac:dyDescent="0.25">
      <c r="A303" t="s">
        <v>120</v>
      </c>
      <c r="B303">
        <v>2022</v>
      </c>
      <c r="C303" s="8">
        <f>'1_Du_lieu'!F349</f>
        <v>12.6</v>
      </c>
      <c r="D303" s="8">
        <f>'1_Du_lieu'!G349</f>
        <v>14.7</v>
      </c>
      <c r="E303" s="8">
        <f>'1_Du_lieu'!H349</f>
        <v>11.7</v>
      </c>
      <c r="F303" s="16">
        <v>0</v>
      </c>
      <c r="G303" s="6">
        <f t="shared" si="93"/>
        <v>2.52</v>
      </c>
      <c r="H303" s="6">
        <f t="shared" si="94"/>
        <v>5.88</v>
      </c>
      <c r="I303" s="6">
        <f t="shared" si="95"/>
        <v>4.68</v>
      </c>
      <c r="J303" s="6">
        <f t="shared" si="96"/>
        <v>0</v>
      </c>
      <c r="K303" s="6">
        <f t="shared" si="92"/>
        <v>13.08</v>
      </c>
      <c r="L303" s="9">
        <f t="shared" si="97"/>
        <v>0.19642857142857142</v>
      </c>
      <c r="M303" s="9">
        <f t="shared" si="98"/>
        <v>0.25</v>
      </c>
      <c r="N303" s="9">
        <f t="shared" si="99"/>
        <v>0.35714285714285715</v>
      </c>
      <c r="O303" s="9">
        <f t="shared" si="100"/>
        <v>0.26785714285714285</v>
      </c>
      <c r="P303" s="17"/>
    </row>
    <row r="304" spans="1:16" x14ac:dyDescent="0.25">
      <c r="A304" t="s">
        <v>121</v>
      </c>
      <c r="B304">
        <v>2022</v>
      </c>
      <c r="C304" s="8">
        <f>'1_Du_lieu'!F350</f>
        <v>22.4</v>
      </c>
      <c r="D304" s="8">
        <f>'1_Du_lieu'!G350</f>
        <v>22.2</v>
      </c>
      <c r="E304" s="8">
        <f>'1_Du_lieu'!H350</f>
        <v>15.7</v>
      </c>
      <c r="F304" s="16">
        <v>0</v>
      </c>
      <c r="G304" s="6">
        <f t="shared" si="93"/>
        <v>4.4799999999999995</v>
      </c>
      <c r="H304" s="6">
        <f t="shared" si="94"/>
        <v>8.8800000000000008</v>
      </c>
      <c r="I304" s="6">
        <f t="shared" si="95"/>
        <v>6.28</v>
      </c>
      <c r="J304" s="6">
        <f t="shared" si="96"/>
        <v>0</v>
      </c>
      <c r="K304" s="6">
        <f t="shared" si="92"/>
        <v>19.64</v>
      </c>
      <c r="L304" s="9">
        <f t="shared" si="97"/>
        <v>0.6607142857142857</v>
      </c>
      <c r="M304" s="9">
        <f t="shared" si="98"/>
        <v>0.75</v>
      </c>
      <c r="N304" s="9">
        <f t="shared" si="99"/>
        <v>0.6696428571428571</v>
      </c>
      <c r="O304" s="9">
        <f t="shared" si="100"/>
        <v>0.6071428571428571</v>
      </c>
      <c r="P304" s="17"/>
    </row>
    <row r="305" spans="1:16" x14ac:dyDescent="0.25">
      <c r="A305" t="s">
        <v>122</v>
      </c>
      <c r="B305">
        <v>2022</v>
      </c>
      <c r="C305" s="8">
        <f>'1_Du_lieu'!F351</f>
        <v>10.8</v>
      </c>
      <c r="D305" s="8">
        <f>'1_Du_lieu'!G351</f>
        <v>13.9</v>
      </c>
      <c r="E305" s="8">
        <f>'1_Du_lieu'!H351</f>
        <v>9.4</v>
      </c>
      <c r="F305" s="16">
        <v>0</v>
      </c>
      <c r="G305" s="6">
        <f t="shared" si="93"/>
        <v>2.16</v>
      </c>
      <c r="H305" s="6">
        <f t="shared" si="94"/>
        <v>5.5600000000000005</v>
      </c>
      <c r="I305" s="6">
        <f t="shared" si="95"/>
        <v>3.7600000000000002</v>
      </c>
      <c r="J305" s="6">
        <f t="shared" si="96"/>
        <v>0</v>
      </c>
      <c r="K305" s="6">
        <f t="shared" si="92"/>
        <v>11.48</v>
      </c>
      <c r="L305" s="9">
        <f t="shared" si="97"/>
        <v>0.125</v>
      </c>
      <c r="M305" s="9">
        <f t="shared" si="98"/>
        <v>7.1428571428571425E-2</v>
      </c>
      <c r="N305" s="9">
        <f t="shared" si="99"/>
        <v>0.21428571428571427</v>
      </c>
      <c r="O305" s="9">
        <f t="shared" si="100"/>
        <v>0.10714285714285714</v>
      </c>
      <c r="P305" s="17"/>
    </row>
    <row r="306" spans="1:16" x14ac:dyDescent="0.25">
      <c r="A306" t="s">
        <v>123</v>
      </c>
      <c r="B306">
        <v>2022</v>
      </c>
      <c r="C306" s="8">
        <f>'1_Du_lieu'!F352</f>
        <v>26</v>
      </c>
      <c r="D306" s="8">
        <f>'1_Du_lieu'!G352</f>
        <v>29.6</v>
      </c>
      <c r="E306" s="8">
        <f>'1_Du_lieu'!H352</f>
        <v>18.100000000000001</v>
      </c>
      <c r="F306" s="16">
        <v>0</v>
      </c>
      <c r="G306" s="6">
        <f t="shared" si="93"/>
        <v>5.2</v>
      </c>
      <c r="H306" s="6">
        <f t="shared" si="94"/>
        <v>11.840000000000002</v>
      </c>
      <c r="I306" s="6">
        <f t="shared" si="95"/>
        <v>7.2400000000000011</v>
      </c>
      <c r="J306" s="6">
        <f t="shared" si="96"/>
        <v>0</v>
      </c>
      <c r="K306" s="6">
        <f t="shared" si="92"/>
        <v>24.280000000000005</v>
      </c>
      <c r="L306" s="9">
        <f t="shared" si="97"/>
        <v>0.8392857142857143</v>
      </c>
      <c r="M306" s="9">
        <f t="shared" si="98"/>
        <v>0.8571428571428571</v>
      </c>
      <c r="N306" s="9">
        <f t="shared" si="99"/>
        <v>0.8571428571428571</v>
      </c>
      <c r="O306" s="9">
        <f t="shared" si="100"/>
        <v>0.7321428571428571</v>
      </c>
      <c r="P306" s="17"/>
    </row>
    <row r="307" spans="1:16" x14ac:dyDescent="0.25">
      <c r="A307" t="s">
        <v>124</v>
      </c>
      <c r="B307">
        <v>2022</v>
      </c>
      <c r="C307" s="8">
        <f>'1_Du_lieu'!F353</f>
        <v>17.3</v>
      </c>
      <c r="D307" s="8">
        <f>'1_Du_lieu'!G353</f>
        <v>24.7</v>
      </c>
      <c r="E307" s="8">
        <f>'1_Du_lieu'!H353</f>
        <v>20</v>
      </c>
      <c r="F307" s="16">
        <v>0</v>
      </c>
      <c r="G307" s="6">
        <f t="shared" si="93"/>
        <v>3.4600000000000004</v>
      </c>
      <c r="H307" s="6">
        <f t="shared" si="94"/>
        <v>9.8800000000000008</v>
      </c>
      <c r="I307" s="6">
        <f t="shared" si="95"/>
        <v>8</v>
      </c>
      <c r="J307" s="6">
        <f t="shared" si="96"/>
        <v>0</v>
      </c>
      <c r="K307" s="6">
        <f t="shared" si="92"/>
        <v>21.340000000000003</v>
      </c>
      <c r="L307" s="9">
        <f t="shared" si="97"/>
        <v>0.75</v>
      </c>
      <c r="M307" s="9">
        <f t="shared" si="98"/>
        <v>0.5535714285714286</v>
      </c>
      <c r="N307" s="9">
        <f t="shared" si="99"/>
        <v>0.7321428571428571</v>
      </c>
      <c r="O307" s="9">
        <f t="shared" si="100"/>
        <v>0.8035714285714286</v>
      </c>
      <c r="P307" s="17"/>
    </row>
    <row r="308" spans="1:16" x14ac:dyDescent="0.25">
      <c r="A308" t="s">
        <v>125</v>
      </c>
      <c r="B308">
        <v>2022</v>
      </c>
      <c r="C308" s="8">
        <f>'1_Du_lieu'!F354</f>
        <v>19</v>
      </c>
      <c r="D308" s="8">
        <f>'1_Du_lieu'!G354</f>
        <v>17.8</v>
      </c>
      <c r="E308" s="8">
        <f>'1_Du_lieu'!H354</f>
        <v>17.399999999999999</v>
      </c>
      <c r="F308" s="16">
        <v>0</v>
      </c>
      <c r="G308" s="6">
        <f t="shared" si="93"/>
        <v>3.8000000000000003</v>
      </c>
      <c r="H308" s="6">
        <f t="shared" si="94"/>
        <v>7.120000000000001</v>
      </c>
      <c r="I308" s="6">
        <f t="shared" si="95"/>
        <v>6.96</v>
      </c>
      <c r="J308" s="6">
        <f t="shared" si="96"/>
        <v>0</v>
      </c>
      <c r="K308" s="6">
        <f t="shared" si="92"/>
        <v>17.880000000000003</v>
      </c>
      <c r="L308" s="9">
        <f t="shared" si="97"/>
        <v>0.5892857142857143</v>
      </c>
      <c r="M308" s="9">
        <f t="shared" si="98"/>
        <v>0.6428571428571429</v>
      </c>
      <c r="N308" s="9">
        <f t="shared" si="99"/>
        <v>0.48214285714285715</v>
      </c>
      <c r="O308" s="9">
        <f t="shared" si="100"/>
        <v>0.6785714285714286</v>
      </c>
      <c r="P308" s="17"/>
    </row>
    <row r="309" spans="1:16" x14ac:dyDescent="0.25">
      <c r="A309" t="s">
        <v>126</v>
      </c>
      <c r="B309">
        <v>2022</v>
      </c>
      <c r="C309" s="8">
        <f>'1_Du_lieu'!F355</f>
        <v>20</v>
      </c>
      <c r="D309" s="8">
        <f>'1_Du_lieu'!G355</f>
        <v>12.4</v>
      </c>
      <c r="E309" s="8">
        <f>'1_Du_lieu'!H355</f>
        <v>11.5</v>
      </c>
      <c r="F309" s="16">
        <v>0</v>
      </c>
      <c r="G309" s="6">
        <f t="shared" si="93"/>
        <v>4</v>
      </c>
      <c r="H309" s="6">
        <f t="shared" si="94"/>
        <v>4.9600000000000009</v>
      </c>
      <c r="I309" s="6">
        <f t="shared" si="95"/>
        <v>4.6000000000000005</v>
      </c>
      <c r="J309" s="6">
        <f t="shared" si="96"/>
        <v>0</v>
      </c>
      <c r="K309" s="6">
        <f t="shared" si="92"/>
        <v>13.560000000000002</v>
      </c>
      <c r="L309" s="9">
        <f t="shared" si="97"/>
        <v>0.23214285714285715</v>
      </c>
      <c r="M309" s="9">
        <f t="shared" si="98"/>
        <v>0.6607142857142857</v>
      </c>
      <c r="N309" s="9">
        <f t="shared" si="99"/>
        <v>8.9285714285714288E-2</v>
      </c>
      <c r="O309" s="9">
        <f t="shared" si="100"/>
        <v>0.25</v>
      </c>
      <c r="P309" s="17"/>
    </row>
    <row r="310" spans="1:16" x14ac:dyDescent="0.25">
      <c r="A310" t="s">
        <v>127</v>
      </c>
      <c r="B310">
        <v>2022</v>
      </c>
      <c r="C310" s="8">
        <f>'1_Du_lieu'!F356</f>
        <v>17.2</v>
      </c>
      <c r="D310" s="8">
        <f>'1_Du_lieu'!G356</f>
        <v>13</v>
      </c>
      <c r="E310" s="8">
        <f>'1_Du_lieu'!H356</f>
        <v>13.7</v>
      </c>
      <c r="F310" s="16">
        <v>0</v>
      </c>
      <c r="G310" s="6">
        <f t="shared" ref="G310:G333" si="101">C310*$AC$9</f>
        <v>3.44</v>
      </c>
      <c r="H310" s="6">
        <f t="shared" ref="H310:H333" si="102">D310*$AD$9</f>
        <v>5.2</v>
      </c>
      <c r="I310" s="6">
        <f t="shared" ref="I310:I333" si="103">E310*$AE$9</f>
        <v>5.48</v>
      </c>
      <c r="J310" s="6">
        <f t="shared" ref="J310:J333" si="104">F310*$AF$9</f>
        <v>0</v>
      </c>
      <c r="K310" s="6">
        <f t="shared" si="92"/>
        <v>14.120000000000001</v>
      </c>
      <c r="L310" s="9">
        <f t="shared" ref="L310:L341" si="105">_xlfn.RANK.AVG(K310,$K$278:$K$333,1)/56</f>
        <v>0.4017857142857143</v>
      </c>
      <c r="M310" s="9">
        <f t="shared" ref="M310:M333" si="106">_xlfn.RANK.AVG(G310,$G$278:$G$333,1)/56</f>
        <v>0.5357142857142857</v>
      </c>
      <c r="N310" s="9">
        <f t="shared" ref="N310:N333" si="107">_xlfn.RANK.AVG(H310,$H$278:$H$333,1)/56</f>
        <v>0.11607142857142858</v>
      </c>
      <c r="O310" s="9">
        <f t="shared" ref="O310:O333" si="108">_xlfn.RANK.AVG(I310,$I$278:$I$333,1)/56</f>
        <v>0.44642857142857145</v>
      </c>
      <c r="P310" s="17"/>
    </row>
    <row r="311" spans="1:16" x14ac:dyDescent="0.25">
      <c r="A311" t="s">
        <v>128</v>
      </c>
      <c r="B311">
        <v>2022</v>
      </c>
      <c r="C311" s="8">
        <f>'1_Du_lieu'!F357</f>
        <v>14.6</v>
      </c>
      <c r="D311" s="8">
        <f>'1_Du_lieu'!G357</f>
        <v>14</v>
      </c>
      <c r="E311" s="8">
        <f>'1_Du_lieu'!H357</f>
        <v>13.8</v>
      </c>
      <c r="F311" s="16">
        <v>0</v>
      </c>
      <c r="G311" s="6">
        <f t="shared" si="101"/>
        <v>2.92</v>
      </c>
      <c r="H311" s="6">
        <f t="shared" si="102"/>
        <v>5.6000000000000005</v>
      </c>
      <c r="I311" s="6">
        <f t="shared" si="103"/>
        <v>5.5200000000000005</v>
      </c>
      <c r="J311" s="6">
        <f t="shared" si="104"/>
        <v>0</v>
      </c>
      <c r="K311" s="6">
        <f t="shared" si="92"/>
        <v>14.04</v>
      </c>
      <c r="L311" s="9">
        <f t="shared" si="105"/>
        <v>0.33035714285714285</v>
      </c>
      <c r="M311" s="9">
        <f t="shared" si="106"/>
        <v>0.3392857142857143</v>
      </c>
      <c r="N311" s="9">
        <f t="shared" si="107"/>
        <v>0.26785714285714285</v>
      </c>
      <c r="O311" s="9">
        <f t="shared" si="108"/>
        <v>0.4642857142857143</v>
      </c>
      <c r="P311" s="17"/>
    </row>
    <row r="312" spans="1:16" x14ac:dyDescent="0.25">
      <c r="A312" t="s">
        <v>129</v>
      </c>
      <c r="B312">
        <v>2022</v>
      </c>
      <c r="C312" s="8">
        <f>'1_Du_lieu'!F358</f>
        <v>16</v>
      </c>
      <c r="D312" s="8">
        <f>'1_Du_lieu'!G358</f>
        <v>14</v>
      </c>
      <c r="E312" s="8">
        <f>'1_Du_lieu'!H358</f>
        <v>13.5</v>
      </c>
      <c r="F312" s="16">
        <v>0</v>
      </c>
      <c r="G312" s="6">
        <f t="shared" si="101"/>
        <v>3.2</v>
      </c>
      <c r="H312" s="6">
        <f t="shared" si="102"/>
        <v>5.6000000000000005</v>
      </c>
      <c r="I312" s="6">
        <f t="shared" si="103"/>
        <v>5.4</v>
      </c>
      <c r="J312" s="6">
        <f t="shared" si="104"/>
        <v>0</v>
      </c>
      <c r="K312" s="6">
        <f t="shared" si="92"/>
        <v>14.200000000000001</v>
      </c>
      <c r="L312" s="9">
        <f t="shared" si="105"/>
        <v>0.42857142857142855</v>
      </c>
      <c r="M312" s="9">
        <f t="shared" si="106"/>
        <v>0.45535714285714285</v>
      </c>
      <c r="N312" s="9">
        <f t="shared" si="107"/>
        <v>0.26785714285714285</v>
      </c>
      <c r="O312" s="9">
        <f t="shared" si="108"/>
        <v>0.42857142857142855</v>
      </c>
      <c r="P312" s="17"/>
    </row>
    <row r="313" spans="1:16" x14ac:dyDescent="0.25">
      <c r="A313" t="s">
        <v>130</v>
      </c>
      <c r="B313">
        <v>2022</v>
      </c>
      <c r="C313" s="8">
        <f>'1_Du_lieu'!F359</f>
        <v>20.6</v>
      </c>
      <c r="D313" s="8">
        <f>'1_Du_lieu'!G359</f>
        <v>15.6</v>
      </c>
      <c r="E313" s="8">
        <f>'1_Du_lieu'!H359</f>
        <v>14.1</v>
      </c>
      <c r="F313" s="16">
        <v>0</v>
      </c>
      <c r="G313" s="6">
        <f t="shared" si="101"/>
        <v>4.12</v>
      </c>
      <c r="H313" s="6">
        <f t="shared" si="102"/>
        <v>6.24</v>
      </c>
      <c r="I313" s="6">
        <f t="shared" si="103"/>
        <v>5.6400000000000006</v>
      </c>
      <c r="J313" s="6">
        <f t="shared" si="104"/>
        <v>0</v>
      </c>
      <c r="K313" s="6">
        <f t="shared" si="92"/>
        <v>16</v>
      </c>
      <c r="L313" s="9">
        <f t="shared" si="105"/>
        <v>0.5</v>
      </c>
      <c r="M313" s="9">
        <f t="shared" si="106"/>
        <v>0.6785714285714286</v>
      </c>
      <c r="N313" s="9">
        <f t="shared" si="107"/>
        <v>0.4017857142857143</v>
      </c>
      <c r="O313" s="9">
        <f t="shared" si="108"/>
        <v>0.5178571428571429</v>
      </c>
      <c r="P313" s="17"/>
    </row>
    <row r="314" spans="1:16" x14ac:dyDescent="0.25">
      <c r="A314" t="s">
        <v>131</v>
      </c>
      <c r="B314">
        <v>2022</v>
      </c>
      <c r="C314" s="8">
        <f>'1_Du_lieu'!F360</f>
        <v>16.600000000000001</v>
      </c>
      <c r="D314" s="8">
        <f>'1_Du_lieu'!G360</f>
        <v>14.6</v>
      </c>
      <c r="E314" s="8">
        <f>'1_Du_lieu'!H360</f>
        <v>12.2</v>
      </c>
      <c r="F314" s="16">
        <v>0</v>
      </c>
      <c r="G314" s="6">
        <f t="shared" si="101"/>
        <v>3.3200000000000003</v>
      </c>
      <c r="H314" s="6">
        <f t="shared" si="102"/>
        <v>5.84</v>
      </c>
      <c r="I314" s="6">
        <f t="shared" si="103"/>
        <v>4.88</v>
      </c>
      <c r="J314" s="6">
        <f t="shared" si="104"/>
        <v>0</v>
      </c>
      <c r="K314" s="6">
        <f t="shared" si="92"/>
        <v>14.04</v>
      </c>
      <c r="L314" s="9">
        <f t="shared" si="105"/>
        <v>0.33035714285714285</v>
      </c>
      <c r="M314" s="9">
        <f t="shared" si="106"/>
        <v>0.49107142857142855</v>
      </c>
      <c r="N314" s="9">
        <f t="shared" si="107"/>
        <v>0.3392857142857143</v>
      </c>
      <c r="O314" s="9">
        <f t="shared" si="108"/>
        <v>0.30357142857142855</v>
      </c>
      <c r="P314" s="17"/>
    </row>
    <row r="315" spans="1:16" x14ac:dyDescent="0.25">
      <c r="A315" t="s">
        <v>132</v>
      </c>
      <c r="B315">
        <v>2022</v>
      </c>
      <c r="C315" s="8">
        <f>'1_Du_lieu'!F361</f>
        <v>22.7</v>
      </c>
      <c r="D315" s="8">
        <f>'1_Du_lieu'!G361</f>
        <v>22.2</v>
      </c>
      <c r="E315" s="8">
        <f>'1_Du_lieu'!H361</f>
        <v>19.600000000000001</v>
      </c>
      <c r="F315" s="16">
        <v>0</v>
      </c>
      <c r="G315" s="6">
        <f t="shared" si="101"/>
        <v>4.54</v>
      </c>
      <c r="H315" s="6">
        <f t="shared" si="102"/>
        <v>8.8800000000000008</v>
      </c>
      <c r="I315" s="6">
        <f t="shared" si="103"/>
        <v>7.8400000000000007</v>
      </c>
      <c r="J315" s="6">
        <f t="shared" si="104"/>
        <v>0</v>
      </c>
      <c r="K315" s="6">
        <f t="shared" si="92"/>
        <v>21.26</v>
      </c>
      <c r="L315" s="9">
        <f t="shared" si="105"/>
        <v>0.7321428571428571</v>
      </c>
      <c r="M315" s="9">
        <f t="shared" si="106"/>
        <v>0.7678571428571429</v>
      </c>
      <c r="N315" s="9">
        <f t="shared" si="107"/>
        <v>0.6696428571428571</v>
      </c>
      <c r="O315" s="9">
        <f t="shared" si="108"/>
        <v>0.7857142857142857</v>
      </c>
      <c r="P315" s="17"/>
    </row>
    <row r="316" spans="1:16" x14ac:dyDescent="0.25">
      <c r="A316" t="s">
        <v>133</v>
      </c>
      <c r="B316">
        <v>2022</v>
      </c>
      <c r="C316" s="8">
        <f>'1_Du_lieu'!F362</f>
        <v>14.9</v>
      </c>
      <c r="D316" s="8">
        <f>'1_Du_lieu'!G362</f>
        <v>14</v>
      </c>
      <c r="E316" s="8">
        <f>'1_Du_lieu'!H362</f>
        <v>13.3</v>
      </c>
      <c r="F316" s="16">
        <v>0</v>
      </c>
      <c r="G316" s="6">
        <f t="shared" si="101"/>
        <v>2.9800000000000004</v>
      </c>
      <c r="H316" s="6">
        <f t="shared" si="102"/>
        <v>5.6000000000000005</v>
      </c>
      <c r="I316" s="6">
        <f t="shared" si="103"/>
        <v>5.32</v>
      </c>
      <c r="J316" s="6">
        <f t="shared" si="104"/>
        <v>0</v>
      </c>
      <c r="K316" s="6">
        <f t="shared" si="92"/>
        <v>13.900000000000002</v>
      </c>
      <c r="L316" s="9">
        <f t="shared" si="105"/>
        <v>0.2857142857142857</v>
      </c>
      <c r="M316" s="9">
        <f t="shared" si="106"/>
        <v>0.35714285714285715</v>
      </c>
      <c r="N316" s="9">
        <f t="shared" si="107"/>
        <v>0.26785714285714285</v>
      </c>
      <c r="O316" s="9">
        <f t="shared" si="108"/>
        <v>0.4107142857142857</v>
      </c>
      <c r="P316" s="17"/>
    </row>
    <row r="317" spans="1:16" x14ac:dyDescent="0.25">
      <c r="A317" t="s">
        <v>136</v>
      </c>
      <c r="B317">
        <v>2022</v>
      </c>
      <c r="C317" s="8">
        <f>'1_Du_lieu'!F365</f>
        <v>97.1</v>
      </c>
      <c r="D317" s="8">
        <f>'1_Du_lieu'!G365</f>
        <v>83.3</v>
      </c>
      <c r="E317" s="8">
        <f>'1_Du_lieu'!H365</f>
        <v>94.7</v>
      </c>
      <c r="F317" s="16">
        <v>0</v>
      </c>
      <c r="G317" s="6">
        <f t="shared" si="101"/>
        <v>19.420000000000002</v>
      </c>
      <c r="H317" s="6">
        <f t="shared" si="102"/>
        <v>33.32</v>
      </c>
      <c r="I317" s="6">
        <f t="shared" si="103"/>
        <v>37.880000000000003</v>
      </c>
      <c r="J317" s="6">
        <f t="shared" si="104"/>
        <v>0</v>
      </c>
      <c r="K317" s="6">
        <f t="shared" si="92"/>
        <v>90.62</v>
      </c>
      <c r="L317" s="9">
        <f t="shared" si="105"/>
        <v>1</v>
      </c>
      <c r="M317" s="9">
        <f t="shared" si="106"/>
        <v>1</v>
      </c>
      <c r="N317" s="9">
        <f t="shared" si="107"/>
        <v>1</v>
      </c>
      <c r="O317" s="9">
        <f t="shared" si="108"/>
        <v>1</v>
      </c>
      <c r="P317" s="17"/>
    </row>
    <row r="318" spans="1:16" x14ac:dyDescent="0.25">
      <c r="A318" t="s">
        <v>137</v>
      </c>
      <c r="B318">
        <v>2022</v>
      </c>
      <c r="C318" s="8">
        <f>'1_Du_lieu'!F366</f>
        <v>16.899999999999999</v>
      </c>
      <c r="D318" s="8">
        <f>'1_Du_lieu'!G366</f>
        <v>26.7</v>
      </c>
      <c r="E318" s="8">
        <f>'1_Du_lieu'!H366</f>
        <v>18</v>
      </c>
      <c r="F318" s="16">
        <v>0</v>
      </c>
      <c r="G318" s="6">
        <f t="shared" si="101"/>
        <v>3.38</v>
      </c>
      <c r="H318" s="6">
        <f t="shared" si="102"/>
        <v>10.68</v>
      </c>
      <c r="I318" s="6">
        <f t="shared" si="103"/>
        <v>7.2</v>
      </c>
      <c r="J318" s="6">
        <f t="shared" si="104"/>
        <v>0</v>
      </c>
      <c r="K318" s="6">
        <f t="shared" si="92"/>
        <v>21.259999999999998</v>
      </c>
      <c r="L318" s="9">
        <f t="shared" si="105"/>
        <v>0.7142857142857143</v>
      </c>
      <c r="M318" s="9">
        <f t="shared" si="106"/>
        <v>0.5178571428571429</v>
      </c>
      <c r="N318" s="9">
        <f t="shared" si="107"/>
        <v>0.8214285714285714</v>
      </c>
      <c r="O318" s="9">
        <f t="shared" si="108"/>
        <v>0.7053571428571429</v>
      </c>
      <c r="P318" s="17"/>
    </row>
    <row r="319" spans="1:16" x14ac:dyDescent="0.25">
      <c r="A319" t="s">
        <v>138</v>
      </c>
      <c r="B319">
        <v>2022</v>
      </c>
      <c r="C319" s="8">
        <f>'1_Du_lieu'!F367</f>
        <v>18.7</v>
      </c>
      <c r="D319" s="8">
        <f>'1_Du_lieu'!G367</f>
        <v>18</v>
      </c>
      <c r="E319" s="8">
        <f>'1_Du_lieu'!H367</f>
        <v>14.3</v>
      </c>
      <c r="F319" s="16">
        <v>0</v>
      </c>
      <c r="G319" s="6">
        <f t="shared" si="101"/>
        <v>3.74</v>
      </c>
      <c r="H319" s="6">
        <f t="shared" si="102"/>
        <v>7.2</v>
      </c>
      <c r="I319" s="6">
        <f t="shared" si="103"/>
        <v>5.7200000000000006</v>
      </c>
      <c r="J319" s="6">
        <f t="shared" si="104"/>
        <v>0</v>
      </c>
      <c r="K319" s="6">
        <f t="shared" si="92"/>
        <v>16.660000000000004</v>
      </c>
      <c r="L319" s="9">
        <f t="shared" si="105"/>
        <v>0.5178571428571429</v>
      </c>
      <c r="M319" s="9">
        <f t="shared" si="106"/>
        <v>0.625</v>
      </c>
      <c r="N319" s="9">
        <f t="shared" si="107"/>
        <v>0.5267857142857143</v>
      </c>
      <c r="O319" s="9">
        <f t="shared" si="108"/>
        <v>0.5535714285714286</v>
      </c>
      <c r="P319" s="17"/>
    </row>
    <row r="320" spans="1:16" x14ac:dyDescent="0.25">
      <c r="A320" t="s">
        <v>139</v>
      </c>
      <c r="B320">
        <v>2022</v>
      </c>
      <c r="C320" s="8">
        <f>'1_Du_lieu'!F368</f>
        <v>18.2</v>
      </c>
      <c r="D320" s="8">
        <f>'1_Du_lieu'!G368</f>
        <v>25.1</v>
      </c>
      <c r="E320" s="8">
        <f>'1_Du_lieu'!H368</f>
        <v>16.899999999999999</v>
      </c>
      <c r="F320" s="16">
        <v>0</v>
      </c>
      <c r="G320" s="6">
        <f t="shared" si="101"/>
        <v>3.64</v>
      </c>
      <c r="H320" s="6">
        <f t="shared" si="102"/>
        <v>10.040000000000001</v>
      </c>
      <c r="I320" s="6">
        <f t="shared" si="103"/>
        <v>6.76</v>
      </c>
      <c r="J320" s="6">
        <f t="shared" si="104"/>
        <v>0</v>
      </c>
      <c r="K320" s="6">
        <f t="shared" si="92"/>
        <v>20.440000000000001</v>
      </c>
      <c r="L320" s="9">
        <f t="shared" si="105"/>
        <v>0.6964285714285714</v>
      </c>
      <c r="M320" s="9">
        <f t="shared" si="106"/>
        <v>0.5892857142857143</v>
      </c>
      <c r="N320" s="9">
        <f t="shared" si="107"/>
        <v>0.75</v>
      </c>
      <c r="O320" s="9">
        <f t="shared" si="108"/>
        <v>0.6517857142857143</v>
      </c>
      <c r="P320" s="17"/>
    </row>
    <row r="321" spans="1:16" x14ac:dyDescent="0.25">
      <c r="A321" t="s">
        <v>140</v>
      </c>
      <c r="B321">
        <v>2022</v>
      </c>
      <c r="C321" s="8">
        <f>'1_Du_lieu'!F369</f>
        <v>16.600000000000001</v>
      </c>
      <c r="D321" s="8">
        <f>'1_Du_lieu'!G369</f>
        <v>14</v>
      </c>
      <c r="E321" s="8">
        <f>'1_Du_lieu'!H369</f>
        <v>13</v>
      </c>
      <c r="F321" s="16">
        <v>0</v>
      </c>
      <c r="G321" s="6">
        <f t="shared" si="101"/>
        <v>3.3200000000000003</v>
      </c>
      <c r="H321" s="6">
        <f t="shared" si="102"/>
        <v>5.6000000000000005</v>
      </c>
      <c r="I321" s="6">
        <f t="shared" si="103"/>
        <v>5.2</v>
      </c>
      <c r="J321" s="6">
        <f t="shared" si="104"/>
        <v>0</v>
      </c>
      <c r="K321" s="6">
        <f t="shared" si="92"/>
        <v>14.120000000000001</v>
      </c>
      <c r="L321" s="9">
        <f t="shared" si="105"/>
        <v>0.4017857142857143</v>
      </c>
      <c r="M321" s="9">
        <f t="shared" si="106"/>
        <v>0.49107142857142855</v>
      </c>
      <c r="N321" s="9">
        <f t="shared" si="107"/>
        <v>0.26785714285714285</v>
      </c>
      <c r="O321" s="9">
        <f t="shared" si="108"/>
        <v>0.36607142857142855</v>
      </c>
      <c r="P321" s="17"/>
    </row>
    <row r="322" spans="1:16" x14ac:dyDescent="0.25">
      <c r="A322" t="s">
        <v>141</v>
      </c>
      <c r="B322">
        <v>2022</v>
      </c>
      <c r="C322" s="8">
        <f>'1_Du_lieu'!F370</f>
        <v>12.9</v>
      </c>
      <c r="D322" s="8">
        <f>'1_Du_lieu'!G370</f>
        <v>17.5</v>
      </c>
      <c r="E322" s="8">
        <f>'1_Du_lieu'!H370</f>
        <v>10.3</v>
      </c>
      <c r="F322" s="16">
        <v>0</v>
      </c>
      <c r="G322" s="6">
        <f t="shared" si="101"/>
        <v>2.58</v>
      </c>
      <c r="H322" s="6">
        <f t="shared" si="102"/>
        <v>7</v>
      </c>
      <c r="I322" s="6">
        <f t="shared" si="103"/>
        <v>4.12</v>
      </c>
      <c r="J322" s="6">
        <f t="shared" si="104"/>
        <v>0</v>
      </c>
      <c r="K322" s="6">
        <f t="shared" si="92"/>
        <v>13.7</v>
      </c>
      <c r="L322" s="9">
        <f t="shared" si="105"/>
        <v>0.25</v>
      </c>
      <c r="M322" s="9">
        <f t="shared" si="106"/>
        <v>0.30357142857142855</v>
      </c>
      <c r="N322" s="9">
        <f t="shared" si="107"/>
        <v>0.45535714285714285</v>
      </c>
      <c r="O322" s="9">
        <f t="shared" si="108"/>
        <v>0.14285714285714285</v>
      </c>
      <c r="P322" s="17"/>
    </row>
    <row r="323" spans="1:16" x14ac:dyDescent="0.25">
      <c r="A323" t="s">
        <v>142</v>
      </c>
      <c r="B323">
        <v>2022</v>
      </c>
      <c r="C323" s="8">
        <f>'1_Du_lieu'!F371</f>
        <v>9</v>
      </c>
      <c r="D323" s="8">
        <f>'1_Du_lieu'!G371</f>
        <v>13.4</v>
      </c>
      <c r="E323" s="8">
        <f>'1_Du_lieu'!H371</f>
        <v>9</v>
      </c>
      <c r="F323" s="16">
        <v>0</v>
      </c>
      <c r="G323" s="6">
        <f t="shared" si="101"/>
        <v>1.8</v>
      </c>
      <c r="H323" s="6">
        <f t="shared" si="102"/>
        <v>5.36</v>
      </c>
      <c r="I323" s="6">
        <f t="shared" si="103"/>
        <v>3.6</v>
      </c>
      <c r="J323" s="6">
        <f t="shared" si="104"/>
        <v>0</v>
      </c>
      <c r="K323" s="6">
        <f t="shared" si="92"/>
        <v>10.76</v>
      </c>
      <c r="L323" s="9">
        <f t="shared" si="105"/>
        <v>7.1428571428571425E-2</v>
      </c>
      <c r="M323" s="9">
        <f t="shared" si="106"/>
        <v>3.5714285714285712E-2</v>
      </c>
      <c r="N323" s="9">
        <f t="shared" si="107"/>
        <v>0.17857142857142858</v>
      </c>
      <c r="O323" s="9">
        <f t="shared" si="108"/>
        <v>8.0357142857142863E-2</v>
      </c>
      <c r="P323" s="17"/>
    </row>
    <row r="324" spans="1:16" x14ac:dyDescent="0.25">
      <c r="A324" t="s">
        <v>143</v>
      </c>
      <c r="B324">
        <v>2022</v>
      </c>
      <c r="C324" s="8">
        <f>'1_Du_lieu'!F372</f>
        <v>11.1</v>
      </c>
      <c r="D324" s="8">
        <f>'1_Du_lieu'!G372</f>
        <v>10.6</v>
      </c>
      <c r="E324" s="8">
        <f>'1_Du_lieu'!H372</f>
        <v>7</v>
      </c>
      <c r="F324" s="16">
        <v>0</v>
      </c>
      <c r="G324" s="6">
        <f t="shared" si="101"/>
        <v>2.2200000000000002</v>
      </c>
      <c r="H324" s="6">
        <f t="shared" si="102"/>
        <v>4.24</v>
      </c>
      <c r="I324" s="6">
        <f t="shared" si="103"/>
        <v>2.8000000000000003</v>
      </c>
      <c r="J324" s="6">
        <f t="shared" si="104"/>
        <v>0</v>
      </c>
      <c r="K324" s="6">
        <f t="shared" si="92"/>
        <v>9.2600000000000016</v>
      </c>
      <c r="L324" s="9">
        <f t="shared" si="105"/>
        <v>1.7857142857142856E-2</v>
      </c>
      <c r="M324" s="9">
        <f t="shared" si="106"/>
        <v>0.125</v>
      </c>
      <c r="N324" s="9">
        <f t="shared" si="107"/>
        <v>1.7857142857142856E-2</v>
      </c>
      <c r="O324" s="9">
        <f t="shared" si="108"/>
        <v>1.7857142857142856E-2</v>
      </c>
      <c r="P324" s="17"/>
    </row>
    <row r="325" spans="1:16" x14ac:dyDescent="0.25">
      <c r="A325" t="s">
        <v>144</v>
      </c>
      <c r="B325">
        <v>2022</v>
      </c>
      <c r="C325" s="8">
        <f>'1_Du_lieu'!F373</f>
        <v>13.4</v>
      </c>
      <c r="D325" s="8">
        <f>'1_Du_lieu'!G373</f>
        <v>17.5</v>
      </c>
      <c r="E325" s="8">
        <f>'1_Du_lieu'!H373</f>
        <v>12.4</v>
      </c>
      <c r="F325" s="16">
        <v>0</v>
      </c>
      <c r="G325" s="6">
        <f t="shared" si="101"/>
        <v>2.68</v>
      </c>
      <c r="H325" s="6">
        <f t="shared" si="102"/>
        <v>7</v>
      </c>
      <c r="I325" s="6">
        <f t="shared" si="103"/>
        <v>4.9600000000000009</v>
      </c>
      <c r="J325" s="6">
        <f t="shared" si="104"/>
        <v>0</v>
      </c>
      <c r="K325" s="6">
        <f t="shared" ref="K325:K388" si="109">SUM(G325:J325)</f>
        <v>14.64</v>
      </c>
      <c r="L325" s="9">
        <f t="shared" si="105"/>
        <v>0.44642857142857145</v>
      </c>
      <c r="M325" s="9">
        <f t="shared" si="106"/>
        <v>0.32142857142857145</v>
      </c>
      <c r="N325" s="9">
        <f t="shared" si="107"/>
        <v>0.45535714285714285</v>
      </c>
      <c r="O325" s="9">
        <f t="shared" si="108"/>
        <v>0.32142857142857145</v>
      </c>
      <c r="P325" s="17"/>
    </row>
    <row r="326" spans="1:16" x14ac:dyDescent="0.25">
      <c r="A326" t="s">
        <v>145</v>
      </c>
      <c r="B326">
        <v>2022</v>
      </c>
      <c r="C326" s="8">
        <f>'1_Du_lieu'!F374</f>
        <v>12</v>
      </c>
      <c r="D326" s="8">
        <f>'1_Du_lieu'!G374</f>
        <v>14.4</v>
      </c>
      <c r="E326" s="8">
        <f>'1_Du_lieu'!H374</f>
        <v>9</v>
      </c>
      <c r="F326" s="16">
        <v>0</v>
      </c>
      <c r="G326" s="6">
        <f t="shared" si="101"/>
        <v>2.4000000000000004</v>
      </c>
      <c r="H326" s="6">
        <f t="shared" si="102"/>
        <v>5.7600000000000007</v>
      </c>
      <c r="I326" s="6">
        <f t="shared" si="103"/>
        <v>3.6</v>
      </c>
      <c r="J326" s="6">
        <f t="shared" si="104"/>
        <v>0</v>
      </c>
      <c r="K326" s="6">
        <f t="shared" si="109"/>
        <v>11.76</v>
      </c>
      <c r="L326" s="9">
        <f t="shared" si="105"/>
        <v>0.14285714285714285</v>
      </c>
      <c r="M326" s="9">
        <f t="shared" si="106"/>
        <v>0.20535714285714285</v>
      </c>
      <c r="N326" s="9">
        <f t="shared" si="107"/>
        <v>0.32142857142857145</v>
      </c>
      <c r="O326" s="9">
        <f t="shared" si="108"/>
        <v>8.0357142857142863E-2</v>
      </c>
      <c r="P326" s="17"/>
    </row>
    <row r="327" spans="1:16" x14ac:dyDescent="0.25">
      <c r="A327" t="s">
        <v>146</v>
      </c>
      <c r="B327">
        <v>2022</v>
      </c>
      <c r="C327" s="8">
        <f>'1_Du_lieu'!F375</f>
        <v>21.8</v>
      </c>
      <c r="D327" s="8">
        <f>'1_Du_lieu'!G375</f>
        <v>25.7</v>
      </c>
      <c r="E327" s="8">
        <f>'1_Du_lieu'!H375</f>
        <v>23.2</v>
      </c>
      <c r="F327" s="16">
        <v>0</v>
      </c>
      <c r="G327" s="6">
        <f t="shared" si="101"/>
        <v>4.3600000000000003</v>
      </c>
      <c r="H327" s="6">
        <f t="shared" si="102"/>
        <v>10.280000000000001</v>
      </c>
      <c r="I327" s="6">
        <f t="shared" si="103"/>
        <v>9.2799999999999994</v>
      </c>
      <c r="J327" s="6">
        <f t="shared" si="104"/>
        <v>0</v>
      </c>
      <c r="K327" s="6">
        <f t="shared" si="109"/>
        <v>23.92</v>
      </c>
      <c r="L327" s="9">
        <f t="shared" si="105"/>
        <v>0.8214285714285714</v>
      </c>
      <c r="M327" s="9">
        <f t="shared" si="106"/>
        <v>0.7321428571428571</v>
      </c>
      <c r="N327" s="9">
        <f t="shared" si="107"/>
        <v>0.7857142857142857</v>
      </c>
      <c r="O327" s="9">
        <f t="shared" si="108"/>
        <v>0.8571428571428571</v>
      </c>
      <c r="P327" s="17"/>
    </row>
    <row r="328" spans="1:16" x14ac:dyDescent="0.25">
      <c r="A328" t="s">
        <v>147</v>
      </c>
      <c r="B328">
        <v>2022</v>
      </c>
      <c r="C328" s="8">
        <f>'1_Du_lieu'!F376</f>
        <v>12.7</v>
      </c>
      <c r="D328" s="8">
        <f>'1_Du_lieu'!G376</f>
        <v>15.2</v>
      </c>
      <c r="E328" s="8">
        <f>'1_Du_lieu'!H376</f>
        <v>13</v>
      </c>
      <c r="F328" s="16">
        <v>0</v>
      </c>
      <c r="G328" s="6">
        <f t="shared" si="101"/>
        <v>2.54</v>
      </c>
      <c r="H328" s="6">
        <f t="shared" si="102"/>
        <v>6.08</v>
      </c>
      <c r="I328" s="6">
        <f t="shared" si="103"/>
        <v>5.2</v>
      </c>
      <c r="J328" s="6">
        <f t="shared" si="104"/>
        <v>0</v>
      </c>
      <c r="K328" s="6">
        <f t="shared" si="109"/>
        <v>13.82</v>
      </c>
      <c r="L328" s="9">
        <f t="shared" si="105"/>
        <v>0.26785714285714285</v>
      </c>
      <c r="M328" s="9">
        <f t="shared" si="106"/>
        <v>0.2767857142857143</v>
      </c>
      <c r="N328" s="9">
        <f t="shared" si="107"/>
        <v>0.375</v>
      </c>
      <c r="O328" s="9">
        <f t="shared" si="108"/>
        <v>0.36607142857142855</v>
      </c>
      <c r="P328" s="17"/>
    </row>
    <row r="329" spans="1:16" x14ac:dyDescent="0.25">
      <c r="A329" t="s">
        <v>149</v>
      </c>
      <c r="B329">
        <v>2022</v>
      </c>
      <c r="C329" s="8">
        <f>'1_Du_lieu'!F378</f>
        <v>40</v>
      </c>
      <c r="D329" s="8">
        <f>'1_Du_lieu'!G378</f>
        <v>36.4</v>
      </c>
      <c r="E329" s="8">
        <f>'1_Du_lieu'!H378</f>
        <v>35</v>
      </c>
      <c r="F329" s="16">
        <v>0</v>
      </c>
      <c r="G329" s="6">
        <f t="shared" si="101"/>
        <v>8</v>
      </c>
      <c r="H329" s="6">
        <f t="shared" si="102"/>
        <v>14.56</v>
      </c>
      <c r="I329" s="6">
        <f t="shared" si="103"/>
        <v>14</v>
      </c>
      <c r="J329" s="6">
        <f t="shared" si="104"/>
        <v>0</v>
      </c>
      <c r="K329" s="6">
        <f t="shared" si="109"/>
        <v>36.56</v>
      </c>
      <c r="L329" s="9">
        <f t="shared" si="105"/>
        <v>0.9642857142857143</v>
      </c>
      <c r="M329" s="9">
        <f t="shared" si="106"/>
        <v>0.9642857142857143</v>
      </c>
      <c r="N329" s="9">
        <f t="shared" si="107"/>
        <v>0.9285714285714286</v>
      </c>
      <c r="O329" s="9">
        <f t="shared" si="108"/>
        <v>0.9464285714285714</v>
      </c>
      <c r="P329" s="17"/>
    </row>
    <row r="330" spans="1:16" x14ac:dyDescent="0.25">
      <c r="A330" t="s">
        <v>150</v>
      </c>
      <c r="B330">
        <v>2022</v>
      </c>
      <c r="C330" s="8">
        <f>'1_Du_lieu'!F379</f>
        <v>18</v>
      </c>
      <c r="D330" s="8">
        <f>'1_Du_lieu'!G379</f>
        <v>22.1</v>
      </c>
      <c r="E330" s="8">
        <f>'1_Du_lieu'!H379</f>
        <v>14.2</v>
      </c>
      <c r="F330" s="16">
        <v>0</v>
      </c>
      <c r="G330" s="6">
        <f t="shared" si="101"/>
        <v>3.6</v>
      </c>
      <c r="H330" s="6">
        <f t="shared" si="102"/>
        <v>8.8400000000000016</v>
      </c>
      <c r="I330" s="6">
        <f t="shared" si="103"/>
        <v>5.68</v>
      </c>
      <c r="J330" s="6">
        <f t="shared" si="104"/>
        <v>0</v>
      </c>
      <c r="K330" s="6">
        <f t="shared" si="109"/>
        <v>18.12</v>
      </c>
      <c r="L330" s="9">
        <f t="shared" si="105"/>
        <v>0.625</v>
      </c>
      <c r="M330" s="9">
        <f t="shared" si="106"/>
        <v>0.5714285714285714</v>
      </c>
      <c r="N330" s="9">
        <f t="shared" si="107"/>
        <v>0.6428571428571429</v>
      </c>
      <c r="O330" s="9">
        <f t="shared" si="108"/>
        <v>0.5357142857142857</v>
      </c>
      <c r="P330" s="17"/>
    </row>
    <row r="331" spans="1:16" x14ac:dyDescent="0.25">
      <c r="A331" t="s">
        <v>151</v>
      </c>
      <c r="B331">
        <v>2022</v>
      </c>
      <c r="C331" s="8">
        <f>'1_Du_lieu'!F380</f>
        <v>11.3</v>
      </c>
      <c r="D331" s="8">
        <f>'1_Du_lieu'!G380</f>
        <v>13.1</v>
      </c>
      <c r="E331" s="8">
        <f>'1_Du_lieu'!H380</f>
        <v>10.8</v>
      </c>
      <c r="F331" s="16">
        <v>0</v>
      </c>
      <c r="G331" s="6">
        <f t="shared" si="101"/>
        <v>2.2600000000000002</v>
      </c>
      <c r="H331" s="6">
        <f t="shared" si="102"/>
        <v>5.24</v>
      </c>
      <c r="I331" s="6">
        <f t="shared" si="103"/>
        <v>4.32</v>
      </c>
      <c r="J331" s="6">
        <f t="shared" si="104"/>
        <v>0</v>
      </c>
      <c r="K331" s="6">
        <f t="shared" si="109"/>
        <v>11.82</v>
      </c>
      <c r="L331" s="9">
        <f t="shared" si="105"/>
        <v>0.16071428571428573</v>
      </c>
      <c r="M331" s="9">
        <f t="shared" si="106"/>
        <v>0.14285714285714285</v>
      </c>
      <c r="N331" s="9">
        <f t="shared" si="107"/>
        <v>0.14285714285714285</v>
      </c>
      <c r="O331" s="9">
        <f t="shared" si="108"/>
        <v>0.1875</v>
      </c>
      <c r="P331" s="17"/>
    </row>
    <row r="332" spans="1:16" x14ac:dyDescent="0.25">
      <c r="A332" t="s">
        <v>152</v>
      </c>
      <c r="B332">
        <v>2022</v>
      </c>
      <c r="C332" s="8">
        <f>'1_Du_lieu'!F381</f>
        <v>24.2</v>
      </c>
      <c r="D332" s="8">
        <f>'1_Du_lieu'!G381</f>
        <v>36.6</v>
      </c>
      <c r="E332" s="8">
        <f>'1_Du_lieu'!H381</f>
        <v>33.9</v>
      </c>
      <c r="F332" s="16">
        <v>0</v>
      </c>
      <c r="G332" s="6">
        <f t="shared" si="101"/>
        <v>4.84</v>
      </c>
      <c r="H332" s="6">
        <f t="shared" si="102"/>
        <v>14.64</v>
      </c>
      <c r="I332" s="6">
        <f t="shared" si="103"/>
        <v>13.56</v>
      </c>
      <c r="J332" s="6">
        <f t="shared" si="104"/>
        <v>0</v>
      </c>
      <c r="K332" s="6">
        <f t="shared" si="109"/>
        <v>33.04</v>
      </c>
      <c r="L332" s="9">
        <f t="shared" si="105"/>
        <v>0.9285714285714286</v>
      </c>
      <c r="M332" s="9">
        <f t="shared" si="106"/>
        <v>0.8035714285714286</v>
      </c>
      <c r="N332" s="9">
        <f t="shared" si="107"/>
        <v>0.9464285714285714</v>
      </c>
      <c r="O332" s="9">
        <f t="shared" si="108"/>
        <v>0.9285714285714286</v>
      </c>
      <c r="P332" s="17"/>
    </row>
    <row r="333" spans="1:16" x14ac:dyDescent="0.25">
      <c r="A333" t="s">
        <v>153</v>
      </c>
      <c r="B333">
        <v>2022</v>
      </c>
      <c r="C333" s="8">
        <f>'1_Du_lieu'!F382</f>
        <v>10.5</v>
      </c>
      <c r="D333" s="8">
        <f>'1_Du_lieu'!G382</f>
        <v>20.6</v>
      </c>
      <c r="E333" s="8">
        <f>'1_Du_lieu'!H382</f>
        <v>11</v>
      </c>
      <c r="F333" s="16">
        <v>0</v>
      </c>
      <c r="G333" s="6">
        <f t="shared" si="101"/>
        <v>2.1</v>
      </c>
      <c r="H333" s="6">
        <f t="shared" si="102"/>
        <v>8.24</v>
      </c>
      <c r="I333" s="6">
        <f t="shared" si="103"/>
        <v>4.4000000000000004</v>
      </c>
      <c r="J333" s="6">
        <f t="shared" si="104"/>
        <v>0</v>
      </c>
      <c r="K333" s="6">
        <f t="shared" si="109"/>
        <v>14.74</v>
      </c>
      <c r="L333" s="9">
        <f t="shared" si="105"/>
        <v>0.4642857142857143</v>
      </c>
      <c r="M333" s="9">
        <f t="shared" si="106"/>
        <v>5.3571428571428568E-2</v>
      </c>
      <c r="N333" s="9">
        <f t="shared" si="107"/>
        <v>0.6071428571428571</v>
      </c>
      <c r="O333" s="9">
        <f t="shared" si="108"/>
        <v>0.21428571428571427</v>
      </c>
      <c r="P333" s="17"/>
    </row>
    <row r="334" spans="1:16" x14ac:dyDescent="0.25">
      <c r="A334" t="s">
        <v>85</v>
      </c>
      <c r="B334">
        <v>2023</v>
      </c>
      <c r="C334" s="8">
        <f>'1_Du_lieu'!F383</f>
        <v>16.2</v>
      </c>
      <c r="D334" s="8">
        <f>'1_Du_lieu'!G383</f>
        <v>13</v>
      </c>
      <c r="E334" s="8">
        <f>'1_Du_lieu'!H383</f>
        <v>14</v>
      </c>
      <c r="F334" s="16">
        <v>0</v>
      </c>
      <c r="G334" s="6">
        <f t="shared" ref="G334:G365" si="110">C334*$AC$10</f>
        <v>3.24</v>
      </c>
      <c r="H334" s="6">
        <f t="shared" ref="H334:H365" si="111">D334*$AD$10</f>
        <v>5.2</v>
      </c>
      <c r="I334" s="6">
        <f t="shared" ref="I334:I365" si="112">E334*$AE$10</f>
        <v>5.6000000000000005</v>
      </c>
      <c r="J334" s="6">
        <f t="shared" ref="J334:J365" si="113">F334*$AF$10</f>
        <v>0</v>
      </c>
      <c r="K334" s="6">
        <f t="shared" si="109"/>
        <v>14.040000000000003</v>
      </c>
      <c r="L334" s="9">
        <f t="shared" ref="L334:L365" si="114">_xlfn.RANK.AVG(K334,$K$334:$K$391,1)/58</f>
        <v>0.41379310344827586</v>
      </c>
      <c r="M334" s="9">
        <f t="shared" ref="M334:M365" si="115">_xlfn.RANK.AVG(G334,$G$334:$G$391,1)/58</f>
        <v>0.37068965517241381</v>
      </c>
      <c r="N334" s="9">
        <f t="shared" ref="N334:N365" si="116">_xlfn.RANK.AVG(H334,$H$334:$H$391,1)/58</f>
        <v>0.7068965517241379</v>
      </c>
      <c r="O334" s="9">
        <f t="shared" ref="O334:O365" si="117">_xlfn.RANK.AVG(I334,$I$334:$I$391,1)/58</f>
        <v>0.19827586206896552</v>
      </c>
      <c r="P334" s="17"/>
    </row>
    <row r="335" spans="1:16" x14ac:dyDescent="0.25">
      <c r="A335" t="s">
        <v>87</v>
      </c>
      <c r="B335">
        <v>2023</v>
      </c>
      <c r="C335" s="8">
        <f>'1_Du_lieu'!F384</f>
        <v>37.4</v>
      </c>
      <c r="D335" s="8">
        <f>'1_Du_lieu'!G384</f>
        <v>12.6</v>
      </c>
      <c r="E335" s="8">
        <f>'1_Du_lieu'!H384</f>
        <v>27.7</v>
      </c>
      <c r="F335" s="16">
        <v>0</v>
      </c>
      <c r="G335" s="6">
        <f t="shared" si="110"/>
        <v>7.48</v>
      </c>
      <c r="H335" s="6">
        <f t="shared" si="111"/>
        <v>5.04</v>
      </c>
      <c r="I335" s="6">
        <f t="shared" si="112"/>
        <v>11.08</v>
      </c>
      <c r="J335" s="6">
        <f t="shared" si="113"/>
        <v>0</v>
      </c>
      <c r="K335" s="6">
        <f t="shared" si="109"/>
        <v>23.6</v>
      </c>
      <c r="L335" s="9">
        <f t="shared" si="114"/>
        <v>0.89655172413793105</v>
      </c>
      <c r="M335" s="9">
        <f t="shared" si="115"/>
        <v>0.94827586206896552</v>
      </c>
      <c r="N335" s="9">
        <f t="shared" si="116"/>
        <v>0.65517241379310343</v>
      </c>
      <c r="O335" s="9">
        <f t="shared" si="117"/>
        <v>0.86206896551724133</v>
      </c>
      <c r="P335" s="17"/>
    </row>
    <row r="336" spans="1:16" x14ac:dyDescent="0.25">
      <c r="A336" t="s">
        <v>89</v>
      </c>
      <c r="B336">
        <v>2023</v>
      </c>
      <c r="C336" s="8">
        <f>'1_Du_lieu'!F385</f>
        <v>35.700000000000003</v>
      </c>
      <c r="D336" s="8">
        <f>'1_Du_lieu'!G385</f>
        <v>21.6</v>
      </c>
      <c r="E336" s="8">
        <f>'1_Du_lieu'!H385</f>
        <v>49.9</v>
      </c>
      <c r="F336" s="16">
        <v>0</v>
      </c>
      <c r="G336" s="6">
        <f t="shared" si="110"/>
        <v>7.1400000000000006</v>
      </c>
      <c r="H336" s="6">
        <f t="shared" si="111"/>
        <v>8.64</v>
      </c>
      <c r="I336" s="6">
        <f t="shared" si="112"/>
        <v>19.96</v>
      </c>
      <c r="J336" s="6">
        <f t="shared" si="113"/>
        <v>0</v>
      </c>
      <c r="K336" s="6">
        <f t="shared" si="109"/>
        <v>35.74</v>
      </c>
      <c r="L336" s="9">
        <f t="shared" si="114"/>
        <v>0.94827586206896552</v>
      </c>
      <c r="M336" s="9">
        <f t="shared" si="115"/>
        <v>0.91379310344827591</v>
      </c>
      <c r="N336" s="9">
        <f t="shared" si="116"/>
        <v>0.96551724137931039</v>
      </c>
      <c r="O336" s="9">
        <f t="shared" si="117"/>
        <v>0.94827586206896552</v>
      </c>
      <c r="P336" s="17"/>
    </row>
    <row r="337" spans="1:16" x14ac:dyDescent="0.25">
      <c r="A337" t="s">
        <v>90</v>
      </c>
      <c r="B337">
        <v>2023</v>
      </c>
      <c r="C337" s="8">
        <f>'1_Du_lieu'!F386</f>
        <v>17.899999999999999</v>
      </c>
      <c r="D337" s="8">
        <f>'1_Du_lieu'!G386</f>
        <v>11.3</v>
      </c>
      <c r="E337" s="8">
        <f>'1_Du_lieu'!H386</f>
        <v>12</v>
      </c>
      <c r="F337" s="16">
        <v>0</v>
      </c>
      <c r="G337" s="6">
        <f t="shared" si="110"/>
        <v>3.58</v>
      </c>
      <c r="H337" s="6">
        <f t="shared" si="111"/>
        <v>4.5200000000000005</v>
      </c>
      <c r="I337" s="6">
        <f t="shared" si="112"/>
        <v>4.8000000000000007</v>
      </c>
      <c r="J337" s="6">
        <f t="shared" si="113"/>
        <v>0</v>
      </c>
      <c r="K337" s="6">
        <f t="shared" si="109"/>
        <v>12.900000000000002</v>
      </c>
      <c r="L337" s="9">
        <f t="shared" si="114"/>
        <v>0.2413793103448276</v>
      </c>
      <c r="M337" s="9">
        <f t="shared" si="115"/>
        <v>0.43103448275862066</v>
      </c>
      <c r="N337" s="9">
        <f t="shared" si="116"/>
        <v>0.37068965517241381</v>
      </c>
      <c r="O337" s="9">
        <f t="shared" si="117"/>
        <v>8.6206896551724144E-2</v>
      </c>
      <c r="P337" s="17"/>
    </row>
    <row r="338" spans="1:16" x14ac:dyDescent="0.25">
      <c r="A338" t="s">
        <v>91</v>
      </c>
      <c r="B338">
        <v>2023</v>
      </c>
      <c r="C338" s="8">
        <f>'1_Du_lieu'!F387</f>
        <v>17.2</v>
      </c>
      <c r="D338" s="8">
        <f>'1_Du_lieu'!G387</f>
        <v>12</v>
      </c>
      <c r="E338" s="8">
        <f>'1_Du_lieu'!H387</f>
        <v>17.3</v>
      </c>
      <c r="F338" s="16">
        <v>0</v>
      </c>
      <c r="G338" s="6">
        <f t="shared" si="110"/>
        <v>3.44</v>
      </c>
      <c r="H338" s="6">
        <f t="shared" si="111"/>
        <v>4.8000000000000007</v>
      </c>
      <c r="I338" s="6">
        <f t="shared" si="112"/>
        <v>6.9200000000000008</v>
      </c>
      <c r="J338" s="6">
        <f t="shared" si="113"/>
        <v>0</v>
      </c>
      <c r="K338" s="6">
        <f t="shared" si="109"/>
        <v>15.16</v>
      </c>
      <c r="L338" s="9">
        <f t="shared" si="114"/>
        <v>0.46551724137931033</v>
      </c>
      <c r="M338" s="9">
        <f t="shared" si="115"/>
        <v>0.41379310344827586</v>
      </c>
      <c r="N338" s="9">
        <f t="shared" si="116"/>
        <v>0.5431034482758621</v>
      </c>
      <c r="O338" s="9">
        <f t="shared" si="117"/>
        <v>0.48275862068965519</v>
      </c>
      <c r="P338" s="17"/>
    </row>
    <row r="339" spans="1:16" x14ac:dyDescent="0.25">
      <c r="A339" t="s">
        <v>93</v>
      </c>
      <c r="B339">
        <v>2023</v>
      </c>
      <c r="C339" s="8">
        <f>'1_Du_lieu'!F388</f>
        <v>23.3</v>
      </c>
      <c r="D339" s="8">
        <f>'1_Du_lieu'!G388</f>
        <v>11.6</v>
      </c>
      <c r="E339" s="8">
        <f>'1_Du_lieu'!H388</f>
        <v>18.2</v>
      </c>
      <c r="F339" s="16">
        <v>0</v>
      </c>
      <c r="G339" s="6">
        <f t="shared" si="110"/>
        <v>4.66</v>
      </c>
      <c r="H339" s="6">
        <f t="shared" si="111"/>
        <v>4.6399999999999997</v>
      </c>
      <c r="I339" s="6">
        <f t="shared" si="112"/>
        <v>7.28</v>
      </c>
      <c r="J339" s="6">
        <f t="shared" si="113"/>
        <v>0</v>
      </c>
      <c r="K339" s="6">
        <f t="shared" si="109"/>
        <v>16.580000000000002</v>
      </c>
      <c r="L339" s="9">
        <f t="shared" si="114"/>
        <v>0.53448275862068961</v>
      </c>
      <c r="M339" s="9">
        <f t="shared" si="115"/>
        <v>0.68965517241379315</v>
      </c>
      <c r="N339" s="9">
        <f t="shared" si="116"/>
        <v>0.44827586206896552</v>
      </c>
      <c r="O339" s="9">
        <f t="shared" si="117"/>
        <v>0.53448275862068961</v>
      </c>
      <c r="P339" s="17"/>
    </row>
    <row r="340" spans="1:16" x14ac:dyDescent="0.25">
      <c r="A340" t="s">
        <v>94</v>
      </c>
      <c r="B340">
        <v>2023</v>
      </c>
      <c r="C340" s="8">
        <f>'1_Du_lieu'!F389</f>
        <v>11.6</v>
      </c>
      <c r="D340" s="8">
        <f>'1_Du_lieu'!G389</f>
        <v>10.5</v>
      </c>
      <c r="E340" s="8">
        <f>'1_Du_lieu'!H389</f>
        <v>15.6</v>
      </c>
      <c r="F340" s="16">
        <v>0</v>
      </c>
      <c r="G340" s="6">
        <f t="shared" si="110"/>
        <v>2.3199999999999998</v>
      </c>
      <c r="H340" s="6">
        <f t="shared" si="111"/>
        <v>4.2</v>
      </c>
      <c r="I340" s="6">
        <f t="shared" si="112"/>
        <v>6.24</v>
      </c>
      <c r="J340" s="6">
        <f t="shared" si="113"/>
        <v>0</v>
      </c>
      <c r="K340" s="6">
        <f t="shared" si="109"/>
        <v>12.76</v>
      </c>
      <c r="L340" s="9">
        <f t="shared" si="114"/>
        <v>0.20689655172413793</v>
      </c>
      <c r="M340" s="9">
        <f t="shared" si="115"/>
        <v>0.12931034482758622</v>
      </c>
      <c r="N340" s="9">
        <f t="shared" si="116"/>
        <v>0.28448275862068967</v>
      </c>
      <c r="O340" s="9">
        <f t="shared" si="117"/>
        <v>0.35344827586206895</v>
      </c>
      <c r="P340" s="17"/>
    </row>
    <row r="341" spans="1:16" x14ac:dyDescent="0.25">
      <c r="A341" t="s">
        <v>95</v>
      </c>
      <c r="B341">
        <v>2023</v>
      </c>
      <c r="C341" s="8">
        <f>'1_Du_lieu'!F390</f>
        <v>20.5</v>
      </c>
      <c r="D341" s="8">
        <f>'1_Du_lieu'!G390</f>
        <v>13.1</v>
      </c>
      <c r="E341" s="8">
        <f>'1_Du_lieu'!H390</f>
        <v>24.2</v>
      </c>
      <c r="F341" s="16">
        <v>0</v>
      </c>
      <c r="G341" s="6">
        <f t="shared" si="110"/>
        <v>4.1000000000000005</v>
      </c>
      <c r="H341" s="6">
        <f t="shared" si="111"/>
        <v>5.24</v>
      </c>
      <c r="I341" s="6">
        <f t="shared" si="112"/>
        <v>9.68</v>
      </c>
      <c r="J341" s="6">
        <f t="shared" si="113"/>
        <v>0</v>
      </c>
      <c r="K341" s="6">
        <f t="shared" si="109"/>
        <v>19.02</v>
      </c>
      <c r="L341" s="9">
        <f t="shared" si="114"/>
        <v>0.72413793103448276</v>
      </c>
      <c r="M341" s="9">
        <f t="shared" si="115"/>
        <v>0.58620689655172409</v>
      </c>
      <c r="N341" s="9">
        <f t="shared" si="116"/>
        <v>0.74137931034482762</v>
      </c>
      <c r="O341" s="9">
        <f t="shared" si="117"/>
        <v>0.73275862068965514</v>
      </c>
      <c r="P341" s="17"/>
    </row>
    <row r="342" spans="1:16" x14ac:dyDescent="0.25">
      <c r="A342" t="s">
        <v>97</v>
      </c>
      <c r="B342">
        <v>2023</v>
      </c>
      <c r="C342" s="8">
        <f>'1_Du_lieu'!F391</f>
        <v>11.1</v>
      </c>
      <c r="D342" s="8">
        <f>'1_Du_lieu'!G391</f>
        <v>8.8000000000000007</v>
      </c>
      <c r="E342" s="8">
        <f>'1_Du_lieu'!H391</f>
        <v>14.6</v>
      </c>
      <c r="F342" s="16">
        <v>0</v>
      </c>
      <c r="G342" s="6">
        <f t="shared" si="110"/>
        <v>2.2200000000000002</v>
      </c>
      <c r="H342" s="6">
        <f t="shared" si="111"/>
        <v>3.5200000000000005</v>
      </c>
      <c r="I342" s="6">
        <f t="shared" si="112"/>
        <v>5.84</v>
      </c>
      <c r="J342" s="6">
        <f t="shared" si="113"/>
        <v>0</v>
      </c>
      <c r="K342" s="6">
        <f t="shared" si="109"/>
        <v>11.58</v>
      </c>
      <c r="L342" s="9">
        <f t="shared" si="114"/>
        <v>8.6206896551724144E-2</v>
      </c>
      <c r="M342" s="9">
        <f t="shared" si="115"/>
        <v>5.1724137931034482E-2</v>
      </c>
      <c r="N342" s="9">
        <f t="shared" si="116"/>
        <v>5.1724137931034482E-2</v>
      </c>
      <c r="O342" s="9">
        <f t="shared" si="117"/>
        <v>0.2413793103448276</v>
      </c>
      <c r="P342" s="17"/>
    </row>
    <row r="343" spans="1:16" x14ac:dyDescent="0.25">
      <c r="A343" t="s">
        <v>98</v>
      </c>
      <c r="B343">
        <v>2023</v>
      </c>
      <c r="C343" s="8">
        <f>'1_Du_lieu'!F392</f>
        <v>24.9</v>
      </c>
      <c r="D343" s="8">
        <f>'1_Du_lieu'!G392</f>
        <v>14</v>
      </c>
      <c r="E343" s="8">
        <f>'1_Du_lieu'!H392</f>
        <v>27.3</v>
      </c>
      <c r="F343" s="16">
        <v>0</v>
      </c>
      <c r="G343" s="6">
        <f t="shared" si="110"/>
        <v>4.9800000000000004</v>
      </c>
      <c r="H343" s="6">
        <f t="shared" si="111"/>
        <v>5.6000000000000005</v>
      </c>
      <c r="I343" s="6">
        <f t="shared" si="112"/>
        <v>10.920000000000002</v>
      </c>
      <c r="J343" s="6">
        <f t="shared" si="113"/>
        <v>0</v>
      </c>
      <c r="K343" s="6">
        <f t="shared" si="109"/>
        <v>21.500000000000004</v>
      </c>
      <c r="L343" s="9">
        <f t="shared" si="114"/>
        <v>0.84482758620689657</v>
      </c>
      <c r="M343" s="9">
        <f t="shared" si="115"/>
        <v>0.74137931034482762</v>
      </c>
      <c r="N343" s="9">
        <f t="shared" si="116"/>
        <v>0.83620689655172409</v>
      </c>
      <c r="O343" s="9">
        <f t="shared" si="117"/>
        <v>0.84482758620689657</v>
      </c>
      <c r="P343" s="17"/>
    </row>
    <row r="344" spans="1:16" x14ac:dyDescent="0.25">
      <c r="A344" t="s">
        <v>100</v>
      </c>
      <c r="B344">
        <v>2023</v>
      </c>
      <c r="C344" s="8">
        <f>'1_Du_lieu'!F393</f>
        <v>20.100000000000001</v>
      </c>
      <c r="D344" s="8">
        <f>'1_Du_lieu'!G393</f>
        <v>14</v>
      </c>
      <c r="E344" s="8">
        <f>'1_Du_lieu'!H393</f>
        <v>12.2</v>
      </c>
      <c r="F344" s="16">
        <v>0</v>
      </c>
      <c r="G344" s="6">
        <f t="shared" si="110"/>
        <v>4.0200000000000005</v>
      </c>
      <c r="H344" s="6">
        <f t="shared" si="111"/>
        <v>5.6000000000000005</v>
      </c>
      <c r="I344" s="6">
        <f t="shared" si="112"/>
        <v>4.88</v>
      </c>
      <c r="J344" s="6">
        <f t="shared" si="113"/>
        <v>0</v>
      </c>
      <c r="K344" s="6">
        <f t="shared" si="109"/>
        <v>14.5</v>
      </c>
      <c r="L344" s="9">
        <f t="shared" si="114"/>
        <v>0.43103448275862066</v>
      </c>
      <c r="M344" s="9">
        <f t="shared" si="115"/>
        <v>0.56896551724137934</v>
      </c>
      <c r="N344" s="9">
        <f t="shared" si="116"/>
        <v>0.83620689655172409</v>
      </c>
      <c r="O344" s="9">
        <f t="shared" si="117"/>
        <v>0.1206896551724138</v>
      </c>
      <c r="P344" s="17"/>
    </row>
    <row r="345" spans="1:16" x14ac:dyDescent="0.25">
      <c r="A345" t="s">
        <v>102</v>
      </c>
      <c r="B345">
        <v>2023</v>
      </c>
      <c r="C345" s="8">
        <f>'1_Du_lieu'!F395</f>
        <v>11.6</v>
      </c>
      <c r="D345" s="8">
        <f>'1_Du_lieu'!G395</f>
        <v>12</v>
      </c>
      <c r="E345" s="8">
        <f>'1_Du_lieu'!H395</f>
        <v>15.7</v>
      </c>
      <c r="F345" s="16">
        <v>0</v>
      </c>
      <c r="G345" s="6">
        <f t="shared" si="110"/>
        <v>2.3199999999999998</v>
      </c>
      <c r="H345" s="6">
        <f t="shared" si="111"/>
        <v>4.8000000000000007</v>
      </c>
      <c r="I345" s="6">
        <f t="shared" si="112"/>
        <v>6.28</v>
      </c>
      <c r="J345" s="6">
        <f t="shared" si="113"/>
        <v>0</v>
      </c>
      <c r="K345" s="6">
        <f t="shared" si="109"/>
        <v>13.400000000000002</v>
      </c>
      <c r="L345" s="9">
        <f t="shared" si="114"/>
        <v>0.32758620689655171</v>
      </c>
      <c r="M345" s="9">
        <f t="shared" si="115"/>
        <v>0.12931034482758622</v>
      </c>
      <c r="N345" s="9">
        <f t="shared" si="116"/>
        <v>0.5431034482758621</v>
      </c>
      <c r="O345" s="9">
        <f t="shared" si="117"/>
        <v>0.37931034482758619</v>
      </c>
      <c r="P345" s="17"/>
    </row>
    <row r="346" spans="1:16" x14ac:dyDescent="0.25">
      <c r="A346" t="s">
        <v>103</v>
      </c>
      <c r="B346">
        <v>2023</v>
      </c>
      <c r="C346" s="8">
        <f>'1_Du_lieu'!F396</f>
        <v>27.7</v>
      </c>
      <c r="D346" s="8">
        <f>'1_Du_lieu'!G396</f>
        <v>15.1</v>
      </c>
      <c r="E346" s="8">
        <f>'1_Du_lieu'!H396</f>
        <v>25.4</v>
      </c>
      <c r="F346" s="16">
        <v>0</v>
      </c>
      <c r="G346" s="6">
        <f t="shared" si="110"/>
        <v>5.54</v>
      </c>
      <c r="H346" s="6">
        <f t="shared" si="111"/>
        <v>6.04</v>
      </c>
      <c r="I346" s="6">
        <f t="shared" si="112"/>
        <v>10.16</v>
      </c>
      <c r="J346" s="6">
        <f t="shared" si="113"/>
        <v>0</v>
      </c>
      <c r="K346" s="6">
        <f t="shared" si="109"/>
        <v>21.740000000000002</v>
      </c>
      <c r="L346" s="9">
        <f t="shared" si="114"/>
        <v>0.86206896551724133</v>
      </c>
      <c r="M346" s="9">
        <f t="shared" si="115"/>
        <v>0.84482758620689657</v>
      </c>
      <c r="N346" s="9">
        <f t="shared" si="116"/>
        <v>0.91379310344827591</v>
      </c>
      <c r="O346" s="9">
        <f t="shared" si="117"/>
        <v>0.7931034482758621</v>
      </c>
      <c r="P346" s="17"/>
    </row>
    <row r="347" spans="1:16" x14ac:dyDescent="0.25">
      <c r="A347" t="s">
        <v>104</v>
      </c>
      <c r="B347">
        <v>2023</v>
      </c>
      <c r="C347" s="8">
        <f>'1_Du_lieu'!F397</f>
        <v>11.8</v>
      </c>
      <c r="D347" s="8">
        <f>'1_Du_lieu'!G397</f>
        <v>11</v>
      </c>
      <c r="E347" s="8">
        <f>'1_Du_lieu'!H397</f>
        <v>17</v>
      </c>
      <c r="F347" s="16">
        <v>0</v>
      </c>
      <c r="G347" s="6">
        <f t="shared" si="110"/>
        <v>2.3600000000000003</v>
      </c>
      <c r="H347" s="6">
        <f t="shared" si="111"/>
        <v>4.4000000000000004</v>
      </c>
      <c r="I347" s="6">
        <f t="shared" si="112"/>
        <v>6.8000000000000007</v>
      </c>
      <c r="J347" s="6">
        <f t="shared" si="113"/>
        <v>0</v>
      </c>
      <c r="K347" s="6">
        <f t="shared" si="109"/>
        <v>13.560000000000002</v>
      </c>
      <c r="L347" s="9">
        <f t="shared" si="114"/>
        <v>0.37931034482758619</v>
      </c>
      <c r="M347" s="9">
        <f t="shared" si="115"/>
        <v>0.15517241379310345</v>
      </c>
      <c r="N347" s="9">
        <f t="shared" si="116"/>
        <v>0.33620689655172414</v>
      </c>
      <c r="O347" s="9">
        <f t="shared" si="117"/>
        <v>0.43103448275862066</v>
      </c>
      <c r="P347" s="17"/>
    </row>
    <row r="348" spans="1:16" x14ac:dyDescent="0.25">
      <c r="A348" t="s">
        <v>107</v>
      </c>
      <c r="B348">
        <v>2023</v>
      </c>
      <c r="C348" s="8">
        <f>'1_Du_lieu'!F399</f>
        <v>28.2</v>
      </c>
      <c r="D348" s="8">
        <f>'1_Du_lieu'!G399</f>
        <v>12.3</v>
      </c>
      <c r="E348" s="8">
        <f>'1_Du_lieu'!H399</f>
        <v>18</v>
      </c>
      <c r="F348" s="16">
        <v>0</v>
      </c>
      <c r="G348" s="6">
        <f t="shared" si="110"/>
        <v>5.6400000000000006</v>
      </c>
      <c r="H348" s="6">
        <f t="shared" si="111"/>
        <v>4.9200000000000008</v>
      </c>
      <c r="I348" s="6">
        <f t="shared" si="112"/>
        <v>7.2</v>
      </c>
      <c r="J348" s="6">
        <f t="shared" si="113"/>
        <v>0</v>
      </c>
      <c r="K348" s="6">
        <f t="shared" si="109"/>
        <v>17.760000000000002</v>
      </c>
      <c r="L348" s="9">
        <f t="shared" si="114"/>
        <v>0.60344827586206895</v>
      </c>
      <c r="M348" s="9">
        <f t="shared" si="115"/>
        <v>0.86206896551724133</v>
      </c>
      <c r="N348" s="9">
        <f t="shared" si="116"/>
        <v>0.61206896551724133</v>
      </c>
      <c r="O348" s="9">
        <f t="shared" si="117"/>
        <v>0.51724137931034486</v>
      </c>
      <c r="P348" s="17"/>
    </row>
    <row r="349" spans="1:16" x14ac:dyDescent="0.25">
      <c r="A349" t="s">
        <v>108</v>
      </c>
      <c r="B349">
        <v>2023</v>
      </c>
      <c r="C349" s="8">
        <f>'1_Du_lieu'!F400</f>
        <v>97.2</v>
      </c>
      <c r="D349" s="8">
        <f>'1_Du_lieu'!G400</f>
        <v>85.3</v>
      </c>
      <c r="E349" s="8">
        <f>'1_Du_lieu'!H400</f>
        <v>80.400000000000006</v>
      </c>
      <c r="F349" s="16">
        <v>0</v>
      </c>
      <c r="G349" s="6">
        <f t="shared" si="110"/>
        <v>19.440000000000001</v>
      </c>
      <c r="H349" s="6">
        <f t="shared" si="111"/>
        <v>34.119999999999997</v>
      </c>
      <c r="I349" s="6">
        <f t="shared" si="112"/>
        <v>32.160000000000004</v>
      </c>
      <c r="J349" s="6">
        <f t="shared" si="113"/>
        <v>0</v>
      </c>
      <c r="K349" s="6">
        <f t="shared" si="109"/>
        <v>85.72</v>
      </c>
      <c r="L349" s="9">
        <f t="shared" si="114"/>
        <v>0.98275862068965514</v>
      </c>
      <c r="M349" s="9">
        <f t="shared" si="115"/>
        <v>0.98275862068965514</v>
      </c>
      <c r="N349" s="9">
        <f t="shared" si="116"/>
        <v>1</v>
      </c>
      <c r="O349" s="9">
        <f t="shared" si="117"/>
        <v>0.98275862068965514</v>
      </c>
      <c r="P349" s="17"/>
    </row>
    <row r="350" spans="1:16" x14ac:dyDescent="0.25">
      <c r="A350" t="s">
        <v>109</v>
      </c>
      <c r="B350">
        <v>2023</v>
      </c>
      <c r="C350" s="8">
        <f>'1_Du_lieu'!F401</f>
        <v>16.600000000000001</v>
      </c>
      <c r="D350" s="8">
        <f>'1_Du_lieu'!G401</f>
        <v>9.5</v>
      </c>
      <c r="E350" s="8">
        <f>'1_Du_lieu'!H401</f>
        <v>15.3</v>
      </c>
      <c r="F350" s="16">
        <v>0</v>
      </c>
      <c r="G350" s="6">
        <f t="shared" si="110"/>
        <v>3.3200000000000003</v>
      </c>
      <c r="H350" s="6">
        <f t="shared" si="111"/>
        <v>3.8000000000000003</v>
      </c>
      <c r="I350" s="6">
        <f t="shared" si="112"/>
        <v>6.120000000000001</v>
      </c>
      <c r="J350" s="6">
        <f t="shared" si="113"/>
        <v>0</v>
      </c>
      <c r="K350" s="6">
        <f t="shared" si="109"/>
        <v>13.240000000000002</v>
      </c>
      <c r="L350" s="9">
        <f t="shared" si="114"/>
        <v>0.29310344827586204</v>
      </c>
      <c r="M350" s="9">
        <f t="shared" si="115"/>
        <v>0.39655172413793105</v>
      </c>
      <c r="N350" s="9">
        <f t="shared" si="116"/>
        <v>0.15517241379310345</v>
      </c>
      <c r="O350" s="9">
        <f t="shared" si="117"/>
        <v>0.32758620689655171</v>
      </c>
      <c r="P350" s="17"/>
    </row>
    <row r="351" spans="1:16" x14ac:dyDescent="0.25">
      <c r="A351" t="s">
        <v>110</v>
      </c>
      <c r="B351">
        <v>2023</v>
      </c>
      <c r="C351" s="8">
        <f>'1_Du_lieu'!F402</f>
        <v>12.9</v>
      </c>
      <c r="D351" s="8">
        <f>'1_Du_lieu'!G402</f>
        <v>9.6</v>
      </c>
      <c r="E351" s="8">
        <f>'1_Du_lieu'!H402</f>
        <v>14.6</v>
      </c>
      <c r="F351" s="16">
        <v>0</v>
      </c>
      <c r="G351" s="6">
        <f t="shared" si="110"/>
        <v>2.58</v>
      </c>
      <c r="H351" s="6">
        <f t="shared" si="111"/>
        <v>3.84</v>
      </c>
      <c r="I351" s="6">
        <f t="shared" si="112"/>
        <v>5.84</v>
      </c>
      <c r="J351" s="6">
        <f t="shared" si="113"/>
        <v>0</v>
      </c>
      <c r="K351" s="6">
        <f t="shared" si="109"/>
        <v>12.26</v>
      </c>
      <c r="L351" s="9">
        <f t="shared" si="114"/>
        <v>0.13793103448275862</v>
      </c>
      <c r="M351" s="9">
        <f t="shared" si="115"/>
        <v>0.21551724137931033</v>
      </c>
      <c r="N351" s="9">
        <f t="shared" si="116"/>
        <v>0.18103448275862069</v>
      </c>
      <c r="O351" s="9">
        <f t="shared" si="117"/>
        <v>0.2413793103448276</v>
      </c>
      <c r="P351" s="17"/>
    </row>
    <row r="352" spans="1:16" x14ac:dyDescent="0.25">
      <c r="A352" t="s">
        <v>111</v>
      </c>
      <c r="B352">
        <v>2023</v>
      </c>
      <c r="C352" s="8">
        <f>'1_Du_lieu'!F403</f>
        <v>26.9</v>
      </c>
      <c r="D352" s="8">
        <f>'1_Du_lieu'!G403</f>
        <v>12.5</v>
      </c>
      <c r="E352" s="8">
        <f>'1_Du_lieu'!H403</f>
        <v>25.2</v>
      </c>
      <c r="F352" s="16">
        <v>0</v>
      </c>
      <c r="G352" s="6">
        <f t="shared" si="110"/>
        <v>5.38</v>
      </c>
      <c r="H352" s="6">
        <f t="shared" si="111"/>
        <v>5</v>
      </c>
      <c r="I352" s="6">
        <f t="shared" si="112"/>
        <v>10.08</v>
      </c>
      <c r="J352" s="6">
        <f t="shared" si="113"/>
        <v>0</v>
      </c>
      <c r="K352" s="6">
        <f t="shared" si="109"/>
        <v>20.46</v>
      </c>
      <c r="L352" s="9">
        <f t="shared" si="114"/>
        <v>0.81034482758620685</v>
      </c>
      <c r="M352" s="9">
        <f t="shared" si="115"/>
        <v>0.82758620689655171</v>
      </c>
      <c r="N352" s="9">
        <f t="shared" si="116"/>
        <v>0.63793103448275867</v>
      </c>
      <c r="O352" s="9">
        <f t="shared" si="117"/>
        <v>0.77586206896551724</v>
      </c>
      <c r="P352" s="17"/>
    </row>
    <row r="353" spans="1:16" x14ac:dyDescent="0.25">
      <c r="A353" t="s">
        <v>112</v>
      </c>
      <c r="B353">
        <v>2023</v>
      </c>
      <c r="C353" s="8">
        <f>'1_Du_lieu'!F404</f>
        <v>22.7</v>
      </c>
      <c r="D353" s="8">
        <f>'1_Du_lieu'!G404</f>
        <v>12.1</v>
      </c>
      <c r="E353" s="8">
        <f>'1_Du_lieu'!H404</f>
        <v>23.3</v>
      </c>
      <c r="F353" s="16">
        <v>0</v>
      </c>
      <c r="G353" s="6">
        <f t="shared" si="110"/>
        <v>4.54</v>
      </c>
      <c r="H353" s="6">
        <f t="shared" si="111"/>
        <v>4.84</v>
      </c>
      <c r="I353" s="6">
        <f t="shared" si="112"/>
        <v>9.32</v>
      </c>
      <c r="J353" s="6">
        <f t="shared" si="113"/>
        <v>0</v>
      </c>
      <c r="K353" s="6">
        <f t="shared" si="109"/>
        <v>18.7</v>
      </c>
      <c r="L353" s="9">
        <f t="shared" si="114"/>
        <v>0.68965517241379315</v>
      </c>
      <c r="M353" s="9">
        <f t="shared" si="115"/>
        <v>0.65517241379310343</v>
      </c>
      <c r="N353" s="9">
        <f t="shared" si="116"/>
        <v>0.57758620689655171</v>
      </c>
      <c r="O353" s="9">
        <f t="shared" si="117"/>
        <v>0.68965517241379315</v>
      </c>
      <c r="P353" s="17"/>
    </row>
    <row r="354" spans="1:16" x14ac:dyDescent="0.25">
      <c r="A354" t="s">
        <v>113</v>
      </c>
      <c r="B354">
        <v>2023</v>
      </c>
      <c r="C354" s="8">
        <f>'1_Du_lieu'!F405</f>
        <v>36.799999999999997</v>
      </c>
      <c r="D354" s="8">
        <f>'1_Du_lieu'!G405</f>
        <v>15.9</v>
      </c>
      <c r="E354" s="8">
        <f>'1_Du_lieu'!H405</f>
        <v>37.299999999999997</v>
      </c>
      <c r="F354" s="16">
        <v>0</v>
      </c>
      <c r="G354" s="6">
        <f t="shared" si="110"/>
        <v>7.3599999999999994</v>
      </c>
      <c r="H354" s="6">
        <f t="shared" si="111"/>
        <v>6.36</v>
      </c>
      <c r="I354" s="6">
        <f t="shared" si="112"/>
        <v>14.92</v>
      </c>
      <c r="J354" s="6">
        <f t="shared" si="113"/>
        <v>0</v>
      </c>
      <c r="K354" s="6">
        <f t="shared" si="109"/>
        <v>28.64</v>
      </c>
      <c r="L354" s="9">
        <f t="shared" si="114"/>
        <v>0.93103448275862066</v>
      </c>
      <c r="M354" s="9">
        <f t="shared" si="115"/>
        <v>0.93103448275862066</v>
      </c>
      <c r="N354" s="9">
        <f t="shared" si="116"/>
        <v>0.94827586206896552</v>
      </c>
      <c r="O354" s="9">
        <f t="shared" si="117"/>
        <v>0.93103448275862066</v>
      </c>
      <c r="P354" s="17"/>
    </row>
    <row r="355" spans="1:16" x14ac:dyDescent="0.25">
      <c r="A355" t="s">
        <v>114</v>
      </c>
      <c r="B355">
        <v>2023</v>
      </c>
      <c r="C355" s="8">
        <f>'1_Du_lieu'!F406</f>
        <v>12.3</v>
      </c>
      <c r="D355" s="8">
        <f>'1_Du_lieu'!G406</f>
        <v>12.3</v>
      </c>
      <c r="E355" s="8">
        <f>'1_Du_lieu'!H406</f>
        <v>11</v>
      </c>
      <c r="F355" s="16">
        <v>0</v>
      </c>
      <c r="G355" s="6">
        <f t="shared" si="110"/>
        <v>2.4600000000000004</v>
      </c>
      <c r="H355" s="6">
        <f t="shared" si="111"/>
        <v>4.9200000000000008</v>
      </c>
      <c r="I355" s="6">
        <f t="shared" si="112"/>
        <v>4.4000000000000004</v>
      </c>
      <c r="J355" s="6">
        <f t="shared" si="113"/>
        <v>0</v>
      </c>
      <c r="K355" s="6">
        <f t="shared" si="109"/>
        <v>11.780000000000001</v>
      </c>
      <c r="L355" s="9">
        <f t="shared" si="114"/>
        <v>0.10344827586206896</v>
      </c>
      <c r="M355" s="9">
        <f t="shared" si="115"/>
        <v>0.18103448275862069</v>
      </c>
      <c r="N355" s="9">
        <f t="shared" si="116"/>
        <v>0.61206896551724133</v>
      </c>
      <c r="O355" s="9">
        <f t="shared" si="117"/>
        <v>3.4482758620689655E-2</v>
      </c>
      <c r="P355" s="17"/>
    </row>
    <row r="356" spans="1:16" x14ac:dyDescent="0.25">
      <c r="A356" t="s">
        <v>115</v>
      </c>
      <c r="B356">
        <v>2023</v>
      </c>
      <c r="C356" s="8">
        <f>'1_Du_lieu'!F407</f>
        <v>31.7</v>
      </c>
      <c r="D356" s="8">
        <f>'1_Du_lieu'!G407</f>
        <v>11.4</v>
      </c>
      <c r="E356" s="8">
        <f>'1_Du_lieu'!H407</f>
        <v>31</v>
      </c>
      <c r="F356" s="16">
        <v>0</v>
      </c>
      <c r="G356" s="6">
        <f t="shared" si="110"/>
        <v>6.34</v>
      </c>
      <c r="H356" s="6">
        <f t="shared" si="111"/>
        <v>4.5600000000000005</v>
      </c>
      <c r="I356" s="6">
        <f t="shared" si="112"/>
        <v>12.4</v>
      </c>
      <c r="J356" s="6">
        <f t="shared" si="113"/>
        <v>0</v>
      </c>
      <c r="K356" s="6">
        <f t="shared" si="109"/>
        <v>23.3</v>
      </c>
      <c r="L356" s="9">
        <f t="shared" si="114"/>
        <v>0.87931034482758619</v>
      </c>
      <c r="M356" s="9">
        <f t="shared" si="115"/>
        <v>0.89655172413793105</v>
      </c>
      <c r="N356" s="9">
        <f t="shared" si="116"/>
        <v>0.40517241379310343</v>
      </c>
      <c r="O356" s="9">
        <f t="shared" si="117"/>
        <v>0.89655172413793105</v>
      </c>
      <c r="P356" s="17"/>
    </row>
    <row r="357" spans="1:16" x14ac:dyDescent="0.25">
      <c r="A357" t="s">
        <v>116</v>
      </c>
      <c r="B357">
        <v>2023</v>
      </c>
      <c r="C357" s="8">
        <f>'1_Du_lieu'!F408</f>
        <v>13.8</v>
      </c>
      <c r="D357" s="8">
        <f>'1_Du_lieu'!G408</f>
        <v>14</v>
      </c>
      <c r="E357" s="8">
        <f>'1_Du_lieu'!H408</f>
        <v>12.1</v>
      </c>
      <c r="F357" s="16">
        <v>0</v>
      </c>
      <c r="G357" s="6">
        <f t="shared" si="110"/>
        <v>2.7600000000000002</v>
      </c>
      <c r="H357" s="6">
        <f t="shared" si="111"/>
        <v>5.6000000000000005</v>
      </c>
      <c r="I357" s="6">
        <f t="shared" si="112"/>
        <v>4.84</v>
      </c>
      <c r="J357" s="6">
        <f t="shared" si="113"/>
        <v>0</v>
      </c>
      <c r="K357" s="6">
        <f t="shared" si="109"/>
        <v>13.200000000000001</v>
      </c>
      <c r="L357" s="9">
        <f t="shared" si="114"/>
        <v>0.27586206896551724</v>
      </c>
      <c r="M357" s="9">
        <f t="shared" si="115"/>
        <v>0.29310344827586204</v>
      </c>
      <c r="N357" s="9">
        <f t="shared" si="116"/>
        <v>0.83620689655172409</v>
      </c>
      <c r="O357" s="9">
        <f t="shared" si="117"/>
        <v>0.10344827586206896</v>
      </c>
      <c r="P357" s="17"/>
    </row>
    <row r="358" spans="1:16" x14ac:dyDescent="0.25">
      <c r="A358" t="s">
        <v>117</v>
      </c>
      <c r="B358">
        <v>2023</v>
      </c>
      <c r="C358" s="8">
        <f>'1_Du_lieu'!F409</f>
        <v>11.2</v>
      </c>
      <c r="D358" s="8">
        <f>'1_Du_lieu'!G409</f>
        <v>7.5</v>
      </c>
      <c r="E358" s="8">
        <f>'1_Du_lieu'!H409</f>
        <v>11.3</v>
      </c>
      <c r="F358" s="16">
        <v>0</v>
      </c>
      <c r="G358" s="6">
        <f t="shared" si="110"/>
        <v>2.2399999999999998</v>
      </c>
      <c r="H358" s="6">
        <f t="shared" si="111"/>
        <v>3</v>
      </c>
      <c r="I358" s="6">
        <f t="shared" si="112"/>
        <v>4.5200000000000005</v>
      </c>
      <c r="J358" s="6">
        <f t="shared" si="113"/>
        <v>0</v>
      </c>
      <c r="K358" s="6">
        <f t="shared" si="109"/>
        <v>9.7600000000000016</v>
      </c>
      <c r="L358" s="9">
        <f t="shared" si="114"/>
        <v>1.7241379310344827E-2</v>
      </c>
      <c r="M358" s="9">
        <f t="shared" si="115"/>
        <v>6.8965517241379309E-2</v>
      </c>
      <c r="N358" s="9">
        <f t="shared" si="116"/>
        <v>1.7241379310344827E-2</v>
      </c>
      <c r="O358" s="9">
        <f t="shared" si="117"/>
        <v>5.1724137931034482E-2</v>
      </c>
      <c r="P358" s="17"/>
    </row>
    <row r="359" spans="1:16" x14ac:dyDescent="0.25">
      <c r="A359" t="s">
        <v>119</v>
      </c>
      <c r="B359">
        <v>2023</v>
      </c>
      <c r="C359" s="8">
        <f>'1_Du_lieu'!F411</f>
        <v>23.9</v>
      </c>
      <c r="D359" s="8">
        <f>'1_Du_lieu'!G411</f>
        <v>11</v>
      </c>
      <c r="E359" s="8">
        <f>'1_Du_lieu'!H411</f>
        <v>21.1</v>
      </c>
      <c r="F359" s="16">
        <v>0</v>
      </c>
      <c r="G359" s="6">
        <f t="shared" si="110"/>
        <v>4.78</v>
      </c>
      <c r="H359" s="6">
        <f t="shared" si="111"/>
        <v>4.4000000000000004</v>
      </c>
      <c r="I359" s="6">
        <f t="shared" si="112"/>
        <v>8.4400000000000013</v>
      </c>
      <c r="J359" s="6">
        <f t="shared" si="113"/>
        <v>0</v>
      </c>
      <c r="K359" s="6">
        <f t="shared" si="109"/>
        <v>17.62</v>
      </c>
      <c r="L359" s="9">
        <f t="shared" si="114"/>
        <v>0.58620689655172409</v>
      </c>
      <c r="M359" s="9">
        <f t="shared" si="115"/>
        <v>0.72413793103448276</v>
      </c>
      <c r="N359" s="9">
        <f t="shared" si="116"/>
        <v>0.33620689655172414</v>
      </c>
      <c r="O359" s="9">
        <f t="shared" si="117"/>
        <v>0.65517241379310343</v>
      </c>
      <c r="P359" s="17"/>
    </row>
    <row r="360" spans="1:16" x14ac:dyDescent="0.25">
      <c r="A360" t="s">
        <v>120</v>
      </c>
      <c r="B360">
        <v>2023</v>
      </c>
      <c r="C360" s="8">
        <f>'1_Du_lieu'!F412</f>
        <v>22.1</v>
      </c>
      <c r="D360" s="8">
        <f>'1_Du_lieu'!G412</f>
        <v>13.9</v>
      </c>
      <c r="E360" s="8">
        <f>'1_Du_lieu'!H412</f>
        <v>20</v>
      </c>
      <c r="F360" s="16">
        <v>0</v>
      </c>
      <c r="G360" s="6">
        <f t="shared" si="110"/>
        <v>4.4200000000000008</v>
      </c>
      <c r="H360" s="6">
        <f t="shared" si="111"/>
        <v>5.5600000000000005</v>
      </c>
      <c r="I360" s="6">
        <f t="shared" si="112"/>
        <v>8</v>
      </c>
      <c r="J360" s="6">
        <f t="shared" si="113"/>
        <v>0</v>
      </c>
      <c r="K360" s="6">
        <f t="shared" si="109"/>
        <v>17.98</v>
      </c>
      <c r="L360" s="9">
        <f t="shared" si="114"/>
        <v>0.65517241379310343</v>
      </c>
      <c r="M360" s="9">
        <f t="shared" si="115"/>
        <v>0.63793103448275867</v>
      </c>
      <c r="N360" s="9">
        <f t="shared" si="116"/>
        <v>0.7931034482758621</v>
      </c>
      <c r="O360" s="9">
        <f t="shared" si="117"/>
        <v>0.60344827586206895</v>
      </c>
      <c r="P360" s="17"/>
    </row>
    <row r="361" spans="1:16" x14ac:dyDescent="0.25">
      <c r="A361" t="s">
        <v>121</v>
      </c>
      <c r="B361">
        <v>2023</v>
      </c>
      <c r="C361" s="8">
        <f>'1_Du_lieu'!F413</f>
        <v>25.4</v>
      </c>
      <c r="D361" s="8">
        <f>'1_Du_lieu'!G413</f>
        <v>10.3</v>
      </c>
      <c r="E361" s="8">
        <f>'1_Du_lieu'!H413</f>
        <v>26.6</v>
      </c>
      <c r="F361" s="16">
        <v>0</v>
      </c>
      <c r="G361" s="6">
        <f t="shared" si="110"/>
        <v>5.08</v>
      </c>
      <c r="H361" s="6">
        <f t="shared" si="111"/>
        <v>4.12</v>
      </c>
      <c r="I361" s="6">
        <f t="shared" si="112"/>
        <v>10.64</v>
      </c>
      <c r="J361" s="6">
        <f t="shared" si="113"/>
        <v>0</v>
      </c>
      <c r="K361" s="6">
        <f t="shared" si="109"/>
        <v>19.84</v>
      </c>
      <c r="L361" s="9">
        <f t="shared" si="114"/>
        <v>0.7931034482758621</v>
      </c>
      <c r="M361" s="9">
        <f t="shared" si="115"/>
        <v>0.75862068965517238</v>
      </c>
      <c r="N361" s="9">
        <f t="shared" si="116"/>
        <v>0.25</v>
      </c>
      <c r="O361" s="9">
        <f t="shared" si="117"/>
        <v>0.81034482758620685</v>
      </c>
      <c r="P361" s="17"/>
    </row>
    <row r="362" spans="1:16" x14ac:dyDescent="0.25">
      <c r="A362" t="s">
        <v>122</v>
      </c>
      <c r="B362">
        <v>2023</v>
      </c>
      <c r="C362" s="8">
        <f>'1_Du_lieu'!F414</f>
        <v>11.5</v>
      </c>
      <c r="D362" s="8">
        <f>'1_Du_lieu'!G414</f>
        <v>9.1</v>
      </c>
      <c r="E362" s="8">
        <f>'1_Du_lieu'!H414</f>
        <v>14.9</v>
      </c>
      <c r="F362" s="16">
        <v>0</v>
      </c>
      <c r="G362" s="6">
        <f t="shared" si="110"/>
        <v>2.3000000000000003</v>
      </c>
      <c r="H362" s="6">
        <f t="shared" si="111"/>
        <v>3.64</v>
      </c>
      <c r="I362" s="6">
        <f t="shared" si="112"/>
        <v>5.9600000000000009</v>
      </c>
      <c r="J362" s="6">
        <f t="shared" si="113"/>
        <v>0</v>
      </c>
      <c r="K362" s="6">
        <f t="shared" si="109"/>
        <v>11.900000000000002</v>
      </c>
      <c r="L362" s="9">
        <f t="shared" si="114"/>
        <v>0.1206896551724138</v>
      </c>
      <c r="M362" s="9">
        <f t="shared" si="115"/>
        <v>0.10344827586206896</v>
      </c>
      <c r="N362" s="9">
        <f t="shared" si="116"/>
        <v>8.6206896551724144E-2</v>
      </c>
      <c r="O362" s="9">
        <f t="shared" si="117"/>
        <v>0.29310344827586204</v>
      </c>
      <c r="P362" s="17"/>
    </row>
    <row r="363" spans="1:16" x14ac:dyDescent="0.25">
      <c r="A363" t="s">
        <v>123</v>
      </c>
      <c r="B363">
        <v>2023</v>
      </c>
      <c r="C363" s="8">
        <f>'1_Du_lieu'!F415</f>
        <v>26.3</v>
      </c>
      <c r="D363" s="8">
        <f>'1_Du_lieu'!G415</f>
        <v>15.7</v>
      </c>
      <c r="E363" s="8">
        <f>'1_Du_lieu'!H415</f>
        <v>19.100000000000001</v>
      </c>
      <c r="F363" s="16">
        <v>0</v>
      </c>
      <c r="G363" s="6">
        <f t="shared" si="110"/>
        <v>5.2600000000000007</v>
      </c>
      <c r="H363" s="6">
        <f t="shared" si="111"/>
        <v>6.28</v>
      </c>
      <c r="I363" s="6">
        <f t="shared" si="112"/>
        <v>7.6400000000000006</v>
      </c>
      <c r="J363" s="6">
        <f t="shared" si="113"/>
        <v>0</v>
      </c>
      <c r="K363" s="6">
        <f t="shared" si="109"/>
        <v>19.18</v>
      </c>
      <c r="L363" s="9">
        <f t="shared" si="114"/>
        <v>0.74137931034482762</v>
      </c>
      <c r="M363" s="9">
        <f t="shared" si="115"/>
        <v>0.7931034482758621</v>
      </c>
      <c r="N363" s="9">
        <f t="shared" si="116"/>
        <v>0.93103448275862066</v>
      </c>
      <c r="O363" s="9">
        <f t="shared" si="117"/>
        <v>0.58620689655172409</v>
      </c>
      <c r="P363" s="17"/>
    </row>
    <row r="364" spans="1:16" x14ac:dyDescent="0.25">
      <c r="A364" t="s">
        <v>124</v>
      </c>
      <c r="B364">
        <v>2023</v>
      </c>
      <c r="C364" s="8">
        <f>'1_Du_lieu'!F416</f>
        <v>19.100000000000001</v>
      </c>
      <c r="D364" s="8">
        <f>'1_Du_lieu'!G416</f>
        <v>11.3</v>
      </c>
      <c r="E364" s="8">
        <f>'1_Du_lieu'!H416</f>
        <v>28.3</v>
      </c>
      <c r="F364" s="16">
        <v>0</v>
      </c>
      <c r="G364" s="6">
        <f t="shared" si="110"/>
        <v>3.8200000000000003</v>
      </c>
      <c r="H364" s="6">
        <f t="shared" si="111"/>
        <v>4.5200000000000005</v>
      </c>
      <c r="I364" s="6">
        <f t="shared" si="112"/>
        <v>11.32</v>
      </c>
      <c r="J364" s="6">
        <f t="shared" si="113"/>
        <v>0</v>
      </c>
      <c r="K364" s="6">
        <f t="shared" si="109"/>
        <v>19.66</v>
      </c>
      <c r="L364" s="9">
        <f t="shared" si="114"/>
        <v>0.77586206896551724</v>
      </c>
      <c r="M364" s="9">
        <f t="shared" si="115"/>
        <v>0.51724137931034486</v>
      </c>
      <c r="N364" s="9">
        <f t="shared" si="116"/>
        <v>0.37068965517241381</v>
      </c>
      <c r="O364" s="9">
        <f t="shared" si="117"/>
        <v>0.87931034482758619</v>
      </c>
      <c r="P364" s="17"/>
    </row>
    <row r="365" spans="1:16" x14ac:dyDescent="0.25">
      <c r="A365" t="s">
        <v>125</v>
      </c>
      <c r="B365">
        <v>2023</v>
      </c>
      <c r="C365" s="8">
        <f>'1_Du_lieu'!F417</f>
        <v>21.2</v>
      </c>
      <c r="D365" s="8">
        <f>'1_Du_lieu'!G417</f>
        <v>11.9</v>
      </c>
      <c r="E365" s="8">
        <f>'1_Du_lieu'!H417</f>
        <v>22.4</v>
      </c>
      <c r="F365" s="16">
        <v>0</v>
      </c>
      <c r="G365" s="6">
        <f t="shared" si="110"/>
        <v>4.24</v>
      </c>
      <c r="H365" s="6">
        <f t="shared" si="111"/>
        <v>4.7600000000000007</v>
      </c>
      <c r="I365" s="6">
        <f t="shared" si="112"/>
        <v>8.9599999999999991</v>
      </c>
      <c r="J365" s="6">
        <f t="shared" si="113"/>
        <v>0</v>
      </c>
      <c r="K365" s="6">
        <f t="shared" si="109"/>
        <v>17.96</v>
      </c>
      <c r="L365" s="9">
        <f t="shared" si="114"/>
        <v>0.63793103448275867</v>
      </c>
      <c r="M365" s="9">
        <f t="shared" si="115"/>
        <v>0.62068965517241381</v>
      </c>
      <c r="N365" s="9">
        <f t="shared" si="116"/>
        <v>0.51724137931034486</v>
      </c>
      <c r="O365" s="9">
        <f t="shared" si="117"/>
        <v>0.67241379310344829</v>
      </c>
      <c r="P365" s="17"/>
    </row>
    <row r="366" spans="1:16" x14ac:dyDescent="0.25">
      <c r="A366" t="s">
        <v>126</v>
      </c>
      <c r="B366">
        <v>2023</v>
      </c>
      <c r="C366" s="8">
        <f>'1_Du_lieu'!F418</f>
        <v>18.7</v>
      </c>
      <c r="D366" s="8">
        <f>'1_Du_lieu'!G418</f>
        <v>9</v>
      </c>
      <c r="E366" s="8">
        <f>'1_Du_lieu'!H418</f>
        <v>15.9</v>
      </c>
      <c r="F366" s="16">
        <v>0</v>
      </c>
      <c r="G366" s="6">
        <f t="shared" ref="G366:G391" si="118">C366*$AC$10</f>
        <v>3.74</v>
      </c>
      <c r="H366" s="6">
        <f t="shared" ref="H366:H391" si="119">D366*$AD$10</f>
        <v>3.6</v>
      </c>
      <c r="I366" s="6">
        <f t="shared" ref="I366:I391" si="120">E366*$AE$10</f>
        <v>6.36</v>
      </c>
      <c r="J366" s="6">
        <f t="shared" ref="J366:J391" si="121">F366*$AF$10</f>
        <v>0</v>
      </c>
      <c r="K366" s="6">
        <f t="shared" si="109"/>
        <v>13.7</v>
      </c>
      <c r="L366" s="9">
        <f t="shared" ref="L366:L397" si="122">_xlfn.RANK.AVG(K366,$K$334:$K$391,1)/58</f>
        <v>0.39655172413793105</v>
      </c>
      <c r="M366" s="9">
        <f t="shared" ref="M366:M391" si="123">_xlfn.RANK.AVG(G366,$G$334:$G$391,1)/58</f>
        <v>0.47413793103448276</v>
      </c>
      <c r="N366" s="9">
        <f t="shared" ref="N366:N391" si="124">_xlfn.RANK.AVG(H366,$H$334:$H$391,1)/58</f>
        <v>6.8965517241379309E-2</v>
      </c>
      <c r="O366" s="9">
        <f t="shared" ref="O366:O391" si="125">_xlfn.RANK.AVG(I366,$I$334:$I$391,1)/58</f>
        <v>0.39655172413793105</v>
      </c>
      <c r="P366" s="17"/>
    </row>
    <row r="367" spans="1:16" x14ac:dyDescent="0.25">
      <c r="A367" t="s">
        <v>127</v>
      </c>
      <c r="B367">
        <v>2023</v>
      </c>
      <c r="C367" s="8">
        <f>'1_Du_lieu'!F419</f>
        <v>19.2</v>
      </c>
      <c r="D367" s="8">
        <f>'1_Du_lieu'!G419</f>
        <v>14.1</v>
      </c>
      <c r="E367" s="8">
        <f>'1_Du_lieu'!H419</f>
        <v>20.8</v>
      </c>
      <c r="F367" s="16">
        <v>0</v>
      </c>
      <c r="G367" s="6">
        <f t="shared" si="118"/>
        <v>3.84</v>
      </c>
      <c r="H367" s="6">
        <f t="shared" si="119"/>
        <v>5.6400000000000006</v>
      </c>
      <c r="I367" s="6">
        <f t="shared" si="120"/>
        <v>8.32</v>
      </c>
      <c r="J367" s="6">
        <f t="shared" si="121"/>
        <v>0</v>
      </c>
      <c r="K367" s="6">
        <f t="shared" si="109"/>
        <v>17.8</v>
      </c>
      <c r="L367" s="9">
        <f t="shared" si="122"/>
        <v>0.62068965517241381</v>
      </c>
      <c r="M367" s="9">
        <f t="shared" si="123"/>
        <v>0.53448275862068961</v>
      </c>
      <c r="N367" s="9">
        <f t="shared" si="124"/>
        <v>0.87931034482758619</v>
      </c>
      <c r="O367" s="9">
        <f t="shared" si="125"/>
        <v>0.63793103448275867</v>
      </c>
      <c r="P367" s="17"/>
    </row>
    <row r="368" spans="1:16" x14ac:dyDescent="0.25">
      <c r="A368" t="s">
        <v>128</v>
      </c>
      <c r="B368">
        <v>2023</v>
      </c>
      <c r="C368" s="8">
        <f>'1_Du_lieu'!F420</f>
        <v>16</v>
      </c>
      <c r="D368" s="8">
        <f>'1_Du_lieu'!G420</f>
        <v>9.8000000000000007</v>
      </c>
      <c r="E368" s="8">
        <f>'1_Du_lieu'!H420</f>
        <v>14</v>
      </c>
      <c r="F368" s="16">
        <v>0</v>
      </c>
      <c r="G368" s="6">
        <f t="shared" si="118"/>
        <v>3.2</v>
      </c>
      <c r="H368" s="6">
        <f t="shared" si="119"/>
        <v>3.9200000000000004</v>
      </c>
      <c r="I368" s="6">
        <f t="shared" si="120"/>
        <v>5.6000000000000005</v>
      </c>
      <c r="J368" s="6">
        <f t="shared" si="121"/>
        <v>0</v>
      </c>
      <c r="K368" s="6">
        <f t="shared" si="109"/>
        <v>12.720000000000002</v>
      </c>
      <c r="L368" s="9">
        <f t="shared" si="122"/>
        <v>0.18965517241379309</v>
      </c>
      <c r="M368" s="9">
        <f t="shared" si="123"/>
        <v>0.34482758620689657</v>
      </c>
      <c r="N368" s="9">
        <f t="shared" si="124"/>
        <v>0.20689655172413793</v>
      </c>
      <c r="O368" s="9">
        <f t="shared" si="125"/>
        <v>0.19827586206896552</v>
      </c>
      <c r="P368" s="17"/>
    </row>
    <row r="369" spans="1:16" x14ac:dyDescent="0.25">
      <c r="A369" t="s">
        <v>129</v>
      </c>
      <c r="B369">
        <v>2023</v>
      </c>
      <c r="C369" s="8">
        <f>'1_Du_lieu'!F421</f>
        <v>16.2</v>
      </c>
      <c r="D369" s="8">
        <f>'1_Du_lieu'!G421</f>
        <v>9.3000000000000007</v>
      </c>
      <c r="E369" s="8">
        <f>'1_Du_lieu'!H421</f>
        <v>14.6</v>
      </c>
      <c r="F369" s="16">
        <v>0</v>
      </c>
      <c r="G369" s="6">
        <f t="shared" si="118"/>
        <v>3.24</v>
      </c>
      <c r="H369" s="6">
        <f t="shared" si="119"/>
        <v>3.7200000000000006</v>
      </c>
      <c r="I369" s="6">
        <f t="shared" si="120"/>
        <v>5.84</v>
      </c>
      <c r="J369" s="6">
        <f t="shared" si="121"/>
        <v>0</v>
      </c>
      <c r="K369" s="6">
        <f t="shared" si="109"/>
        <v>12.8</v>
      </c>
      <c r="L369" s="9">
        <f t="shared" si="122"/>
        <v>0.22413793103448276</v>
      </c>
      <c r="M369" s="9">
        <f t="shared" si="123"/>
        <v>0.37068965517241381</v>
      </c>
      <c r="N369" s="9">
        <f t="shared" si="124"/>
        <v>0.11206896551724138</v>
      </c>
      <c r="O369" s="9">
        <f t="shared" si="125"/>
        <v>0.2413793103448276</v>
      </c>
      <c r="P369" s="17"/>
    </row>
    <row r="370" spans="1:16" x14ac:dyDescent="0.25">
      <c r="A370" t="s">
        <v>130</v>
      </c>
      <c r="B370">
        <v>2023</v>
      </c>
      <c r="C370" s="8">
        <f>'1_Du_lieu'!F422</f>
        <v>23.2</v>
      </c>
      <c r="D370" s="8">
        <f>'1_Du_lieu'!G422</f>
        <v>11.4</v>
      </c>
      <c r="E370" s="8">
        <f>'1_Du_lieu'!H422</f>
        <v>18.5</v>
      </c>
      <c r="F370" s="16">
        <v>0</v>
      </c>
      <c r="G370" s="6">
        <f t="shared" si="118"/>
        <v>4.6399999999999997</v>
      </c>
      <c r="H370" s="6">
        <f t="shared" si="119"/>
        <v>4.5600000000000005</v>
      </c>
      <c r="I370" s="6">
        <f t="shared" si="120"/>
        <v>7.4</v>
      </c>
      <c r="J370" s="6">
        <f t="shared" si="121"/>
        <v>0</v>
      </c>
      <c r="K370" s="6">
        <f t="shared" si="109"/>
        <v>16.600000000000001</v>
      </c>
      <c r="L370" s="9">
        <f t="shared" si="122"/>
        <v>0.55172413793103448</v>
      </c>
      <c r="M370" s="9">
        <f t="shared" si="123"/>
        <v>0.67241379310344829</v>
      </c>
      <c r="N370" s="9">
        <f t="shared" si="124"/>
        <v>0.40517241379310343</v>
      </c>
      <c r="O370" s="9">
        <f t="shared" si="125"/>
        <v>0.56034482758620685</v>
      </c>
      <c r="P370" s="17"/>
    </row>
    <row r="371" spans="1:16" x14ac:dyDescent="0.25">
      <c r="A371" t="s">
        <v>131</v>
      </c>
      <c r="B371">
        <v>2023</v>
      </c>
      <c r="C371" s="8">
        <f>'1_Du_lieu'!F423</f>
        <v>18.399999999999999</v>
      </c>
      <c r="D371" s="8">
        <f>'1_Du_lieu'!G423</f>
        <v>9.6</v>
      </c>
      <c r="E371" s="8">
        <f>'1_Du_lieu'!H423</f>
        <v>15</v>
      </c>
      <c r="F371" s="16">
        <v>0</v>
      </c>
      <c r="G371" s="6">
        <f t="shared" si="118"/>
        <v>3.6799999999999997</v>
      </c>
      <c r="H371" s="6">
        <f t="shared" si="119"/>
        <v>3.84</v>
      </c>
      <c r="I371" s="6">
        <f t="shared" si="120"/>
        <v>6</v>
      </c>
      <c r="J371" s="6">
        <f t="shared" si="121"/>
        <v>0</v>
      </c>
      <c r="K371" s="6">
        <f t="shared" si="109"/>
        <v>13.52</v>
      </c>
      <c r="L371" s="9">
        <f t="shared" si="122"/>
        <v>0.34482758620689657</v>
      </c>
      <c r="M371" s="9">
        <f t="shared" si="123"/>
        <v>0.44827586206896552</v>
      </c>
      <c r="N371" s="9">
        <f t="shared" si="124"/>
        <v>0.18103448275862069</v>
      </c>
      <c r="O371" s="9">
        <f t="shared" si="125"/>
        <v>0.31034482758620691</v>
      </c>
      <c r="P371" s="17"/>
    </row>
    <row r="372" spans="1:16" x14ac:dyDescent="0.25">
      <c r="A372" t="s">
        <v>132</v>
      </c>
      <c r="B372">
        <v>2023</v>
      </c>
      <c r="C372" s="8">
        <f>'1_Du_lieu'!F424</f>
        <v>26.8</v>
      </c>
      <c r="D372" s="8">
        <f>'1_Du_lieu'!G424</f>
        <v>13</v>
      </c>
      <c r="E372" s="8">
        <f>'1_Du_lieu'!H424</f>
        <v>25</v>
      </c>
      <c r="F372" s="16">
        <v>0</v>
      </c>
      <c r="G372" s="6">
        <f t="shared" si="118"/>
        <v>5.36</v>
      </c>
      <c r="H372" s="6">
        <f t="shared" si="119"/>
        <v>5.2</v>
      </c>
      <c r="I372" s="6">
        <f t="shared" si="120"/>
        <v>10</v>
      </c>
      <c r="J372" s="6">
        <f t="shared" si="121"/>
        <v>0</v>
      </c>
      <c r="K372" s="6">
        <f t="shared" si="109"/>
        <v>20.560000000000002</v>
      </c>
      <c r="L372" s="9">
        <f t="shared" si="122"/>
        <v>0.82758620689655171</v>
      </c>
      <c r="M372" s="9">
        <f t="shared" si="123"/>
        <v>0.81034482758620685</v>
      </c>
      <c r="N372" s="9">
        <f t="shared" si="124"/>
        <v>0.7068965517241379</v>
      </c>
      <c r="O372" s="9">
        <f t="shared" si="125"/>
        <v>0.75862068965517238</v>
      </c>
      <c r="P372" s="17"/>
    </row>
    <row r="373" spans="1:16" x14ac:dyDescent="0.25">
      <c r="A373" t="s">
        <v>133</v>
      </c>
      <c r="B373">
        <v>2023</v>
      </c>
      <c r="C373" s="8">
        <f>'1_Du_lieu'!F425</f>
        <v>13.6</v>
      </c>
      <c r="D373" s="8">
        <f>'1_Du_lieu'!G425</f>
        <v>9.4</v>
      </c>
      <c r="E373" s="8">
        <f>'1_Du_lieu'!H425</f>
        <v>17.7</v>
      </c>
      <c r="F373" s="16">
        <v>0</v>
      </c>
      <c r="G373" s="6">
        <f t="shared" si="118"/>
        <v>2.72</v>
      </c>
      <c r="H373" s="6">
        <f t="shared" si="119"/>
        <v>3.7600000000000002</v>
      </c>
      <c r="I373" s="6">
        <f t="shared" si="120"/>
        <v>7.08</v>
      </c>
      <c r="J373" s="6">
        <f t="shared" si="121"/>
        <v>0</v>
      </c>
      <c r="K373" s="6">
        <f t="shared" si="109"/>
        <v>13.56</v>
      </c>
      <c r="L373" s="9">
        <f t="shared" si="122"/>
        <v>0.36206896551724138</v>
      </c>
      <c r="M373" s="9">
        <f t="shared" si="123"/>
        <v>0.27586206896551724</v>
      </c>
      <c r="N373" s="9">
        <f t="shared" si="124"/>
        <v>0.13793103448275862</v>
      </c>
      <c r="O373" s="9">
        <f t="shared" si="125"/>
        <v>0.5</v>
      </c>
      <c r="P373" s="17"/>
    </row>
    <row r="374" spans="1:16" x14ac:dyDescent="0.25">
      <c r="A374" t="s">
        <v>134</v>
      </c>
      <c r="B374">
        <v>2023</v>
      </c>
      <c r="C374" s="8">
        <f>'1_Du_lieu'!F426</f>
        <v>11.3</v>
      </c>
      <c r="D374" s="8">
        <f>'1_Du_lieu'!G426</f>
        <v>11.7</v>
      </c>
      <c r="E374" s="8">
        <f>'1_Du_lieu'!H426</f>
        <v>15.6</v>
      </c>
      <c r="F374" s="16">
        <v>0</v>
      </c>
      <c r="G374" s="6">
        <f t="shared" si="118"/>
        <v>2.2600000000000002</v>
      </c>
      <c r="H374" s="6">
        <f t="shared" si="119"/>
        <v>4.68</v>
      </c>
      <c r="I374" s="6">
        <f t="shared" si="120"/>
        <v>6.24</v>
      </c>
      <c r="J374" s="6">
        <f t="shared" si="121"/>
        <v>0</v>
      </c>
      <c r="K374" s="6">
        <f t="shared" si="109"/>
        <v>13.18</v>
      </c>
      <c r="L374" s="9">
        <f t="shared" si="122"/>
        <v>0.25862068965517243</v>
      </c>
      <c r="M374" s="9">
        <f t="shared" si="123"/>
        <v>8.6206896551724144E-2</v>
      </c>
      <c r="N374" s="9">
        <f t="shared" si="124"/>
        <v>0.47413793103448276</v>
      </c>
      <c r="O374" s="9">
        <f t="shared" si="125"/>
        <v>0.35344827586206895</v>
      </c>
      <c r="P374" s="17"/>
    </row>
    <row r="375" spans="1:16" x14ac:dyDescent="0.25">
      <c r="A375" t="s">
        <v>136</v>
      </c>
      <c r="B375">
        <v>2023</v>
      </c>
      <c r="C375" s="8">
        <f>'1_Du_lieu'!F428</f>
        <v>98.5</v>
      </c>
      <c r="D375" s="8">
        <f>'1_Du_lieu'!G428</f>
        <v>80.400000000000006</v>
      </c>
      <c r="E375" s="8">
        <f>'1_Du_lieu'!H428</f>
        <v>93.4</v>
      </c>
      <c r="F375" s="16">
        <v>0</v>
      </c>
      <c r="G375" s="6">
        <f t="shared" si="118"/>
        <v>19.700000000000003</v>
      </c>
      <c r="H375" s="6">
        <f t="shared" si="119"/>
        <v>32.160000000000004</v>
      </c>
      <c r="I375" s="6">
        <f t="shared" si="120"/>
        <v>37.360000000000007</v>
      </c>
      <c r="J375" s="6">
        <f t="shared" si="121"/>
        <v>0</v>
      </c>
      <c r="K375" s="6">
        <f t="shared" si="109"/>
        <v>89.220000000000013</v>
      </c>
      <c r="L375" s="9">
        <f t="shared" si="122"/>
        <v>1</v>
      </c>
      <c r="M375" s="9">
        <f t="shared" si="123"/>
        <v>1</v>
      </c>
      <c r="N375" s="9">
        <f t="shared" si="124"/>
        <v>0.98275862068965514</v>
      </c>
      <c r="O375" s="9">
        <f t="shared" si="125"/>
        <v>1</v>
      </c>
      <c r="P375" s="17"/>
    </row>
    <row r="376" spans="1:16" x14ac:dyDescent="0.25">
      <c r="A376" t="s">
        <v>137</v>
      </c>
      <c r="B376">
        <v>2023</v>
      </c>
      <c r="C376" s="8">
        <f>'1_Du_lieu'!F429</f>
        <v>18.899999999999999</v>
      </c>
      <c r="D376" s="8">
        <f>'1_Du_lieu'!G429</f>
        <v>12.7</v>
      </c>
      <c r="E376" s="8">
        <f>'1_Du_lieu'!H429</f>
        <v>24.2</v>
      </c>
      <c r="F376" s="16">
        <v>0</v>
      </c>
      <c r="G376" s="6">
        <f t="shared" si="118"/>
        <v>3.78</v>
      </c>
      <c r="H376" s="6">
        <f t="shared" si="119"/>
        <v>5.08</v>
      </c>
      <c r="I376" s="6">
        <f t="shared" si="120"/>
        <v>9.68</v>
      </c>
      <c r="J376" s="6">
        <f t="shared" si="121"/>
        <v>0</v>
      </c>
      <c r="K376" s="6">
        <f t="shared" si="109"/>
        <v>18.54</v>
      </c>
      <c r="L376" s="9">
        <f t="shared" si="122"/>
        <v>0.67241379310344829</v>
      </c>
      <c r="M376" s="9">
        <f t="shared" si="123"/>
        <v>0.5</v>
      </c>
      <c r="N376" s="9">
        <f t="shared" si="124"/>
        <v>0.67241379310344829</v>
      </c>
      <c r="O376" s="9">
        <f t="shared" si="125"/>
        <v>0.73275862068965514</v>
      </c>
      <c r="P376" s="17"/>
    </row>
    <row r="377" spans="1:16" x14ac:dyDescent="0.25">
      <c r="A377" t="s">
        <v>138</v>
      </c>
      <c r="B377">
        <v>2023</v>
      </c>
      <c r="C377" s="8">
        <f>'1_Du_lieu'!F430</f>
        <v>18.7</v>
      </c>
      <c r="D377" s="8">
        <f>'1_Du_lieu'!G430</f>
        <v>12.1</v>
      </c>
      <c r="E377" s="8">
        <f>'1_Du_lieu'!H430</f>
        <v>17.2</v>
      </c>
      <c r="F377" s="16">
        <v>0</v>
      </c>
      <c r="G377" s="6">
        <f t="shared" si="118"/>
        <v>3.74</v>
      </c>
      <c r="H377" s="6">
        <f t="shared" si="119"/>
        <v>4.84</v>
      </c>
      <c r="I377" s="6">
        <f t="shared" si="120"/>
        <v>6.88</v>
      </c>
      <c r="J377" s="6">
        <f t="shared" si="121"/>
        <v>0</v>
      </c>
      <c r="K377" s="6">
        <f t="shared" si="109"/>
        <v>15.46</v>
      </c>
      <c r="L377" s="9">
        <f t="shared" si="122"/>
        <v>0.48275862068965519</v>
      </c>
      <c r="M377" s="9">
        <f t="shared" si="123"/>
        <v>0.47413793103448276</v>
      </c>
      <c r="N377" s="9">
        <f t="shared" si="124"/>
        <v>0.57758620689655171</v>
      </c>
      <c r="O377" s="9">
        <f t="shared" si="125"/>
        <v>0.45689655172413796</v>
      </c>
      <c r="P377" s="17"/>
    </row>
    <row r="378" spans="1:16" x14ac:dyDescent="0.25">
      <c r="A378" t="s">
        <v>139</v>
      </c>
      <c r="B378">
        <v>2023</v>
      </c>
      <c r="C378" s="8">
        <f>'1_Du_lieu'!F431</f>
        <v>20.6</v>
      </c>
      <c r="D378" s="8">
        <f>'1_Du_lieu'!G431</f>
        <v>11.8</v>
      </c>
      <c r="E378" s="8">
        <f>'1_Du_lieu'!H431</f>
        <v>20.6</v>
      </c>
      <c r="F378" s="16">
        <v>0</v>
      </c>
      <c r="G378" s="6">
        <f t="shared" si="118"/>
        <v>4.12</v>
      </c>
      <c r="H378" s="6">
        <f t="shared" si="119"/>
        <v>4.7200000000000006</v>
      </c>
      <c r="I378" s="6">
        <f t="shared" si="120"/>
        <v>8.24</v>
      </c>
      <c r="J378" s="6">
        <f t="shared" si="121"/>
        <v>0</v>
      </c>
      <c r="K378" s="6">
        <f t="shared" si="109"/>
        <v>17.079999999999998</v>
      </c>
      <c r="L378" s="9">
        <f t="shared" si="122"/>
        <v>0.56896551724137934</v>
      </c>
      <c r="M378" s="9">
        <f t="shared" si="123"/>
        <v>0.60344827586206895</v>
      </c>
      <c r="N378" s="9">
        <f t="shared" si="124"/>
        <v>0.5</v>
      </c>
      <c r="O378" s="9">
        <f t="shared" si="125"/>
        <v>0.62068965517241381</v>
      </c>
      <c r="P378" s="17"/>
    </row>
    <row r="379" spans="1:16" x14ac:dyDescent="0.25">
      <c r="A379" t="s">
        <v>140</v>
      </c>
      <c r="B379">
        <v>2023</v>
      </c>
      <c r="C379" s="8">
        <f>'1_Du_lieu'!F432</f>
        <v>25.7</v>
      </c>
      <c r="D379" s="8">
        <f>'1_Du_lieu'!G432</f>
        <v>10.6</v>
      </c>
      <c r="E379" s="8">
        <f>'1_Du_lieu'!H432</f>
        <v>16.600000000000001</v>
      </c>
      <c r="F379" s="16">
        <v>0</v>
      </c>
      <c r="G379" s="6">
        <f t="shared" si="118"/>
        <v>5.1400000000000006</v>
      </c>
      <c r="H379" s="6">
        <f t="shared" si="119"/>
        <v>4.24</v>
      </c>
      <c r="I379" s="6">
        <f t="shared" si="120"/>
        <v>6.6400000000000006</v>
      </c>
      <c r="J379" s="6">
        <f t="shared" si="121"/>
        <v>0</v>
      </c>
      <c r="K379" s="6">
        <f t="shared" si="109"/>
        <v>16.020000000000003</v>
      </c>
      <c r="L379" s="9">
        <f t="shared" si="122"/>
        <v>0.51724137931034486</v>
      </c>
      <c r="M379" s="9">
        <f t="shared" si="123"/>
        <v>0.77586206896551724</v>
      </c>
      <c r="N379" s="9">
        <f t="shared" si="124"/>
        <v>0.31034482758620691</v>
      </c>
      <c r="O379" s="9">
        <f t="shared" si="125"/>
        <v>0.41379310344827586</v>
      </c>
      <c r="P379" s="17"/>
    </row>
    <row r="380" spans="1:16" x14ac:dyDescent="0.25">
      <c r="A380" t="s">
        <v>141</v>
      </c>
      <c r="B380">
        <v>2023</v>
      </c>
      <c r="C380" s="8">
        <f>'1_Du_lieu'!F433</f>
        <v>15.4</v>
      </c>
      <c r="D380" s="8">
        <f>'1_Du_lieu'!G433</f>
        <v>11.5</v>
      </c>
      <c r="E380" s="8">
        <f>'1_Du_lieu'!H433</f>
        <v>11.9</v>
      </c>
      <c r="F380" s="16">
        <v>0</v>
      </c>
      <c r="G380" s="6">
        <f t="shared" si="118"/>
        <v>3.08</v>
      </c>
      <c r="H380" s="6">
        <f t="shared" si="119"/>
        <v>4.6000000000000005</v>
      </c>
      <c r="I380" s="6">
        <f t="shared" si="120"/>
        <v>4.7600000000000007</v>
      </c>
      <c r="J380" s="6">
        <f t="shared" si="121"/>
        <v>0</v>
      </c>
      <c r="K380" s="6">
        <f t="shared" si="109"/>
        <v>12.440000000000001</v>
      </c>
      <c r="L380" s="9">
        <f t="shared" si="122"/>
        <v>0.15517241379310345</v>
      </c>
      <c r="M380" s="9">
        <f t="shared" si="123"/>
        <v>0.31034482758620691</v>
      </c>
      <c r="N380" s="9">
        <f t="shared" si="124"/>
        <v>0.43103448275862066</v>
      </c>
      <c r="O380" s="9">
        <f t="shared" si="125"/>
        <v>6.8965517241379309E-2</v>
      </c>
      <c r="P380" s="17"/>
    </row>
    <row r="381" spans="1:16" x14ac:dyDescent="0.25">
      <c r="A381" t="s">
        <v>142</v>
      </c>
      <c r="B381">
        <v>2023</v>
      </c>
      <c r="C381" s="8">
        <f>'1_Du_lieu'!F434</f>
        <v>9.4</v>
      </c>
      <c r="D381" s="8">
        <f>'1_Du_lieu'!G434</f>
        <v>9.3000000000000007</v>
      </c>
      <c r="E381" s="8">
        <f>'1_Du_lieu'!H434</f>
        <v>13.9</v>
      </c>
      <c r="F381" s="16">
        <v>0</v>
      </c>
      <c r="G381" s="6">
        <f t="shared" si="118"/>
        <v>1.8800000000000001</v>
      </c>
      <c r="H381" s="6">
        <f t="shared" si="119"/>
        <v>3.7200000000000006</v>
      </c>
      <c r="I381" s="6">
        <f t="shared" si="120"/>
        <v>5.5600000000000005</v>
      </c>
      <c r="J381" s="6">
        <f t="shared" si="121"/>
        <v>0</v>
      </c>
      <c r="K381" s="6">
        <f t="shared" si="109"/>
        <v>11.16</v>
      </c>
      <c r="L381" s="9">
        <f t="shared" si="122"/>
        <v>6.8965517241379309E-2</v>
      </c>
      <c r="M381" s="9">
        <f t="shared" si="123"/>
        <v>1.7241379310344827E-2</v>
      </c>
      <c r="N381" s="9">
        <f t="shared" si="124"/>
        <v>0.11206896551724138</v>
      </c>
      <c r="O381" s="9">
        <f t="shared" si="125"/>
        <v>0.16379310344827586</v>
      </c>
      <c r="P381" s="17"/>
    </row>
    <row r="382" spans="1:16" x14ac:dyDescent="0.25">
      <c r="A382" t="s">
        <v>143</v>
      </c>
      <c r="B382">
        <v>2023</v>
      </c>
      <c r="C382" s="8">
        <f>'1_Du_lieu'!F435</f>
        <v>13.1</v>
      </c>
      <c r="D382" s="8">
        <f>'1_Du_lieu'!G435</f>
        <v>10.5</v>
      </c>
      <c r="E382" s="8">
        <f>'1_Du_lieu'!H435</f>
        <v>14.7</v>
      </c>
      <c r="F382" s="16">
        <v>0</v>
      </c>
      <c r="G382" s="6">
        <f t="shared" si="118"/>
        <v>2.62</v>
      </c>
      <c r="H382" s="6">
        <f t="shared" si="119"/>
        <v>4.2</v>
      </c>
      <c r="I382" s="6">
        <f t="shared" si="120"/>
        <v>5.88</v>
      </c>
      <c r="J382" s="6">
        <f t="shared" si="121"/>
        <v>0</v>
      </c>
      <c r="K382" s="6">
        <f t="shared" si="109"/>
        <v>12.7</v>
      </c>
      <c r="L382" s="9">
        <f t="shared" si="122"/>
        <v>0.17241379310344829</v>
      </c>
      <c r="M382" s="9">
        <f t="shared" si="123"/>
        <v>0.2413793103448276</v>
      </c>
      <c r="N382" s="9">
        <f t="shared" si="124"/>
        <v>0.28448275862068967</v>
      </c>
      <c r="O382" s="9">
        <f t="shared" si="125"/>
        <v>0.27586206896551724</v>
      </c>
      <c r="P382" s="17"/>
    </row>
    <row r="383" spans="1:16" x14ac:dyDescent="0.25">
      <c r="A383" t="s">
        <v>144</v>
      </c>
      <c r="B383">
        <v>2023</v>
      </c>
      <c r="C383" s="8">
        <f>'1_Du_lieu'!F436</f>
        <v>15.5</v>
      </c>
      <c r="D383" s="8">
        <f>'1_Du_lieu'!G436</f>
        <v>11.7</v>
      </c>
      <c r="E383" s="8">
        <f>'1_Du_lieu'!H436</f>
        <v>17.2</v>
      </c>
      <c r="F383" s="16">
        <v>0</v>
      </c>
      <c r="G383" s="6">
        <f t="shared" si="118"/>
        <v>3.1</v>
      </c>
      <c r="H383" s="6">
        <f t="shared" si="119"/>
        <v>4.68</v>
      </c>
      <c r="I383" s="6">
        <f t="shared" si="120"/>
        <v>6.88</v>
      </c>
      <c r="J383" s="6">
        <f t="shared" si="121"/>
        <v>0</v>
      </c>
      <c r="K383" s="6">
        <f t="shared" si="109"/>
        <v>14.66</v>
      </c>
      <c r="L383" s="9">
        <f t="shared" si="122"/>
        <v>0.44827586206896552</v>
      </c>
      <c r="M383" s="9">
        <f t="shared" si="123"/>
        <v>0.32758620689655171</v>
      </c>
      <c r="N383" s="9">
        <f t="shared" si="124"/>
        <v>0.47413793103448276</v>
      </c>
      <c r="O383" s="9">
        <f t="shared" si="125"/>
        <v>0.45689655172413796</v>
      </c>
      <c r="P383" s="17"/>
    </row>
    <row r="384" spans="1:16" x14ac:dyDescent="0.25">
      <c r="A384" t="s">
        <v>145</v>
      </c>
      <c r="B384">
        <v>2023</v>
      </c>
      <c r="C384" s="8">
        <f>'1_Du_lieu'!F437</f>
        <v>12.3</v>
      </c>
      <c r="D384" s="8">
        <f>'1_Du_lieu'!G437</f>
        <v>10.1</v>
      </c>
      <c r="E384" s="8">
        <f>'1_Du_lieu'!H437</f>
        <v>10.5</v>
      </c>
      <c r="F384" s="16">
        <v>0</v>
      </c>
      <c r="G384" s="6">
        <f t="shared" si="118"/>
        <v>2.4600000000000004</v>
      </c>
      <c r="H384" s="6">
        <f t="shared" si="119"/>
        <v>4.04</v>
      </c>
      <c r="I384" s="6">
        <f t="shared" si="120"/>
        <v>4.2</v>
      </c>
      <c r="J384" s="6">
        <f t="shared" si="121"/>
        <v>0</v>
      </c>
      <c r="K384" s="6">
        <f t="shared" si="109"/>
        <v>10.7</v>
      </c>
      <c r="L384" s="9">
        <f t="shared" si="122"/>
        <v>5.1724137931034482E-2</v>
      </c>
      <c r="M384" s="9">
        <f t="shared" si="123"/>
        <v>0.18103448275862069</v>
      </c>
      <c r="N384" s="9">
        <f t="shared" si="124"/>
        <v>0.22413793103448276</v>
      </c>
      <c r="O384" s="9">
        <f t="shared" si="125"/>
        <v>1.7241379310344827E-2</v>
      </c>
      <c r="P384" s="17"/>
    </row>
    <row r="385" spans="1:16" x14ac:dyDescent="0.25">
      <c r="A385" t="s">
        <v>146</v>
      </c>
      <c r="B385">
        <v>2023</v>
      </c>
      <c r="C385" s="8">
        <f>'1_Du_lieu'!F438</f>
        <v>23.8</v>
      </c>
      <c r="D385" s="8">
        <f>'1_Du_lieu'!G438</f>
        <v>13.5</v>
      </c>
      <c r="E385" s="8">
        <f>'1_Du_lieu'!H438</f>
        <v>23.6</v>
      </c>
      <c r="F385" s="16">
        <v>0</v>
      </c>
      <c r="G385" s="6">
        <f t="shared" si="118"/>
        <v>4.7600000000000007</v>
      </c>
      <c r="H385" s="6">
        <f t="shared" si="119"/>
        <v>5.4</v>
      </c>
      <c r="I385" s="6">
        <f t="shared" si="120"/>
        <v>9.4400000000000013</v>
      </c>
      <c r="J385" s="6">
        <f t="shared" si="121"/>
        <v>0</v>
      </c>
      <c r="K385" s="6">
        <f t="shared" si="109"/>
        <v>19.600000000000001</v>
      </c>
      <c r="L385" s="9">
        <f t="shared" si="122"/>
        <v>0.75862068965517238</v>
      </c>
      <c r="M385" s="9">
        <f t="shared" si="123"/>
        <v>0.7068965517241379</v>
      </c>
      <c r="N385" s="9">
        <f t="shared" si="124"/>
        <v>0.75862068965517238</v>
      </c>
      <c r="O385" s="9">
        <f t="shared" si="125"/>
        <v>0.7068965517241379</v>
      </c>
      <c r="P385" s="17"/>
    </row>
    <row r="386" spans="1:16" x14ac:dyDescent="0.25">
      <c r="A386" t="s">
        <v>147</v>
      </c>
      <c r="B386">
        <v>2023</v>
      </c>
      <c r="C386" s="8">
        <f>'1_Du_lieu'!F439</f>
        <v>12.9</v>
      </c>
      <c r="D386" s="8">
        <f>'1_Du_lieu'!G439</f>
        <v>13</v>
      </c>
      <c r="E386" s="8">
        <f>'1_Du_lieu'!H439</f>
        <v>13.9</v>
      </c>
      <c r="F386" s="16">
        <v>0</v>
      </c>
      <c r="G386" s="6">
        <f t="shared" si="118"/>
        <v>2.58</v>
      </c>
      <c r="H386" s="6">
        <f t="shared" si="119"/>
        <v>5.2</v>
      </c>
      <c r="I386" s="6">
        <f t="shared" si="120"/>
        <v>5.5600000000000005</v>
      </c>
      <c r="J386" s="6">
        <f t="shared" si="121"/>
        <v>0</v>
      </c>
      <c r="K386" s="6">
        <f t="shared" si="109"/>
        <v>13.34</v>
      </c>
      <c r="L386" s="9">
        <f t="shared" si="122"/>
        <v>0.31034482758620691</v>
      </c>
      <c r="M386" s="9">
        <f t="shared" si="123"/>
        <v>0.21551724137931033</v>
      </c>
      <c r="N386" s="9">
        <f t="shared" si="124"/>
        <v>0.7068965517241379</v>
      </c>
      <c r="O386" s="9">
        <f t="shared" si="125"/>
        <v>0.16379310344827586</v>
      </c>
      <c r="P386" s="17"/>
    </row>
    <row r="387" spans="1:16" x14ac:dyDescent="0.25">
      <c r="A387" t="s">
        <v>149</v>
      </c>
      <c r="B387">
        <v>2023</v>
      </c>
      <c r="C387" s="8">
        <f>'1_Du_lieu'!F441</f>
        <v>70.099999999999994</v>
      </c>
      <c r="D387" s="8">
        <f>'1_Du_lieu'!G441</f>
        <v>13.8</v>
      </c>
      <c r="E387" s="8">
        <f>'1_Du_lieu'!H441</f>
        <v>50</v>
      </c>
      <c r="F387" s="16">
        <v>0</v>
      </c>
      <c r="G387" s="6">
        <f t="shared" si="118"/>
        <v>14.02</v>
      </c>
      <c r="H387" s="6">
        <f t="shared" si="119"/>
        <v>5.5200000000000005</v>
      </c>
      <c r="I387" s="6">
        <f t="shared" si="120"/>
        <v>20</v>
      </c>
      <c r="J387" s="6">
        <f t="shared" si="121"/>
        <v>0</v>
      </c>
      <c r="K387" s="6">
        <f t="shared" si="109"/>
        <v>39.54</v>
      </c>
      <c r="L387" s="9">
        <f t="shared" si="122"/>
        <v>0.96551724137931039</v>
      </c>
      <c r="M387" s="9">
        <f t="shared" si="123"/>
        <v>0.96551724137931039</v>
      </c>
      <c r="N387" s="9">
        <f t="shared" si="124"/>
        <v>0.77586206896551724</v>
      </c>
      <c r="O387" s="9">
        <f t="shared" si="125"/>
        <v>0.96551724137931039</v>
      </c>
      <c r="P387" s="17"/>
    </row>
    <row r="388" spans="1:16" x14ac:dyDescent="0.25">
      <c r="A388" t="s">
        <v>150</v>
      </c>
      <c r="B388">
        <v>2023</v>
      </c>
      <c r="C388" s="8">
        <f>'1_Du_lieu'!F442</f>
        <v>19.600000000000001</v>
      </c>
      <c r="D388" s="8">
        <f>'1_Du_lieu'!G442</f>
        <v>10.3</v>
      </c>
      <c r="E388" s="8">
        <f>'1_Du_lieu'!H442</f>
        <v>26.9</v>
      </c>
      <c r="F388" s="16">
        <v>0</v>
      </c>
      <c r="G388" s="6">
        <f t="shared" si="118"/>
        <v>3.9200000000000004</v>
      </c>
      <c r="H388" s="6">
        <f t="shared" si="119"/>
        <v>4.12</v>
      </c>
      <c r="I388" s="6">
        <f t="shared" si="120"/>
        <v>10.76</v>
      </c>
      <c r="J388" s="6">
        <f t="shared" si="121"/>
        <v>0</v>
      </c>
      <c r="K388" s="6">
        <f t="shared" si="109"/>
        <v>18.8</v>
      </c>
      <c r="L388" s="9">
        <f t="shared" si="122"/>
        <v>0.7068965517241379</v>
      </c>
      <c r="M388" s="9">
        <f t="shared" si="123"/>
        <v>0.55172413793103448</v>
      </c>
      <c r="N388" s="9">
        <f t="shared" si="124"/>
        <v>0.25</v>
      </c>
      <c r="O388" s="9">
        <f t="shared" si="125"/>
        <v>0.82758620689655171</v>
      </c>
      <c r="P388" s="17"/>
    </row>
    <row r="389" spans="1:16" x14ac:dyDescent="0.25">
      <c r="A389" t="s">
        <v>151</v>
      </c>
      <c r="B389">
        <v>2023</v>
      </c>
      <c r="C389" s="8">
        <f>'1_Du_lieu'!F443</f>
        <v>10.1</v>
      </c>
      <c r="D389" s="8">
        <f>'1_Du_lieu'!G443</f>
        <v>8</v>
      </c>
      <c r="E389" s="8">
        <f>'1_Du_lieu'!H443</f>
        <v>13.4</v>
      </c>
      <c r="F389" s="16">
        <v>0</v>
      </c>
      <c r="G389" s="6">
        <f t="shared" si="118"/>
        <v>2.02</v>
      </c>
      <c r="H389" s="6">
        <f t="shared" si="119"/>
        <v>3.2</v>
      </c>
      <c r="I389" s="6">
        <f t="shared" si="120"/>
        <v>5.36</v>
      </c>
      <c r="J389" s="6">
        <f t="shared" si="121"/>
        <v>0</v>
      </c>
      <c r="K389" s="6">
        <f t="shared" ref="K389:K452" si="126">SUM(G389:J389)</f>
        <v>10.580000000000002</v>
      </c>
      <c r="L389" s="9">
        <f t="shared" si="122"/>
        <v>3.4482758620689655E-2</v>
      </c>
      <c r="M389" s="9">
        <f t="shared" si="123"/>
        <v>3.4482758620689655E-2</v>
      </c>
      <c r="N389" s="9">
        <f t="shared" si="124"/>
        <v>3.4482758620689655E-2</v>
      </c>
      <c r="O389" s="9">
        <f t="shared" si="125"/>
        <v>0.13793103448275862</v>
      </c>
      <c r="P389" s="17"/>
    </row>
    <row r="390" spans="1:16" x14ac:dyDescent="0.25">
      <c r="A390" t="s">
        <v>152</v>
      </c>
      <c r="B390">
        <v>2023</v>
      </c>
      <c r="C390" s="8">
        <f>'1_Du_lieu'!F444</f>
        <v>28.3</v>
      </c>
      <c r="D390" s="8">
        <f>'1_Du_lieu'!G444</f>
        <v>14</v>
      </c>
      <c r="E390" s="8">
        <f>'1_Du_lieu'!H444</f>
        <v>36.5</v>
      </c>
      <c r="F390" s="16">
        <v>0</v>
      </c>
      <c r="G390" s="6">
        <f t="shared" si="118"/>
        <v>5.66</v>
      </c>
      <c r="H390" s="6">
        <f t="shared" si="119"/>
        <v>5.6000000000000005</v>
      </c>
      <c r="I390" s="6">
        <f t="shared" si="120"/>
        <v>14.600000000000001</v>
      </c>
      <c r="J390" s="6">
        <f t="shared" si="121"/>
        <v>0</v>
      </c>
      <c r="K390" s="6">
        <f t="shared" si="126"/>
        <v>25.860000000000003</v>
      </c>
      <c r="L390" s="9">
        <f t="shared" si="122"/>
        <v>0.91379310344827591</v>
      </c>
      <c r="M390" s="9">
        <f t="shared" si="123"/>
        <v>0.87931034482758619</v>
      </c>
      <c r="N390" s="9">
        <f t="shared" si="124"/>
        <v>0.83620689655172409</v>
      </c>
      <c r="O390" s="9">
        <f t="shared" si="125"/>
        <v>0.91379310344827591</v>
      </c>
      <c r="P390" s="17"/>
    </row>
    <row r="391" spans="1:16" x14ac:dyDescent="0.25">
      <c r="A391" t="s">
        <v>153</v>
      </c>
      <c r="B391">
        <v>2023</v>
      </c>
      <c r="C391" s="8">
        <f>'1_Du_lieu'!F445</f>
        <v>13.4</v>
      </c>
      <c r="D391" s="8">
        <f>'1_Du_lieu'!G445</f>
        <v>14.2</v>
      </c>
      <c r="E391" s="8">
        <f>'1_Du_lieu'!H445</f>
        <v>18.5</v>
      </c>
      <c r="F391" s="16">
        <v>0</v>
      </c>
      <c r="G391" s="6">
        <f t="shared" si="118"/>
        <v>2.68</v>
      </c>
      <c r="H391" s="6">
        <f t="shared" si="119"/>
        <v>5.68</v>
      </c>
      <c r="I391" s="6">
        <f t="shared" si="120"/>
        <v>7.4</v>
      </c>
      <c r="J391" s="6">
        <f t="shared" si="121"/>
        <v>0</v>
      </c>
      <c r="K391" s="6">
        <f t="shared" si="126"/>
        <v>15.76</v>
      </c>
      <c r="L391" s="9">
        <f t="shared" si="122"/>
        <v>0.5</v>
      </c>
      <c r="M391" s="9">
        <f t="shared" si="123"/>
        <v>0.25862068965517243</v>
      </c>
      <c r="N391" s="9">
        <f t="shared" si="124"/>
        <v>0.89655172413793105</v>
      </c>
      <c r="O391" s="9">
        <f t="shared" si="125"/>
        <v>0.56034482758620685</v>
      </c>
      <c r="P391" s="17"/>
    </row>
    <row r="392" spans="1:16" x14ac:dyDescent="0.25">
      <c r="A392" t="s">
        <v>85</v>
      </c>
      <c r="B392">
        <v>2024</v>
      </c>
      <c r="C392" s="8">
        <f>'1_Du_lieu'!F446</f>
        <v>11</v>
      </c>
      <c r="D392" s="8">
        <f>'1_Du_lieu'!G446</f>
        <v>20</v>
      </c>
      <c r="E392" s="8">
        <f>'1_Du_lieu'!H446</f>
        <v>15</v>
      </c>
      <c r="F392" s="16">
        <v>0</v>
      </c>
      <c r="G392" s="6">
        <f t="shared" ref="G392:G423" si="127">C392*$AC$11</f>
        <v>2.2000000000000002</v>
      </c>
      <c r="H392" s="6">
        <f t="shared" ref="H392:H423" si="128">D392*$AD$11</f>
        <v>8</v>
      </c>
      <c r="I392" s="6">
        <f t="shared" ref="I392:I423" si="129">E392*$AE$11</f>
        <v>6</v>
      </c>
      <c r="J392" s="6">
        <f t="shared" ref="J392:J423" si="130">F392*$AF$11</f>
        <v>0</v>
      </c>
      <c r="K392" s="6">
        <f t="shared" si="126"/>
        <v>16.2</v>
      </c>
      <c r="L392" s="9">
        <f t="shared" ref="L392:L423" si="131">_xlfn.RANK.AVG(K392,$K$392:$K$449,1)/58</f>
        <v>0.27586206896551724</v>
      </c>
      <c r="M392" s="9">
        <f t="shared" ref="M392:M423" si="132">_xlfn.RANK.AVG(G392,$G$392:$G$449,1)/58</f>
        <v>6.8965517241379309E-2</v>
      </c>
      <c r="N392" s="9">
        <f t="shared" ref="N392:N423" si="133">_xlfn.RANK.AVG(H392,$H$392:$H$449,1)/58</f>
        <v>0.21551724137931033</v>
      </c>
      <c r="O392" s="9">
        <f t="shared" ref="O392:O423" si="134">_xlfn.RANK.AVG(I392,$I$392:$I$449,1)/58</f>
        <v>0.52586206896551724</v>
      </c>
      <c r="P392" s="17"/>
    </row>
    <row r="393" spans="1:16" x14ac:dyDescent="0.25">
      <c r="A393" t="s">
        <v>87</v>
      </c>
      <c r="B393">
        <v>2024</v>
      </c>
      <c r="C393" s="8">
        <f>'1_Du_lieu'!F447</f>
        <v>39</v>
      </c>
      <c r="D393" s="8">
        <f>'1_Du_lieu'!G447</f>
        <v>27</v>
      </c>
      <c r="E393" s="8">
        <f>'1_Du_lieu'!H447</f>
        <v>22</v>
      </c>
      <c r="F393" s="16">
        <v>0</v>
      </c>
      <c r="G393" s="6">
        <f t="shared" si="127"/>
        <v>7.8000000000000007</v>
      </c>
      <c r="H393" s="6">
        <f t="shared" si="128"/>
        <v>10.8</v>
      </c>
      <c r="I393" s="6">
        <f t="shared" si="129"/>
        <v>8.8000000000000007</v>
      </c>
      <c r="J393" s="6">
        <f t="shared" si="130"/>
        <v>0</v>
      </c>
      <c r="K393" s="6">
        <f t="shared" si="126"/>
        <v>27.400000000000002</v>
      </c>
      <c r="L393" s="9">
        <f t="shared" si="131"/>
        <v>0.86206896551724133</v>
      </c>
      <c r="M393" s="9">
        <f t="shared" si="132"/>
        <v>0.93103448275862066</v>
      </c>
      <c r="N393" s="9">
        <f t="shared" si="133"/>
        <v>0.74137931034482762</v>
      </c>
      <c r="O393" s="9">
        <f t="shared" si="134"/>
        <v>0.75862068965517238</v>
      </c>
      <c r="P393" s="17"/>
    </row>
    <row r="394" spans="1:16" x14ac:dyDescent="0.25">
      <c r="A394" t="s">
        <v>89</v>
      </c>
      <c r="B394">
        <v>2024</v>
      </c>
      <c r="C394" s="8">
        <f>'1_Du_lieu'!F448</f>
        <v>36</v>
      </c>
      <c r="D394" s="8">
        <f>'1_Du_lieu'!G448</f>
        <v>47</v>
      </c>
      <c r="E394" s="8">
        <f>'1_Du_lieu'!H448</f>
        <v>63</v>
      </c>
      <c r="F394" s="16">
        <v>0</v>
      </c>
      <c r="G394" s="6">
        <f t="shared" si="127"/>
        <v>7.2</v>
      </c>
      <c r="H394" s="6">
        <f t="shared" si="128"/>
        <v>18.8</v>
      </c>
      <c r="I394" s="6">
        <f t="shared" si="129"/>
        <v>25.200000000000003</v>
      </c>
      <c r="J394" s="6">
        <f t="shared" si="130"/>
        <v>0</v>
      </c>
      <c r="K394" s="6">
        <f t="shared" si="126"/>
        <v>51.2</v>
      </c>
      <c r="L394" s="9">
        <f t="shared" si="131"/>
        <v>0.96551724137931039</v>
      </c>
      <c r="M394" s="9">
        <f t="shared" si="132"/>
        <v>0.91379310344827591</v>
      </c>
      <c r="N394" s="9">
        <f t="shared" si="133"/>
        <v>0.96551724137931039</v>
      </c>
      <c r="O394" s="9">
        <f t="shared" si="134"/>
        <v>0.96551724137931039</v>
      </c>
      <c r="P394" s="17"/>
    </row>
    <row r="395" spans="1:16" x14ac:dyDescent="0.25">
      <c r="A395" t="s">
        <v>90</v>
      </c>
      <c r="B395">
        <v>2024</v>
      </c>
      <c r="C395" s="8">
        <f>'1_Du_lieu'!F449</f>
        <v>18</v>
      </c>
      <c r="D395" s="8">
        <f>'1_Du_lieu'!G449</f>
        <v>16</v>
      </c>
      <c r="E395" s="8">
        <f>'1_Du_lieu'!H449</f>
        <v>15</v>
      </c>
      <c r="F395" s="16">
        <v>0</v>
      </c>
      <c r="G395" s="6">
        <f t="shared" si="127"/>
        <v>3.6</v>
      </c>
      <c r="H395" s="6">
        <f t="shared" si="128"/>
        <v>6.4</v>
      </c>
      <c r="I395" s="6">
        <f t="shared" si="129"/>
        <v>6</v>
      </c>
      <c r="J395" s="6">
        <f t="shared" si="130"/>
        <v>0</v>
      </c>
      <c r="K395" s="6">
        <f t="shared" si="126"/>
        <v>16</v>
      </c>
      <c r="L395" s="9">
        <f t="shared" si="131"/>
        <v>0.25</v>
      </c>
      <c r="M395" s="9">
        <f t="shared" si="132"/>
        <v>0.41379310344827586</v>
      </c>
      <c r="N395" s="9">
        <f t="shared" si="133"/>
        <v>6.8965517241379309E-2</v>
      </c>
      <c r="O395" s="9">
        <f t="shared" si="134"/>
        <v>0.52586206896551724</v>
      </c>
      <c r="P395" s="17"/>
    </row>
    <row r="396" spans="1:16" x14ac:dyDescent="0.25">
      <c r="A396" t="s">
        <v>91</v>
      </c>
      <c r="B396">
        <v>2024</v>
      </c>
      <c r="C396" s="8">
        <f>'1_Du_lieu'!F450</f>
        <v>20</v>
      </c>
      <c r="D396" s="8">
        <f>'1_Du_lieu'!G450</f>
        <v>25</v>
      </c>
      <c r="E396" s="8">
        <f>'1_Du_lieu'!H450</f>
        <v>14</v>
      </c>
      <c r="F396" s="16">
        <v>0</v>
      </c>
      <c r="G396" s="6">
        <f t="shared" si="127"/>
        <v>4</v>
      </c>
      <c r="H396" s="6">
        <f t="shared" si="128"/>
        <v>10</v>
      </c>
      <c r="I396" s="6">
        <f t="shared" si="129"/>
        <v>5.6000000000000005</v>
      </c>
      <c r="J396" s="6">
        <f t="shared" si="130"/>
        <v>0</v>
      </c>
      <c r="K396" s="6">
        <f t="shared" si="126"/>
        <v>19.600000000000001</v>
      </c>
      <c r="L396" s="9">
        <f t="shared" si="131"/>
        <v>0.48275862068965519</v>
      </c>
      <c r="M396" s="9">
        <f t="shared" si="132"/>
        <v>0.48275862068965519</v>
      </c>
      <c r="N396" s="9">
        <f t="shared" si="133"/>
        <v>0.59482758620689657</v>
      </c>
      <c r="O396" s="9">
        <f t="shared" si="134"/>
        <v>0.43103448275862066</v>
      </c>
      <c r="P396" s="17"/>
    </row>
    <row r="397" spans="1:16" x14ac:dyDescent="0.25">
      <c r="A397" t="s">
        <v>93</v>
      </c>
      <c r="B397">
        <v>2024</v>
      </c>
      <c r="C397" s="8">
        <f>'1_Du_lieu'!F451</f>
        <v>27</v>
      </c>
      <c r="D397" s="8">
        <f>'1_Du_lieu'!G451</f>
        <v>24</v>
      </c>
      <c r="E397" s="8">
        <f>'1_Du_lieu'!H451</f>
        <v>16</v>
      </c>
      <c r="F397" s="16">
        <v>0</v>
      </c>
      <c r="G397" s="6">
        <f t="shared" si="127"/>
        <v>5.4</v>
      </c>
      <c r="H397" s="6">
        <f t="shared" si="128"/>
        <v>9.6000000000000014</v>
      </c>
      <c r="I397" s="6">
        <f t="shared" si="129"/>
        <v>6.4</v>
      </c>
      <c r="J397" s="6">
        <f t="shared" si="130"/>
        <v>0</v>
      </c>
      <c r="K397" s="6">
        <f t="shared" si="126"/>
        <v>21.400000000000002</v>
      </c>
      <c r="L397" s="9">
        <f t="shared" si="131"/>
        <v>0.57758620689655171</v>
      </c>
      <c r="M397" s="9">
        <f t="shared" si="132"/>
        <v>0.74137931034482762</v>
      </c>
      <c r="N397" s="9">
        <f t="shared" si="133"/>
        <v>0.53448275862068961</v>
      </c>
      <c r="O397" s="9">
        <f t="shared" si="134"/>
        <v>0.60344827586206895</v>
      </c>
      <c r="P397" s="17"/>
    </row>
    <row r="398" spans="1:16" x14ac:dyDescent="0.25">
      <c r="A398" t="s">
        <v>94</v>
      </c>
      <c r="B398">
        <v>2024</v>
      </c>
      <c r="C398" s="8">
        <f>'1_Du_lieu'!F452</f>
        <v>9</v>
      </c>
      <c r="D398" s="8">
        <f>'1_Du_lieu'!G452</f>
        <v>23</v>
      </c>
      <c r="E398" s="8">
        <f>'1_Du_lieu'!H452</f>
        <v>7</v>
      </c>
      <c r="F398" s="16">
        <v>0</v>
      </c>
      <c r="G398" s="6">
        <f t="shared" si="127"/>
        <v>1.8</v>
      </c>
      <c r="H398" s="6">
        <f t="shared" si="128"/>
        <v>9.2000000000000011</v>
      </c>
      <c r="I398" s="6">
        <f t="shared" si="129"/>
        <v>2.8000000000000003</v>
      </c>
      <c r="J398" s="6">
        <f t="shared" si="130"/>
        <v>0</v>
      </c>
      <c r="K398" s="6">
        <f t="shared" si="126"/>
        <v>13.800000000000002</v>
      </c>
      <c r="L398" s="9">
        <f t="shared" si="131"/>
        <v>0.1206896551724138</v>
      </c>
      <c r="M398" s="9">
        <f t="shared" si="132"/>
        <v>1.7241379310344827E-2</v>
      </c>
      <c r="N398" s="9">
        <f t="shared" si="133"/>
        <v>0.45689655172413796</v>
      </c>
      <c r="O398" s="9">
        <f t="shared" si="134"/>
        <v>3.4482758620689655E-2</v>
      </c>
      <c r="P398" s="17"/>
    </row>
    <row r="399" spans="1:16" x14ac:dyDescent="0.25">
      <c r="A399" t="s">
        <v>95</v>
      </c>
      <c r="B399">
        <v>2024</v>
      </c>
      <c r="C399" s="8">
        <f>'1_Du_lieu'!F453</f>
        <v>23</v>
      </c>
      <c r="D399" s="8">
        <f>'1_Du_lieu'!G453</f>
        <v>27</v>
      </c>
      <c r="E399" s="8">
        <f>'1_Du_lieu'!H453</f>
        <v>17</v>
      </c>
      <c r="F399" s="16">
        <v>0</v>
      </c>
      <c r="G399" s="6">
        <f t="shared" si="127"/>
        <v>4.6000000000000005</v>
      </c>
      <c r="H399" s="6">
        <f t="shared" si="128"/>
        <v>10.8</v>
      </c>
      <c r="I399" s="6">
        <f t="shared" si="129"/>
        <v>6.8000000000000007</v>
      </c>
      <c r="J399" s="6">
        <f t="shared" si="130"/>
        <v>0</v>
      </c>
      <c r="K399" s="6">
        <f t="shared" si="126"/>
        <v>22.200000000000003</v>
      </c>
      <c r="L399" s="9">
        <f t="shared" si="131"/>
        <v>0.65517241379310343</v>
      </c>
      <c r="M399" s="9">
        <f t="shared" si="132"/>
        <v>0.61206896551724133</v>
      </c>
      <c r="N399" s="9">
        <f t="shared" si="133"/>
        <v>0.74137931034482762</v>
      </c>
      <c r="O399" s="9">
        <f t="shared" si="134"/>
        <v>0.63793103448275867</v>
      </c>
      <c r="P399" s="17"/>
    </row>
    <row r="400" spans="1:16" x14ac:dyDescent="0.25">
      <c r="A400" t="s">
        <v>97</v>
      </c>
      <c r="B400">
        <v>2024</v>
      </c>
      <c r="C400" s="8">
        <f>'1_Du_lieu'!F454</f>
        <v>11</v>
      </c>
      <c r="D400" s="8">
        <f>'1_Du_lieu'!G454</f>
        <v>14</v>
      </c>
      <c r="E400" s="8">
        <f>'1_Du_lieu'!H454</f>
        <v>7</v>
      </c>
      <c r="F400" s="16">
        <v>0</v>
      </c>
      <c r="G400" s="6">
        <f t="shared" si="127"/>
        <v>2.2000000000000002</v>
      </c>
      <c r="H400" s="6">
        <f t="shared" si="128"/>
        <v>5.6000000000000005</v>
      </c>
      <c r="I400" s="6">
        <f t="shared" si="129"/>
        <v>2.8000000000000003</v>
      </c>
      <c r="J400" s="6">
        <f t="shared" si="130"/>
        <v>0</v>
      </c>
      <c r="K400" s="6">
        <f t="shared" si="126"/>
        <v>10.600000000000001</v>
      </c>
      <c r="L400" s="9">
        <f t="shared" si="131"/>
        <v>1.7241379310344827E-2</v>
      </c>
      <c r="M400" s="9">
        <f t="shared" si="132"/>
        <v>6.8965517241379309E-2</v>
      </c>
      <c r="N400" s="9">
        <f t="shared" si="133"/>
        <v>1.7241379310344827E-2</v>
      </c>
      <c r="O400" s="9">
        <f t="shared" si="134"/>
        <v>3.4482758620689655E-2</v>
      </c>
      <c r="P400" s="17"/>
    </row>
    <row r="401" spans="1:16" x14ac:dyDescent="0.25">
      <c r="A401" t="s">
        <v>98</v>
      </c>
      <c r="B401">
        <v>2024</v>
      </c>
      <c r="C401" s="8">
        <f>'1_Du_lieu'!F455</f>
        <v>27</v>
      </c>
      <c r="D401" s="8">
        <f>'1_Du_lieu'!G455</f>
        <v>31</v>
      </c>
      <c r="E401" s="8">
        <f>'1_Du_lieu'!H455</f>
        <v>29</v>
      </c>
      <c r="F401" s="16">
        <v>0</v>
      </c>
      <c r="G401" s="6">
        <f t="shared" si="127"/>
        <v>5.4</v>
      </c>
      <c r="H401" s="6">
        <f t="shared" si="128"/>
        <v>12.4</v>
      </c>
      <c r="I401" s="6">
        <f t="shared" si="129"/>
        <v>11.600000000000001</v>
      </c>
      <c r="J401" s="6">
        <f t="shared" si="130"/>
        <v>0</v>
      </c>
      <c r="K401" s="6">
        <f t="shared" si="126"/>
        <v>29.400000000000002</v>
      </c>
      <c r="L401" s="9">
        <f t="shared" si="131"/>
        <v>0.89655172413793105</v>
      </c>
      <c r="M401" s="9">
        <f t="shared" si="132"/>
        <v>0.74137931034482762</v>
      </c>
      <c r="N401" s="9">
        <f t="shared" si="133"/>
        <v>0.87931034482758619</v>
      </c>
      <c r="O401" s="9">
        <f t="shared" si="134"/>
        <v>0.91379310344827591</v>
      </c>
      <c r="P401" s="17"/>
    </row>
    <row r="402" spans="1:16" x14ac:dyDescent="0.25">
      <c r="A402" t="s">
        <v>100</v>
      </c>
      <c r="B402">
        <v>2024</v>
      </c>
      <c r="C402" s="8">
        <f>'1_Du_lieu'!F456</f>
        <v>22</v>
      </c>
      <c r="D402" s="8">
        <f>'1_Du_lieu'!G456</f>
        <v>24</v>
      </c>
      <c r="E402" s="8">
        <f>'1_Du_lieu'!H456</f>
        <v>12</v>
      </c>
      <c r="F402" s="16">
        <v>0</v>
      </c>
      <c r="G402" s="6">
        <f t="shared" si="127"/>
        <v>4.4000000000000004</v>
      </c>
      <c r="H402" s="6">
        <f t="shared" si="128"/>
        <v>9.6000000000000014</v>
      </c>
      <c r="I402" s="6">
        <f t="shared" si="129"/>
        <v>4.8000000000000007</v>
      </c>
      <c r="J402" s="6">
        <f t="shared" si="130"/>
        <v>0</v>
      </c>
      <c r="K402" s="6">
        <f t="shared" si="126"/>
        <v>18.800000000000004</v>
      </c>
      <c r="L402" s="9">
        <f t="shared" si="131"/>
        <v>0.44827586206896552</v>
      </c>
      <c r="M402" s="9">
        <f t="shared" si="132"/>
        <v>0.57758620689655171</v>
      </c>
      <c r="N402" s="9">
        <f t="shared" si="133"/>
        <v>0.53448275862068961</v>
      </c>
      <c r="O402" s="9">
        <f t="shared" si="134"/>
        <v>0.30172413793103448</v>
      </c>
      <c r="P402" s="17"/>
    </row>
    <row r="403" spans="1:16" x14ac:dyDescent="0.25">
      <c r="A403" t="s">
        <v>102</v>
      </c>
      <c r="B403">
        <v>2024</v>
      </c>
      <c r="C403" s="8">
        <f>'1_Du_lieu'!F458</f>
        <v>15</v>
      </c>
      <c r="D403" s="8">
        <f>'1_Du_lieu'!G458</f>
        <v>23</v>
      </c>
      <c r="E403" s="8">
        <f>'1_Du_lieu'!H458</f>
        <v>10</v>
      </c>
      <c r="F403" s="16">
        <v>0</v>
      </c>
      <c r="G403" s="6">
        <f t="shared" si="127"/>
        <v>3</v>
      </c>
      <c r="H403" s="6">
        <f t="shared" si="128"/>
        <v>9.2000000000000011</v>
      </c>
      <c r="I403" s="6">
        <f t="shared" si="129"/>
        <v>4</v>
      </c>
      <c r="J403" s="6">
        <f t="shared" si="130"/>
        <v>0</v>
      </c>
      <c r="K403" s="6">
        <f t="shared" si="126"/>
        <v>16.200000000000003</v>
      </c>
      <c r="L403" s="9">
        <f t="shared" si="131"/>
        <v>0.29310344827586204</v>
      </c>
      <c r="M403" s="9">
        <f t="shared" si="132"/>
        <v>0.27586206896551724</v>
      </c>
      <c r="N403" s="9">
        <f t="shared" si="133"/>
        <v>0.45689655172413796</v>
      </c>
      <c r="O403" s="9">
        <f t="shared" si="134"/>
        <v>0.16379310344827586</v>
      </c>
      <c r="P403" s="17"/>
    </row>
    <row r="404" spans="1:16" x14ac:dyDescent="0.25">
      <c r="A404" t="s">
        <v>103</v>
      </c>
      <c r="B404">
        <v>2024</v>
      </c>
      <c r="C404" s="8">
        <f>'1_Du_lieu'!F459</f>
        <v>29</v>
      </c>
      <c r="D404" s="8">
        <f>'1_Du_lieu'!G459</f>
        <v>33</v>
      </c>
      <c r="E404" s="8">
        <f>'1_Du_lieu'!H459</f>
        <v>23</v>
      </c>
      <c r="F404" s="16">
        <v>0</v>
      </c>
      <c r="G404" s="6">
        <f t="shared" si="127"/>
        <v>5.8000000000000007</v>
      </c>
      <c r="H404" s="6">
        <f t="shared" si="128"/>
        <v>13.200000000000001</v>
      </c>
      <c r="I404" s="6">
        <f t="shared" si="129"/>
        <v>9.2000000000000011</v>
      </c>
      <c r="J404" s="6">
        <f t="shared" si="130"/>
        <v>0</v>
      </c>
      <c r="K404" s="6">
        <f t="shared" si="126"/>
        <v>28.200000000000003</v>
      </c>
      <c r="L404" s="9">
        <f t="shared" si="131"/>
        <v>0.87931034482758619</v>
      </c>
      <c r="M404" s="9">
        <f t="shared" si="132"/>
        <v>0.81896551724137934</v>
      </c>
      <c r="N404" s="9">
        <f t="shared" si="133"/>
        <v>0.91379310344827591</v>
      </c>
      <c r="O404" s="9">
        <f t="shared" si="134"/>
        <v>0.81034482758620685</v>
      </c>
      <c r="P404" s="17"/>
    </row>
    <row r="405" spans="1:16" x14ac:dyDescent="0.25">
      <c r="A405" t="s">
        <v>104</v>
      </c>
      <c r="B405">
        <v>2024</v>
      </c>
      <c r="C405" s="8">
        <f>'1_Du_lieu'!F460</f>
        <v>14</v>
      </c>
      <c r="D405" s="8">
        <f>'1_Du_lieu'!G460</f>
        <v>16</v>
      </c>
      <c r="E405" s="8">
        <f>'1_Du_lieu'!H460</f>
        <v>15</v>
      </c>
      <c r="F405" s="16">
        <v>0</v>
      </c>
      <c r="G405" s="6">
        <f t="shared" si="127"/>
        <v>2.8000000000000003</v>
      </c>
      <c r="H405" s="6">
        <f t="shared" si="128"/>
        <v>6.4</v>
      </c>
      <c r="I405" s="6">
        <f t="shared" si="129"/>
        <v>6</v>
      </c>
      <c r="J405" s="6">
        <f t="shared" si="130"/>
        <v>0</v>
      </c>
      <c r="K405" s="6">
        <f t="shared" si="126"/>
        <v>15.200000000000001</v>
      </c>
      <c r="L405" s="9">
        <f t="shared" si="131"/>
        <v>0.22413793103448276</v>
      </c>
      <c r="M405" s="9">
        <f t="shared" si="132"/>
        <v>0.21551724137931033</v>
      </c>
      <c r="N405" s="9">
        <f t="shared" si="133"/>
        <v>6.8965517241379309E-2</v>
      </c>
      <c r="O405" s="9">
        <f t="shared" si="134"/>
        <v>0.52586206896551724</v>
      </c>
      <c r="P405" s="17"/>
    </row>
    <row r="406" spans="1:16" x14ac:dyDescent="0.25">
      <c r="A406" t="s">
        <v>107</v>
      </c>
      <c r="B406">
        <v>2024</v>
      </c>
      <c r="C406" s="8">
        <f>'1_Du_lieu'!F462</f>
        <v>28</v>
      </c>
      <c r="D406" s="8">
        <f>'1_Du_lieu'!G462</f>
        <v>27</v>
      </c>
      <c r="E406" s="8">
        <f>'1_Du_lieu'!H462</f>
        <v>16</v>
      </c>
      <c r="F406" s="16">
        <v>0</v>
      </c>
      <c r="G406" s="6">
        <f t="shared" si="127"/>
        <v>5.6000000000000005</v>
      </c>
      <c r="H406" s="6">
        <f t="shared" si="128"/>
        <v>10.8</v>
      </c>
      <c r="I406" s="6">
        <f t="shared" si="129"/>
        <v>6.4</v>
      </c>
      <c r="J406" s="6">
        <f t="shared" si="130"/>
        <v>0</v>
      </c>
      <c r="K406" s="6">
        <f t="shared" si="126"/>
        <v>22.800000000000004</v>
      </c>
      <c r="L406" s="9">
        <f t="shared" si="131"/>
        <v>0.69827586206896552</v>
      </c>
      <c r="M406" s="9">
        <f t="shared" si="132"/>
        <v>0.78448275862068961</v>
      </c>
      <c r="N406" s="9">
        <f t="shared" si="133"/>
        <v>0.74137931034482762</v>
      </c>
      <c r="O406" s="9">
        <f t="shared" si="134"/>
        <v>0.60344827586206895</v>
      </c>
      <c r="P406" s="17"/>
    </row>
    <row r="407" spans="1:16" x14ac:dyDescent="0.25">
      <c r="A407" t="s">
        <v>108</v>
      </c>
      <c r="B407">
        <v>2024</v>
      </c>
      <c r="C407" s="8">
        <f>'1_Du_lieu'!F463</f>
        <v>97</v>
      </c>
      <c r="D407" s="8">
        <f>'1_Du_lieu'!G463</f>
        <v>77</v>
      </c>
      <c r="E407" s="8">
        <f>'1_Du_lieu'!H463</f>
        <v>85</v>
      </c>
      <c r="F407" s="16">
        <v>0</v>
      </c>
      <c r="G407" s="6">
        <f t="shared" si="127"/>
        <v>19.400000000000002</v>
      </c>
      <c r="H407" s="6">
        <f t="shared" si="128"/>
        <v>30.8</v>
      </c>
      <c r="I407" s="6">
        <f t="shared" si="129"/>
        <v>34</v>
      </c>
      <c r="J407" s="6">
        <f t="shared" si="130"/>
        <v>0</v>
      </c>
      <c r="K407" s="6">
        <f t="shared" si="126"/>
        <v>84.2</v>
      </c>
      <c r="L407" s="9">
        <f t="shared" si="131"/>
        <v>0.98275862068965514</v>
      </c>
      <c r="M407" s="9">
        <f t="shared" si="132"/>
        <v>0.98275862068965514</v>
      </c>
      <c r="N407" s="9">
        <f t="shared" si="133"/>
        <v>1</v>
      </c>
      <c r="O407" s="9">
        <f t="shared" si="134"/>
        <v>0.98275862068965514</v>
      </c>
      <c r="P407" s="17"/>
    </row>
    <row r="408" spans="1:16" x14ac:dyDescent="0.25">
      <c r="A408" t="s">
        <v>109</v>
      </c>
      <c r="B408">
        <v>2024</v>
      </c>
      <c r="C408" s="8">
        <f>'1_Du_lieu'!F464</f>
        <v>18</v>
      </c>
      <c r="D408" s="8">
        <f>'1_Du_lieu'!G464</f>
        <v>21</v>
      </c>
      <c r="E408" s="8">
        <f>'1_Du_lieu'!H464</f>
        <v>14</v>
      </c>
      <c r="F408" s="16">
        <v>0</v>
      </c>
      <c r="G408" s="6">
        <f t="shared" si="127"/>
        <v>3.6</v>
      </c>
      <c r="H408" s="6">
        <f t="shared" si="128"/>
        <v>8.4</v>
      </c>
      <c r="I408" s="6">
        <f t="shared" si="129"/>
        <v>5.6000000000000005</v>
      </c>
      <c r="J408" s="6">
        <f t="shared" si="130"/>
        <v>0</v>
      </c>
      <c r="K408" s="6">
        <f t="shared" si="126"/>
        <v>17.600000000000001</v>
      </c>
      <c r="L408" s="9">
        <f t="shared" si="131"/>
        <v>0.41379310344827586</v>
      </c>
      <c r="M408" s="9">
        <f t="shared" si="132"/>
        <v>0.41379310344827586</v>
      </c>
      <c r="N408" s="9">
        <f t="shared" si="133"/>
        <v>0.27586206896551724</v>
      </c>
      <c r="O408" s="9">
        <f t="shared" si="134"/>
        <v>0.43103448275862066</v>
      </c>
      <c r="P408" s="17"/>
    </row>
    <row r="409" spans="1:16" x14ac:dyDescent="0.25">
      <c r="A409" t="s">
        <v>110</v>
      </c>
      <c r="B409">
        <v>2024</v>
      </c>
      <c r="C409" s="8">
        <f>'1_Du_lieu'!F465</f>
        <v>13</v>
      </c>
      <c r="D409" s="8">
        <f>'1_Du_lieu'!G465</f>
        <v>19</v>
      </c>
      <c r="E409" s="8">
        <f>'1_Du_lieu'!H465</f>
        <v>10</v>
      </c>
      <c r="F409" s="16">
        <v>0</v>
      </c>
      <c r="G409" s="6">
        <f t="shared" si="127"/>
        <v>2.6</v>
      </c>
      <c r="H409" s="6">
        <f t="shared" si="128"/>
        <v>7.6000000000000005</v>
      </c>
      <c r="I409" s="6">
        <f t="shared" si="129"/>
        <v>4</v>
      </c>
      <c r="J409" s="6">
        <f t="shared" si="130"/>
        <v>0</v>
      </c>
      <c r="K409" s="6">
        <f t="shared" si="126"/>
        <v>14.200000000000001</v>
      </c>
      <c r="L409" s="9">
        <f t="shared" si="131"/>
        <v>0.15517241379310345</v>
      </c>
      <c r="M409" s="9">
        <f t="shared" si="132"/>
        <v>0.17241379310344829</v>
      </c>
      <c r="N409" s="9">
        <f t="shared" si="133"/>
        <v>0.17241379310344829</v>
      </c>
      <c r="O409" s="9">
        <f t="shared" si="134"/>
        <v>0.16379310344827586</v>
      </c>
      <c r="P409" s="17"/>
    </row>
    <row r="410" spans="1:16" x14ac:dyDescent="0.25">
      <c r="A410" t="s">
        <v>111</v>
      </c>
      <c r="B410">
        <v>2024</v>
      </c>
      <c r="C410" s="8">
        <f>'1_Du_lieu'!F466</f>
        <v>32</v>
      </c>
      <c r="D410" s="8">
        <f>'1_Du_lieu'!G466</f>
        <v>28</v>
      </c>
      <c r="E410" s="8">
        <f>'1_Du_lieu'!H466</f>
        <v>23</v>
      </c>
      <c r="F410" s="16">
        <v>0</v>
      </c>
      <c r="G410" s="6">
        <f t="shared" si="127"/>
        <v>6.4</v>
      </c>
      <c r="H410" s="6">
        <f t="shared" si="128"/>
        <v>11.200000000000001</v>
      </c>
      <c r="I410" s="6">
        <f t="shared" si="129"/>
        <v>9.2000000000000011</v>
      </c>
      <c r="J410" s="6">
        <f t="shared" si="130"/>
        <v>0</v>
      </c>
      <c r="K410" s="6">
        <f t="shared" si="126"/>
        <v>26.800000000000004</v>
      </c>
      <c r="L410" s="9">
        <f t="shared" si="131"/>
        <v>0.84482758620689657</v>
      </c>
      <c r="M410" s="9">
        <f t="shared" si="132"/>
        <v>0.86206896551724133</v>
      </c>
      <c r="N410" s="9">
        <f t="shared" si="133"/>
        <v>0.80172413793103448</v>
      </c>
      <c r="O410" s="9">
        <f t="shared" si="134"/>
        <v>0.81034482758620685</v>
      </c>
      <c r="P410" s="17"/>
    </row>
    <row r="411" spans="1:16" x14ac:dyDescent="0.25">
      <c r="A411" t="s">
        <v>112</v>
      </c>
      <c r="B411">
        <v>2024</v>
      </c>
      <c r="C411" s="8">
        <f>'1_Du_lieu'!F467</f>
        <v>23</v>
      </c>
      <c r="D411" s="8">
        <f>'1_Du_lieu'!G467</f>
        <v>27</v>
      </c>
      <c r="E411" s="8">
        <f>'1_Du_lieu'!H467</f>
        <v>15</v>
      </c>
      <c r="F411" s="16">
        <v>0</v>
      </c>
      <c r="G411" s="6">
        <f t="shared" si="127"/>
        <v>4.6000000000000005</v>
      </c>
      <c r="H411" s="6">
        <f t="shared" si="128"/>
        <v>10.8</v>
      </c>
      <c r="I411" s="6">
        <f t="shared" si="129"/>
        <v>6</v>
      </c>
      <c r="J411" s="6">
        <f t="shared" si="130"/>
        <v>0</v>
      </c>
      <c r="K411" s="6">
        <f t="shared" si="126"/>
        <v>21.400000000000002</v>
      </c>
      <c r="L411" s="9">
        <f t="shared" si="131"/>
        <v>0.57758620689655171</v>
      </c>
      <c r="M411" s="9">
        <f t="shared" si="132"/>
        <v>0.61206896551724133</v>
      </c>
      <c r="N411" s="9">
        <f t="shared" si="133"/>
        <v>0.74137931034482762</v>
      </c>
      <c r="O411" s="9">
        <f t="shared" si="134"/>
        <v>0.52586206896551724</v>
      </c>
      <c r="P411" s="17"/>
    </row>
    <row r="412" spans="1:16" x14ac:dyDescent="0.25">
      <c r="A412" t="s">
        <v>113</v>
      </c>
      <c r="B412">
        <v>2024</v>
      </c>
      <c r="C412" s="8">
        <f>'1_Du_lieu'!F468</f>
        <v>40</v>
      </c>
      <c r="D412" s="8">
        <f>'1_Du_lieu'!G468</f>
        <v>34</v>
      </c>
      <c r="E412" s="8">
        <f>'1_Du_lieu'!H468</f>
        <v>36</v>
      </c>
      <c r="F412" s="16">
        <v>0</v>
      </c>
      <c r="G412" s="6">
        <f t="shared" si="127"/>
        <v>8</v>
      </c>
      <c r="H412" s="6">
        <f t="shared" si="128"/>
        <v>13.600000000000001</v>
      </c>
      <c r="I412" s="6">
        <f t="shared" si="129"/>
        <v>14.4</v>
      </c>
      <c r="J412" s="6">
        <f t="shared" si="130"/>
        <v>0</v>
      </c>
      <c r="K412" s="6">
        <f t="shared" si="126"/>
        <v>36</v>
      </c>
      <c r="L412" s="9">
        <f t="shared" si="131"/>
        <v>0.93103448275862066</v>
      </c>
      <c r="M412" s="9">
        <f t="shared" si="132"/>
        <v>0.94827586206896552</v>
      </c>
      <c r="N412" s="9">
        <f t="shared" si="133"/>
        <v>0.93103448275862066</v>
      </c>
      <c r="O412" s="9">
        <f t="shared" si="134"/>
        <v>0.93103448275862066</v>
      </c>
      <c r="P412" s="17"/>
    </row>
    <row r="413" spans="1:16" x14ac:dyDescent="0.25">
      <c r="A413" t="s">
        <v>114</v>
      </c>
      <c r="B413">
        <v>2024</v>
      </c>
      <c r="C413" s="8">
        <f>'1_Du_lieu'!F469</f>
        <v>13</v>
      </c>
      <c r="D413" s="8">
        <f>'1_Du_lieu'!G469</f>
        <v>20</v>
      </c>
      <c r="E413" s="8">
        <f>'1_Du_lieu'!H469</f>
        <v>10</v>
      </c>
      <c r="F413" s="16">
        <v>0</v>
      </c>
      <c r="G413" s="6">
        <f t="shared" si="127"/>
        <v>2.6</v>
      </c>
      <c r="H413" s="6">
        <f t="shared" si="128"/>
        <v>8</v>
      </c>
      <c r="I413" s="6">
        <f t="shared" si="129"/>
        <v>4</v>
      </c>
      <c r="J413" s="6">
        <f t="shared" si="130"/>
        <v>0</v>
      </c>
      <c r="K413" s="6">
        <f t="shared" si="126"/>
        <v>14.6</v>
      </c>
      <c r="L413" s="9">
        <f t="shared" si="131"/>
        <v>0.20689655172413793</v>
      </c>
      <c r="M413" s="9">
        <f t="shared" si="132"/>
        <v>0.17241379310344829</v>
      </c>
      <c r="N413" s="9">
        <f t="shared" si="133"/>
        <v>0.21551724137931033</v>
      </c>
      <c r="O413" s="9">
        <f t="shared" si="134"/>
        <v>0.16379310344827586</v>
      </c>
      <c r="P413" s="17"/>
    </row>
    <row r="414" spans="1:16" x14ac:dyDescent="0.25">
      <c r="A414" t="s">
        <v>115</v>
      </c>
      <c r="B414">
        <v>2024</v>
      </c>
      <c r="C414" s="8">
        <f>'1_Du_lieu'!F470</f>
        <v>35</v>
      </c>
      <c r="D414" s="8">
        <f>'1_Du_lieu'!G470</f>
        <v>22</v>
      </c>
      <c r="E414" s="8">
        <f>'1_Du_lieu'!H470</f>
        <v>22</v>
      </c>
      <c r="F414" s="16">
        <v>0</v>
      </c>
      <c r="G414" s="6">
        <f t="shared" si="127"/>
        <v>7</v>
      </c>
      <c r="H414" s="6">
        <f t="shared" si="128"/>
        <v>8.8000000000000007</v>
      </c>
      <c r="I414" s="6">
        <f t="shared" si="129"/>
        <v>8.8000000000000007</v>
      </c>
      <c r="J414" s="6">
        <f t="shared" si="130"/>
        <v>0</v>
      </c>
      <c r="K414" s="6">
        <f t="shared" si="126"/>
        <v>24.6</v>
      </c>
      <c r="L414" s="9">
        <f t="shared" si="131"/>
        <v>0.77586206896551724</v>
      </c>
      <c r="M414" s="9">
        <f t="shared" si="132"/>
        <v>0.88793103448275867</v>
      </c>
      <c r="N414" s="9">
        <f t="shared" si="133"/>
        <v>0.36206896551724138</v>
      </c>
      <c r="O414" s="9">
        <f t="shared" si="134"/>
        <v>0.75862068965517238</v>
      </c>
      <c r="P414" s="17"/>
    </row>
    <row r="415" spans="1:16" x14ac:dyDescent="0.25">
      <c r="A415" t="s">
        <v>116</v>
      </c>
      <c r="B415">
        <v>2024</v>
      </c>
      <c r="C415" s="8">
        <f>'1_Du_lieu'!F471</f>
        <v>15</v>
      </c>
      <c r="D415" s="8">
        <f>'1_Du_lieu'!G471</f>
        <v>24</v>
      </c>
      <c r="E415" s="8">
        <f>'1_Du_lieu'!H471</f>
        <v>12</v>
      </c>
      <c r="F415" s="16">
        <v>0</v>
      </c>
      <c r="G415" s="6">
        <f t="shared" si="127"/>
        <v>3</v>
      </c>
      <c r="H415" s="6">
        <f t="shared" si="128"/>
        <v>9.6000000000000014</v>
      </c>
      <c r="I415" s="6">
        <f t="shared" si="129"/>
        <v>4.8000000000000007</v>
      </c>
      <c r="J415" s="6">
        <f t="shared" si="130"/>
        <v>0</v>
      </c>
      <c r="K415" s="6">
        <f t="shared" si="126"/>
        <v>17.400000000000002</v>
      </c>
      <c r="L415" s="9">
        <f t="shared" si="131"/>
        <v>0.39655172413793105</v>
      </c>
      <c r="M415" s="9">
        <f t="shared" si="132"/>
        <v>0.27586206896551724</v>
      </c>
      <c r="N415" s="9">
        <f t="shared" si="133"/>
        <v>0.53448275862068961</v>
      </c>
      <c r="O415" s="9">
        <f t="shared" si="134"/>
        <v>0.30172413793103448</v>
      </c>
      <c r="P415" s="17"/>
    </row>
    <row r="416" spans="1:16" x14ac:dyDescent="0.25">
      <c r="A416" t="s">
        <v>117</v>
      </c>
      <c r="B416">
        <v>2024</v>
      </c>
      <c r="C416" s="8">
        <f>'1_Du_lieu'!F472</f>
        <v>12</v>
      </c>
      <c r="D416" s="8">
        <f>'1_Du_lieu'!G472</f>
        <v>17</v>
      </c>
      <c r="E416" s="8">
        <f>'1_Du_lieu'!H472</f>
        <v>10</v>
      </c>
      <c r="F416" s="16">
        <v>0</v>
      </c>
      <c r="G416" s="6">
        <f t="shared" si="127"/>
        <v>2.4000000000000004</v>
      </c>
      <c r="H416" s="6">
        <f t="shared" si="128"/>
        <v>6.8000000000000007</v>
      </c>
      <c r="I416" s="6">
        <f t="shared" si="129"/>
        <v>4</v>
      </c>
      <c r="J416" s="6">
        <f t="shared" si="130"/>
        <v>0</v>
      </c>
      <c r="K416" s="6">
        <f t="shared" si="126"/>
        <v>13.200000000000001</v>
      </c>
      <c r="L416" s="9">
        <f t="shared" si="131"/>
        <v>7.7586206896551727E-2</v>
      </c>
      <c r="M416" s="9">
        <f t="shared" si="132"/>
        <v>0.1206896551724138</v>
      </c>
      <c r="N416" s="9">
        <f t="shared" si="133"/>
        <v>0.11206896551724138</v>
      </c>
      <c r="O416" s="9">
        <f t="shared" si="134"/>
        <v>0.16379310344827586</v>
      </c>
      <c r="P416" s="17"/>
    </row>
    <row r="417" spans="1:16" x14ac:dyDescent="0.25">
      <c r="A417" t="s">
        <v>119</v>
      </c>
      <c r="B417">
        <v>2024</v>
      </c>
      <c r="C417" s="8">
        <f>'1_Du_lieu'!F474</f>
        <v>26</v>
      </c>
      <c r="D417" s="8">
        <f>'1_Du_lieu'!G474</f>
        <v>22</v>
      </c>
      <c r="E417" s="8">
        <f>'1_Du_lieu'!H474</f>
        <v>20</v>
      </c>
      <c r="F417" s="16">
        <v>0</v>
      </c>
      <c r="G417" s="6">
        <f t="shared" si="127"/>
        <v>5.2</v>
      </c>
      <c r="H417" s="6">
        <f t="shared" si="128"/>
        <v>8.8000000000000007</v>
      </c>
      <c r="I417" s="6">
        <f t="shared" si="129"/>
        <v>8</v>
      </c>
      <c r="J417" s="6">
        <f t="shared" si="130"/>
        <v>0</v>
      </c>
      <c r="K417" s="6">
        <f t="shared" si="126"/>
        <v>22</v>
      </c>
      <c r="L417" s="9">
        <f t="shared" si="131"/>
        <v>0.62068965517241381</v>
      </c>
      <c r="M417" s="9">
        <f t="shared" si="132"/>
        <v>0.69827586206896552</v>
      </c>
      <c r="N417" s="9">
        <f t="shared" si="133"/>
        <v>0.36206896551724138</v>
      </c>
      <c r="O417" s="9">
        <f t="shared" si="134"/>
        <v>0.7068965517241379</v>
      </c>
      <c r="P417" s="17"/>
    </row>
    <row r="418" spans="1:16" x14ac:dyDescent="0.25">
      <c r="A418" t="s">
        <v>120</v>
      </c>
      <c r="B418">
        <v>2024</v>
      </c>
      <c r="C418" s="8">
        <f>'1_Du_lieu'!F475</f>
        <v>16</v>
      </c>
      <c r="D418" s="8">
        <f>'1_Du_lieu'!G475</f>
        <v>24</v>
      </c>
      <c r="E418" s="8">
        <f>'1_Du_lieu'!H475</f>
        <v>18</v>
      </c>
      <c r="F418" s="16">
        <v>0</v>
      </c>
      <c r="G418" s="6">
        <f t="shared" si="127"/>
        <v>3.2</v>
      </c>
      <c r="H418" s="6">
        <f t="shared" si="128"/>
        <v>9.6000000000000014</v>
      </c>
      <c r="I418" s="6">
        <f t="shared" si="129"/>
        <v>7.2</v>
      </c>
      <c r="J418" s="6">
        <f t="shared" si="130"/>
        <v>0</v>
      </c>
      <c r="K418" s="6">
        <f t="shared" si="126"/>
        <v>20</v>
      </c>
      <c r="L418" s="9">
        <f t="shared" si="131"/>
        <v>0.5</v>
      </c>
      <c r="M418" s="9">
        <f t="shared" si="132"/>
        <v>0.34482758620689657</v>
      </c>
      <c r="N418" s="9">
        <f t="shared" si="133"/>
        <v>0.53448275862068961</v>
      </c>
      <c r="O418" s="9">
        <f t="shared" si="134"/>
        <v>0.65517241379310343</v>
      </c>
      <c r="P418" s="17"/>
    </row>
    <row r="419" spans="1:16" x14ac:dyDescent="0.25">
      <c r="A419" t="s">
        <v>121</v>
      </c>
      <c r="B419">
        <v>2024</v>
      </c>
      <c r="C419" s="8">
        <f>'1_Du_lieu'!F476</f>
        <v>28</v>
      </c>
      <c r="D419" s="8">
        <f>'1_Du_lieu'!G476</f>
        <v>24</v>
      </c>
      <c r="E419" s="8">
        <f>'1_Du_lieu'!H476</f>
        <v>26</v>
      </c>
      <c r="F419" s="16">
        <v>0</v>
      </c>
      <c r="G419" s="6">
        <f t="shared" si="127"/>
        <v>5.6000000000000005</v>
      </c>
      <c r="H419" s="6">
        <f t="shared" si="128"/>
        <v>9.6000000000000014</v>
      </c>
      <c r="I419" s="6">
        <f t="shared" si="129"/>
        <v>10.4</v>
      </c>
      <c r="J419" s="6">
        <f t="shared" si="130"/>
        <v>0</v>
      </c>
      <c r="K419" s="6">
        <f t="shared" si="126"/>
        <v>25.6</v>
      </c>
      <c r="L419" s="9">
        <f t="shared" si="131"/>
        <v>0.7931034482758621</v>
      </c>
      <c r="M419" s="9">
        <f t="shared" si="132"/>
        <v>0.78448275862068961</v>
      </c>
      <c r="N419" s="9">
        <f t="shared" si="133"/>
        <v>0.53448275862068961</v>
      </c>
      <c r="O419" s="9">
        <f t="shared" si="134"/>
        <v>0.89655172413793105</v>
      </c>
      <c r="P419" s="17"/>
    </row>
    <row r="420" spans="1:16" x14ac:dyDescent="0.25">
      <c r="A420" t="s">
        <v>122</v>
      </c>
      <c r="B420">
        <v>2024</v>
      </c>
      <c r="C420" s="8">
        <f>'1_Du_lieu'!F477</f>
        <v>12</v>
      </c>
      <c r="D420" s="8">
        <f>'1_Du_lieu'!G477</f>
        <v>17</v>
      </c>
      <c r="E420" s="8">
        <f>'1_Du_lieu'!H477</f>
        <v>9</v>
      </c>
      <c r="F420" s="16">
        <v>0</v>
      </c>
      <c r="G420" s="6">
        <f t="shared" si="127"/>
        <v>2.4000000000000004</v>
      </c>
      <c r="H420" s="6">
        <f t="shared" si="128"/>
        <v>6.8000000000000007</v>
      </c>
      <c r="I420" s="6">
        <f t="shared" si="129"/>
        <v>3.6</v>
      </c>
      <c r="J420" s="6">
        <f t="shared" si="130"/>
        <v>0</v>
      </c>
      <c r="K420" s="6">
        <f t="shared" si="126"/>
        <v>12.8</v>
      </c>
      <c r="L420" s="9">
        <f t="shared" si="131"/>
        <v>4.3103448275862072E-2</v>
      </c>
      <c r="M420" s="9">
        <f t="shared" si="132"/>
        <v>0.1206896551724138</v>
      </c>
      <c r="N420" s="9">
        <f t="shared" si="133"/>
        <v>0.11206896551724138</v>
      </c>
      <c r="O420" s="9">
        <f t="shared" si="134"/>
        <v>0.11206896551724138</v>
      </c>
      <c r="P420" s="17"/>
    </row>
    <row r="421" spans="1:16" x14ac:dyDescent="0.25">
      <c r="A421" t="s">
        <v>123</v>
      </c>
      <c r="B421">
        <v>2024</v>
      </c>
      <c r="C421" s="8">
        <f>'1_Du_lieu'!F478</f>
        <v>29</v>
      </c>
      <c r="D421" s="8">
        <f>'1_Du_lieu'!G478</f>
        <v>31</v>
      </c>
      <c r="E421" s="8">
        <f>'1_Du_lieu'!H478</f>
        <v>19</v>
      </c>
      <c r="F421" s="16">
        <v>0</v>
      </c>
      <c r="G421" s="6">
        <f t="shared" si="127"/>
        <v>5.8000000000000007</v>
      </c>
      <c r="H421" s="6">
        <f t="shared" si="128"/>
        <v>12.4</v>
      </c>
      <c r="I421" s="6">
        <f t="shared" si="129"/>
        <v>7.6000000000000005</v>
      </c>
      <c r="J421" s="6">
        <f t="shared" si="130"/>
        <v>0</v>
      </c>
      <c r="K421" s="6">
        <f t="shared" si="126"/>
        <v>25.800000000000004</v>
      </c>
      <c r="L421" s="9">
        <f t="shared" si="131"/>
        <v>0.81034482758620685</v>
      </c>
      <c r="M421" s="9">
        <f t="shared" si="132"/>
        <v>0.81896551724137934</v>
      </c>
      <c r="N421" s="9">
        <f t="shared" si="133"/>
        <v>0.87931034482758619</v>
      </c>
      <c r="O421" s="9">
        <f t="shared" si="134"/>
        <v>0.68103448275862066</v>
      </c>
      <c r="P421" s="17"/>
    </row>
    <row r="422" spans="1:16" x14ac:dyDescent="0.25">
      <c r="A422" t="s">
        <v>124</v>
      </c>
      <c r="B422">
        <v>2024</v>
      </c>
      <c r="C422" s="8">
        <f>'1_Du_lieu'!F479</f>
        <v>20</v>
      </c>
      <c r="D422" s="8">
        <f>'1_Du_lieu'!G479</f>
        <v>22</v>
      </c>
      <c r="E422" s="8">
        <f>'1_Du_lieu'!H479</f>
        <v>24</v>
      </c>
      <c r="F422" s="16">
        <v>0</v>
      </c>
      <c r="G422" s="6">
        <f t="shared" si="127"/>
        <v>4</v>
      </c>
      <c r="H422" s="6">
        <f t="shared" si="128"/>
        <v>8.8000000000000007</v>
      </c>
      <c r="I422" s="6">
        <f t="shared" si="129"/>
        <v>9.6000000000000014</v>
      </c>
      <c r="J422" s="6">
        <f t="shared" si="130"/>
        <v>0</v>
      </c>
      <c r="K422" s="6">
        <f t="shared" si="126"/>
        <v>22.400000000000002</v>
      </c>
      <c r="L422" s="9">
        <f t="shared" si="131"/>
        <v>0.67241379310344829</v>
      </c>
      <c r="M422" s="9">
        <f t="shared" si="132"/>
        <v>0.48275862068965519</v>
      </c>
      <c r="N422" s="9">
        <f t="shared" si="133"/>
        <v>0.36206896551724138</v>
      </c>
      <c r="O422" s="9">
        <f t="shared" si="134"/>
        <v>0.85344827586206895</v>
      </c>
      <c r="P422" s="17"/>
    </row>
    <row r="423" spans="1:16" x14ac:dyDescent="0.25">
      <c r="A423" t="s">
        <v>125</v>
      </c>
      <c r="B423">
        <v>2024</v>
      </c>
      <c r="C423" s="8">
        <f>'1_Du_lieu'!F480</f>
        <v>24</v>
      </c>
      <c r="D423" s="8">
        <f>'1_Du_lieu'!G480</f>
        <v>27</v>
      </c>
      <c r="E423" s="8">
        <f>'1_Du_lieu'!H480</f>
        <v>21</v>
      </c>
      <c r="F423" s="16">
        <v>0</v>
      </c>
      <c r="G423" s="6">
        <f t="shared" si="127"/>
        <v>4.8000000000000007</v>
      </c>
      <c r="H423" s="6">
        <f t="shared" si="128"/>
        <v>10.8</v>
      </c>
      <c r="I423" s="6">
        <f t="shared" si="129"/>
        <v>8.4</v>
      </c>
      <c r="J423" s="6">
        <f t="shared" si="130"/>
        <v>0</v>
      </c>
      <c r="K423" s="6">
        <f t="shared" si="126"/>
        <v>24</v>
      </c>
      <c r="L423" s="9">
        <f t="shared" si="131"/>
        <v>0.74137931034482762</v>
      </c>
      <c r="M423" s="9">
        <f t="shared" si="132"/>
        <v>0.64655172413793105</v>
      </c>
      <c r="N423" s="9">
        <f t="shared" si="133"/>
        <v>0.74137931034482762</v>
      </c>
      <c r="O423" s="9">
        <f t="shared" si="134"/>
        <v>0.72413793103448276</v>
      </c>
      <c r="P423" s="17"/>
    </row>
    <row r="424" spans="1:16" x14ac:dyDescent="0.25">
      <c r="A424" t="s">
        <v>126</v>
      </c>
      <c r="B424">
        <v>2024</v>
      </c>
      <c r="C424" s="8">
        <f>'1_Du_lieu'!F481</f>
        <v>20</v>
      </c>
      <c r="D424" s="8">
        <f>'1_Du_lieu'!G481</f>
        <v>18</v>
      </c>
      <c r="E424" s="8">
        <f>'1_Du_lieu'!H481</f>
        <v>13</v>
      </c>
      <c r="F424" s="16">
        <v>0</v>
      </c>
      <c r="G424" s="6">
        <f t="shared" ref="G424:G449" si="135">C424*$AC$11</f>
        <v>4</v>
      </c>
      <c r="H424" s="6">
        <f t="shared" ref="H424:H449" si="136">D424*$AD$11</f>
        <v>7.2</v>
      </c>
      <c r="I424" s="6">
        <f t="shared" ref="I424:I449" si="137">E424*$AE$11</f>
        <v>5.2</v>
      </c>
      <c r="J424" s="6">
        <f t="shared" ref="J424:J449" si="138">F424*$AF$11</f>
        <v>0</v>
      </c>
      <c r="K424" s="6">
        <f t="shared" si="126"/>
        <v>16.399999999999999</v>
      </c>
      <c r="L424" s="9">
        <f t="shared" ref="L424:L455" si="139">_xlfn.RANK.AVG(K424,$K$392:$K$449,1)/58</f>
        <v>0.31034482758620691</v>
      </c>
      <c r="M424" s="9">
        <f t="shared" ref="M424:M449" si="140">_xlfn.RANK.AVG(G424,$G$392:$G$449,1)/58</f>
        <v>0.48275862068965519</v>
      </c>
      <c r="N424" s="9">
        <f t="shared" ref="N424:N449" si="141">_xlfn.RANK.AVG(H424,$H$392:$H$449,1)/58</f>
        <v>0.14655172413793102</v>
      </c>
      <c r="O424" s="9">
        <f t="shared" ref="O424:O449" si="142">_xlfn.RANK.AVG(I424,$I$392:$I$449,1)/58</f>
        <v>0.35344827586206895</v>
      </c>
      <c r="P424" s="17"/>
    </row>
    <row r="425" spans="1:16" x14ac:dyDescent="0.25">
      <c r="A425" t="s">
        <v>127</v>
      </c>
      <c r="B425">
        <v>2024</v>
      </c>
      <c r="C425" s="8">
        <f>'1_Du_lieu'!F482</f>
        <v>20</v>
      </c>
      <c r="D425" s="8">
        <f>'1_Du_lieu'!G482</f>
        <v>26</v>
      </c>
      <c r="E425" s="8">
        <f>'1_Du_lieu'!H482</f>
        <v>16</v>
      </c>
      <c r="F425" s="16">
        <v>0</v>
      </c>
      <c r="G425" s="6">
        <f t="shared" si="135"/>
        <v>4</v>
      </c>
      <c r="H425" s="6">
        <f t="shared" si="136"/>
        <v>10.4</v>
      </c>
      <c r="I425" s="6">
        <f t="shared" si="137"/>
        <v>6.4</v>
      </c>
      <c r="J425" s="6">
        <f t="shared" si="138"/>
        <v>0</v>
      </c>
      <c r="K425" s="6">
        <f t="shared" si="126"/>
        <v>20.8</v>
      </c>
      <c r="L425" s="9">
        <f t="shared" si="139"/>
        <v>0.55172413793103448</v>
      </c>
      <c r="M425" s="9">
        <f t="shared" si="140"/>
        <v>0.48275862068965519</v>
      </c>
      <c r="N425" s="9">
        <f t="shared" si="141"/>
        <v>0.65517241379310343</v>
      </c>
      <c r="O425" s="9">
        <f t="shared" si="142"/>
        <v>0.60344827586206895</v>
      </c>
      <c r="P425" s="17"/>
    </row>
    <row r="426" spans="1:16" x14ac:dyDescent="0.25">
      <c r="A426" t="s">
        <v>128</v>
      </c>
      <c r="B426">
        <v>2024</v>
      </c>
      <c r="C426" s="8">
        <f>'1_Du_lieu'!F483</f>
        <v>18</v>
      </c>
      <c r="D426" s="8">
        <f>'1_Du_lieu'!G483</f>
        <v>20</v>
      </c>
      <c r="E426" s="8">
        <f>'1_Du_lieu'!H483</f>
        <v>11</v>
      </c>
      <c r="F426" s="16">
        <v>0</v>
      </c>
      <c r="G426" s="6">
        <f t="shared" si="135"/>
        <v>3.6</v>
      </c>
      <c r="H426" s="6">
        <f t="shared" si="136"/>
        <v>8</v>
      </c>
      <c r="I426" s="6">
        <f t="shared" si="137"/>
        <v>4.4000000000000004</v>
      </c>
      <c r="J426" s="6">
        <f t="shared" si="138"/>
        <v>0</v>
      </c>
      <c r="K426" s="6">
        <f t="shared" si="126"/>
        <v>16</v>
      </c>
      <c r="L426" s="9">
        <f t="shared" si="139"/>
        <v>0.25</v>
      </c>
      <c r="M426" s="9">
        <f t="shared" si="140"/>
        <v>0.41379310344827586</v>
      </c>
      <c r="N426" s="9">
        <f t="shared" si="141"/>
        <v>0.21551724137931033</v>
      </c>
      <c r="O426" s="9">
        <f t="shared" si="142"/>
        <v>0.2413793103448276</v>
      </c>
      <c r="P426" s="17"/>
    </row>
    <row r="427" spans="1:16" x14ac:dyDescent="0.25">
      <c r="A427" t="s">
        <v>129</v>
      </c>
      <c r="B427">
        <v>2024</v>
      </c>
      <c r="C427" s="8">
        <f>'1_Du_lieu'!F484</f>
        <v>15</v>
      </c>
      <c r="D427" s="8">
        <f>'1_Du_lieu'!G484</f>
        <v>21</v>
      </c>
      <c r="E427" s="8">
        <f>'1_Du_lieu'!H484</f>
        <v>14</v>
      </c>
      <c r="F427" s="16">
        <v>0</v>
      </c>
      <c r="G427" s="6">
        <f t="shared" si="135"/>
        <v>3</v>
      </c>
      <c r="H427" s="6">
        <f t="shared" si="136"/>
        <v>8.4</v>
      </c>
      <c r="I427" s="6">
        <f t="shared" si="137"/>
        <v>5.6000000000000005</v>
      </c>
      <c r="J427" s="6">
        <f t="shared" si="138"/>
        <v>0</v>
      </c>
      <c r="K427" s="6">
        <f t="shared" si="126"/>
        <v>17</v>
      </c>
      <c r="L427" s="9">
        <f t="shared" si="139"/>
        <v>0.35344827586206895</v>
      </c>
      <c r="M427" s="9">
        <f t="shared" si="140"/>
        <v>0.27586206896551724</v>
      </c>
      <c r="N427" s="9">
        <f t="shared" si="141"/>
        <v>0.27586206896551724</v>
      </c>
      <c r="O427" s="9">
        <f t="shared" si="142"/>
        <v>0.43103448275862066</v>
      </c>
      <c r="P427" s="17"/>
    </row>
    <row r="428" spans="1:16" x14ac:dyDescent="0.25">
      <c r="A428" t="s">
        <v>130</v>
      </c>
      <c r="B428">
        <v>2024</v>
      </c>
      <c r="C428" s="8">
        <f>'1_Du_lieu'!F485</f>
        <v>25</v>
      </c>
      <c r="D428" s="8">
        <f>'1_Du_lieu'!G485</f>
        <v>23</v>
      </c>
      <c r="E428" s="8">
        <f>'1_Du_lieu'!H485</f>
        <v>15</v>
      </c>
      <c r="F428" s="16">
        <v>0</v>
      </c>
      <c r="G428" s="6">
        <f t="shared" si="135"/>
        <v>5</v>
      </c>
      <c r="H428" s="6">
        <f t="shared" si="136"/>
        <v>9.2000000000000011</v>
      </c>
      <c r="I428" s="6">
        <f t="shared" si="137"/>
        <v>6</v>
      </c>
      <c r="J428" s="6">
        <f t="shared" si="138"/>
        <v>0</v>
      </c>
      <c r="K428" s="6">
        <f t="shared" si="126"/>
        <v>20.200000000000003</v>
      </c>
      <c r="L428" s="9">
        <f t="shared" si="139"/>
        <v>0.52586206896551724</v>
      </c>
      <c r="M428" s="9">
        <f t="shared" si="140"/>
        <v>0.67241379310344829</v>
      </c>
      <c r="N428" s="9">
        <f t="shared" si="141"/>
        <v>0.45689655172413796</v>
      </c>
      <c r="O428" s="9">
        <f t="shared" si="142"/>
        <v>0.52586206896551724</v>
      </c>
      <c r="P428" s="17"/>
    </row>
    <row r="429" spans="1:16" x14ac:dyDescent="0.25">
      <c r="A429" t="s">
        <v>131</v>
      </c>
      <c r="B429">
        <v>2024</v>
      </c>
      <c r="C429" s="8">
        <f>'1_Du_lieu'!F486</f>
        <v>20</v>
      </c>
      <c r="D429" s="8">
        <f>'1_Du_lieu'!G486</f>
        <v>22</v>
      </c>
      <c r="E429" s="8">
        <f>'1_Du_lieu'!H486</f>
        <v>11</v>
      </c>
      <c r="F429" s="16">
        <v>0</v>
      </c>
      <c r="G429" s="6">
        <f t="shared" si="135"/>
        <v>4</v>
      </c>
      <c r="H429" s="6">
        <f t="shared" si="136"/>
        <v>8.8000000000000007</v>
      </c>
      <c r="I429" s="6">
        <f t="shared" si="137"/>
        <v>4.4000000000000004</v>
      </c>
      <c r="J429" s="6">
        <f t="shared" si="138"/>
        <v>0</v>
      </c>
      <c r="K429" s="6">
        <f t="shared" si="126"/>
        <v>17.200000000000003</v>
      </c>
      <c r="L429" s="9">
        <f t="shared" si="139"/>
        <v>0.37931034482758619</v>
      </c>
      <c r="M429" s="9">
        <f t="shared" si="140"/>
        <v>0.48275862068965519</v>
      </c>
      <c r="N429" s="9">
        <f t="shared" si="141"/>
        <v>0.36206896551724138</v>
      </c>
      <c r="O429" s="9">
        <f t="shared" si="142"/>
        <v>0.2413793103448276</v>
      </c>
      <c r="P429" s="17"/>
    </row>
    <row r="430" spans="1:16" x14ac:dyDescent="0.25">
      <c r="A430" t="s">
        <v>132</v>
      </c>
      <c r="B430">
        <v>2024</v>
      </c>
      <c r="C430" s="8">
        <f>'1_Du_lieu'!F487</f>
        <v>27</v>
      </c>
      <c r="D430" s="8">
        <f>'1_Du_lieu'!G487</f>
        <v>29</v>
      </c>
      <c r="E430" s="8">
        <f>'1_Du_lieu'!H487</f>
        <v>23</v>
      </c>
      <c r="F430" s="16">
        <v>0</v>
      </c>
      <c r="G430" s="6">
        <f t="shared" si="135"/>
        <v>5.4</v>
      </c>
      <c r="H430" s="6">
        <f t="shared" si="136"/>
        <v>11.600000000000001</v>
      </c>
      <c r="I430" s="6">
        <f t="shared" si="137"/>
        <v>9.2000000000000011</v>
      </c>
      <c r="J430" s="6">
        <f t="shared" si="138"/>
        <v>0</v>
      </c>
      <c r="K430" s="6">
        <f t="shared" si="126"/>
        <v>26.200000000000003</v>
      </c>
      <c r="L430" s="9">
        <f t="shared" si="139"/>
        <v>0.82758620689655171</v>
      </c>
      <c r="M430" s="9">
        <f t="shared" si="140"/>
        <v>0.74137931034482762</v>
      </c>
      <c r="N430" s="9">
        <f t="shared" si="141"/>
        <v>0.83620689655172409</v>
      </c>
      <c r="O430" s="9">
        <f t="shared" si="142"/>
        <v>0.81034482758620685</v>
      </c>
      <c r="P430" s="17"/>
    </row>
    <row r="431" spans="1:16" x14ac:dyDescent="0.25">
      <c r="A431" t="s">
        <v>133</v>
      </c>
      <c r="B431">
        <v>2024</v>
      </c>
      <c r="C431" s="8">
        <f>'1_Du_lieu'!F488</f>
        <v>15</v>
      </c>
      <c r="D431" s="8">
        <f>'1_Du_lieu'!G488</f>
        <v>21</v>
      </c>
      <c r="E431" s="8">
        <f>'1_Du_lieu'!H488</f>
        <v>14</v>
      </c>
      <c r="F431" s="16">
        <v>0</v>
      </c>
      <c r="G431" s="6">
        <f t="shared" si="135"/>
        <v>3</v>
      </c>
      <c r="H431" s="6">
        <f t="shared" si="136"/>
        <v>8.4</v>
      </c>
      <c r="I431" s="6">
        <f t="shared" si="137"/>
        <v>5.6000000000000005</v>
      </c>
      <c r="J431" s="6">
        <f t="shared" si="138"/>
        <v>0</v>
      </c>
      <c r="K431" s="6">
        <f t="shared" si="126"/>
        <v>17</v>
      </c>
      <c r="L431" s="9">
        <f t="shared" si="139"/>
        <v>0.35344827586206895</v>
      </c>
      <c r="M431" s="9">
        <f t="shared" si="140"/>
        <v>0.27586206896551724</v>
      </c>
      <c r="N431" s="9">
        <f t="shared" si="141"/>
        <v>0.27586206896551724</v>
      </c>
      <c r="O431" s="9">
        <f t="shared" si="142"/>
        <v>0.43103448275862066</v>
      </c>
      <c r="P431" s="17"/>
    </row>
    <row r="432" spans="1:16" x14ac:dyDescent="0.25">
      <c r="A432" t="s">
        <v>134</v>
      </c>
      <c r="B432">
        <v>2024</v>
      </c>
      <c r="C432" s="8">
        <f>'1_Du_lieu'!F489</f>
        <v>11</v>
      </c>
      <c r="D432" s="8">
        <f>'1_Du_lieu'!G489</f>
        <v>22</v>
      </c>
      <c r="E432" s="8">
        <f>'1_Du_lieu'!H489</f>
        <v>8</v>
      </c>
      <c r="F432" s="16">
        <v>0</v>
      </c>
      <c r="G432" s="6">
        <f t="shared" si="135"/>
        <v>2.2000000000000002</v>
      </c>
      <c r="H432" s="6">
        <f t="shared" si="136"/>
        <v>8.8000000000000007</v>
      </c>
      <c r="I432" s="6">
        <f t="shared" si="137"/>
        <v>3.2</v>
      </c>
      <c r="J432" s="6">
        <f t="shared" si="138"/>
        <v>0</v>
      </c>
      <c r="K432" s="6">
        <f t="shared" si="126"/>
        <v>14.2</v>
      </c>
      <c r="L432" s="9">
        <f t="shared" si="139"/>
        <v>0.13793103448275862</v>
      </c>
      <c r="M432" s="9">
        <f t="shared" si="140"/>
        <v>6.8965517241379309E-2</v>
      </c>
      <c r="N432" s="9">
        <f t="shared" si="141"/>
        <v>0.36206896551724138</v>
      </c>
      <c r="O432" s="9">
        <f t="shared" si="142"/>
        <v>7.7586206896551727E-2</v>
      </c>
      <c r="P432" s="17"/>
    </row>
    <row r="433" spans="1:16" x14ac:dyDescent="0.25">
      <c r="A433" t="s">
        <v>136</v>
      </c>
      <c r="B433">
        <v>2024</v>
      </c>
      <c r="C433" s="8">
        <f>'1_Du_lieu'!F491</f>
        <v>98</v>
      </c>
      <c r="D433" s="8">
        <f>'1_Du_lieu'!G491</f>
        <v>73</v>
      </c>
      <c r="E433" s="8">
        <f>'1_Du_lieu'!H491</f>
        <v>96</v>
      </c>
      <c r="F433" s="16">
        <v>0</v>
      </c>
      <c r="G433" s="6">
        <f t="shared" si="135"/>
        <v>19.600000000000001</v>
      </c>
      <c r="H433" s="6">
        <f t="shared" si="136"/>
        <v>29.200000000000003</v>
      </c>
      <c r="I433" s="6">
        <f t="shared" si="137"/>
        <v>38.400000000000006</v>
      </c>
      <c r="J433" s="6">
        <f t="shared" si="138"/>
        <v>0</v>
      </c>
      <c r="K433" s="6">
        <f t="shared" si="126"/>
        <v>87.200000000000017</v>
      </c>
      <c r="L433" s="9">
        <f t="shared" si="139"/>
        <v>1</v>
      </c>
      <c r="M433" s="9">
        <f t="shared" si="140"/>
        <v>1</v>
      </c>
      <c r="N433" s="9">
        <f t="shared" si="141"/>
        <v>0.98275862068965514</v>
      </c>
      <c r="O433" s="9">
        <f t="shared" si="142"/>
        <v>1</v>
      </c>
      <c r="P433" s="17"/>
    </row>
    <row r="434" spans="1:16" x14ac:dyDescent="0.25">
      <c r="A434" t="s">
        <v>137</v>
      </c>
      <c r="B434">
        <v>2024</v>
      </c>
      <c r="C434" s="8">
        <f>'1_Du_lieu'!F492</f>
        <v>21</v>
      </c>
      <c r="D434" s="8">
        <f>'1_Du_lieu'!G492</f>
        <v>26</v>
      </c>
      <c r="E434" s="8">
        <f>'1_Du_lieu'!H492</f>
        <v>22</v>
      </c>
      <c r="F434" s="16">
        <v>0</v>
      </c>
      <c r="G434" s="6">
        <f t="shared" si="135"/>
        <v>4.2</v>
      </c>
      <c r="H434" s="6">
        <f t="shared" si="136"/>
        <v>10.4</v>
      </c>
      <c r="I434" s="6">
        <f t="shared" si="137"/>
        <v>8.8000000000000007</v>
      </c>
      <c r="J434" s="6">
        <f t="shared" si="138"/>
        <v>0</v>
      </c>
      <c r="K434" s="6">
        <f t="shared" si="126"/>
        <v>23.400000000000002</v>
      </c>
      <c r="L434" s="9">
        <f t="shared" si="139"/>
        <v>0.72413793103448276</v>
      </c>
      <c r="M434" s="9">
        <f t="shared" si="140"/>
        <v>0.5431034482758621</v>
      </c>
      <c r="N434" s="9">
        <f t="shared" si="141"/>
        <v>0.65517241379310343</v>
      </c>
      <c r="O434" s="9">
        <f t="shared" si="142"/>
        <v>0.75862068965517238</v>
      </c>
      <c r="P434" s="17"/>
    </row>
    <row r="435" spans="1:16" x14ac:dyDescent="0.25">
      <c r="A435" t="s">
        <v>138</v>
      </c>
      <c r="B435">
        <v>2024</v>
      </c>
      <c r="C435" s="8">
        <f>'1_Du_lieu'!F493</f>
        <v>26</v>
      </c>
      <c r="D435" s="8">
        <f>'1_Du_lieu'!G493</f>
        <v>26</v>
      </c>
      <c r="E435" s="8">
        <f>'1_Du_lieu'!H493</f>
        <v>15</v>
      </c>
      <c r="F435" s="16">
        <v>0</v>
      </c>
      <c r="G435" s="6">
        <f t="shared" si="135"/>
        <v>5.2</v>
      </c>
      <c r="H435" s="6">
        <f t="shared" si="136"/>
        <v>10.4</v>
      </c>
      <c r="I435" s="6">
        <f t="shared" si="137"/>
        <v>6</v>
      </c>
      <c r="J435" s="6">
        <f t="shared" si="138"/>
        <v>0</v>
      </c>
      <c r="K435" s="6">
        <f t="shared" si="126"/>
        <v>21.6</v>
      </c>
      <c r="L435" s="9">
        <f t="shared" si="139"/>
        <v>0.60344827586206895</v>
      </c>
      <c r="M435" s="9">
        <f t="shared" si="140"/>
        <v>0.69827586206896552</v>
      </c>
      <c r="N435" s="9">
        <f t="shared" si="141"/>
        <v>0.65517241379310343</v>
      </c>
      <c r="O435" s="9">
        <f t="shared" si="142"/>
        <v>0.52586206896551724</v>
      </c>
      <c r="P435" s="17"/>
    </row>
    <row r="436" spans="1:16" x14ac:dyDescent="0.25">
      <c r="A436" t="s">
        <v>139</v>
      </c>
      <c r="B436">
        <v>2024</v>
      </c>
      <c r="C436" s="8">
        <f>'1_Du_lieu'!F494</f>
        <v>21</v>
      </c>
      <c r="D436" s="8">
        <f>'1_Du_lieu'!G494</f>
        <v>26</v>
      </c>
      <c r="E436" s="8">
        <f>'1_Du_lieu'!H494</f>
        <v>14</v>
      </c>
      <c r="F436" s="16">
        <v>0</v>
      </c>
      <c r="G436" s="6">
        <f t="shared" si="135"/>
        <v>4.2</v>
      </c>
      <c r="H436" s="6">
        <f t="shared" si="136"/>
        <v>10.4</v>
      </c>
      <c r="I436" s="6">
        <f t="shared" si="137"/>
        <v>5.6000000000000005</v>
      </c>
      <c r="J436" s="6">
        <f t="shared" si="138"/>
        <v>0</v>
      </c>
      <c r="K436" s="6">
        <f t="shared" si="126"/>
        <v>20.200000000000003</v>
      </c>
      <c r="L436" s="9">
        <f t="shared" si="139"/>
        <v>0.52586206896551724</v>
      </c>
      <c r="M436" s="9">
        <f t="shared" si="140"/>
        <v>0.5431034482758621</v>
      </c>
      <c r="N436" s="9">
        <f t="shared" si="141"/>
        <v>0.65517241379310343</v>
      </c>
      <c r="O436" s="9">
        <f t="shared" si="142"/>
        <v>0.43103448275862066</v>
      </c>
      <c r="P436" s="17"/>
    </row>
    <row r="437" spans="1:16" x14ac:dyDescent="0.25">
      <c r="A437" t="s">
        <v>140</v>
      </c>
      <c r="B437">
        <v>2024</v>
      </c>
      <c r="C437" s="8">
        <f>'1_Du_lieu'!F495</f>
        <v>35</v>
      </c>
      <c r="D437" s="8">
        <f>'1_Du_lieu'!G495</f>
        <v>25</v>
      </c>
      <c r="E437" s="8">
        <f>'1_Du_lieu'!H495</f>
        <v>13</v>
      </c>
      <c r="F437" s="16">
        <v>0</v>
      </c>
      <c r="G437" s="6">
        <f t="shared" si="135"/>
        <v>7</v>
      </c>
      <c r="H437" s="6">
        <f t="shared" si="136"/>
        <v>10</v>
      </c>
      <c r="I437" s="6">
        <f t="shared" si="137"/>
        <v>5.2</v>
      </c>
      <c r="J437" s="6">
        <f t="shared" si="138"/>
        <v>0</v>
      </c>
      <c r="K437" s="6">
        <f t="shared" si="126"/>
        <v>22.2</v>
      </c>
      <c r="L437" s="9">
        <f t="shared" si="139"/>
        <v>0.63793103448275867</v>
      </c>
      <c r="M437" s="9">
        <f t="shared" si="140"/>
        <v>0.88793103448275867</v>
      </c>
      <c r="N437" s="9">
        <f t="shared" si="141"/>
        <v>0.59482758620689657</v>
      </c>
      <c r="O437" s="9">
        <f t="shared" si="142"/>
        <v>0.35344827586206895</v>
      </c>
      <c r="P437" s="17"/>
    </row>
    <row r="438" spans="1:16" x14ac:dyDescent="0.25">
      <c r="A438" t="s">
        <v>141</v>
      </c>
      <c r="B438">
        <v>2024</v>
      </c>
      <c r="C438" s="8">
        <f>'1_Du_lieu'!F496</f>
        <v>16</v>
      </c>
      <c r="D438" s="8">
        <f>'1_Du_lieu'!G496</f>
        <v>23</v>
      </c>
      <c r="E438" s="8">
        <f>'1_Du_lieu'!H496</f>
        <v>11</v>
      </c>
      <c r="F438" s="16">
        <v>0</v>
      </c>
      <c r="G438" s="6">
        <f t="shared" si="135"/>
        <v>3.2</v>
      </c>
      <c r="H438" s="6">
        <f t="shared" si="136"/>
        <v>9.2000000000000011</v>
      </c>
      <c r="I438" s="6">
        <f t="shared" si="137"/>
        <v>4.4000000000000004</v>
      </c>
      <c r="J438" s="6">
        <f t="shared" si="138"/>
        <v>0</v>
      </c>
      <c r="K438" s="6">
        <f t="shared" si="126"/>
        <v>16.800000000000004</v>
      </c>
      <c r="L438" s="9">
        <f t="shared" si="139"/>
        <v>0.32758620689655171</v>
      </c>
      <c r="M438" s="9">
        <f t="shared" si="140"/>
        <v>0.34482758620689657</v>
      </c>
      <c r="N438" s="9">
        <f t="shared" si="141"/>
        <v>0.45689655172413796</v>
      </c>
      <c r="O438" s="9">
        <f t="shared" si="142"/>
        <v>0.2413793103448276</v>
      </c>
      <c r="P438" s="17"/>
    </row>
    <row r="439" spans="1:16" x14ac:dyDescent="0.25">
      <c r="A439" t="s">
        <v>142</v>
      </c>
      <c r="B439">
        <v>2024</v>
      </c>
      <c r="C439" s="8">
        <f>'1_Du_lieu'!F497</f>
        <v>10</v>
      </c>
      <c r="D439" s="8">
        <f>'1_Du_lieu'!G497</f>
        <v>22</v>
      </c>
      <c r="E439" s="8">
        <f>'1_Du_lieu'!H497</f>
        <v>9</v>
      </c>
      <c r="F439" s="16">
        <v>0</v>
      </c>
      <c r="G439" s="6">
        <f t="shared" si="135"/>
        <v>2</v>
      </c>
      <c r="H439" s="6">
        <f t="shared" si="136"/>
        <v>8.8000000000000007</v>
      </c>
      <c r="I439" s="6">
        <f t="shared" si="137"/>
        <v>3.6</v>
      </c>
      <c r="J439" s="6">
        <f t="shared" si="138"/>
        <v>0</v>
      </c>
      <c r="K439" s="6">
        <f t="shared" si="126"/>
        <v>14.4</v>
      </c>
      <c r="L439" s="9">
        <f t="shared" si="139"/>
        <v>0.17241379310344829</v>
      </c>
      <c r="M439" s="9">
        <f t="shared" si="140"/>
        <v>3.4482758620689655E-2</v>
      </c>
      <c r="N439" s="9">
        <f t="shared" si="141"/>
        <v>0.36206896551724138</v>
      </c>
      <c r="O439" s="9">
        <f t="shared" si="142"/>
        <v>0.11206896551724138</v>
      </c>
      <c r="P439" s="17"/>
    </row>
    <row r="440" spans="1:16" x14ac:dyDescent="0.25">
      <c r="A440" t="s">
        <v>143</v>
      </c>
      <c r="B440">
        <v>2024</v>
      </c>
      <c r="C440" s="8">
        <f>'1_Du_lieu'!F498</f>
        <v>16</v>
      </c>
      <c r="D440" s="8">
        <f>'1_Du_lieu'!G498</f>
        <v>18</v>
      </c>
      <c r="E440" s="8">
        <f>'1_Du_lieu'!H498</f>
        <v>7</v>
      </c>
      <c r="F440" s="16">
        <v>0</v>
      </c>
      <c r="G440" s="6">
        <f t="shared" si="135"/>
        <v>3.2</v>
      </c>
      <c r="H440" s="6">
        <f t="shared" si="136"/>
        <v>7.2</v>
      </c>
      <c r="I440" s="6">
        <f t="shared" si="137"/>
        <v>2.8000000000000003</v>
      </c>
      <c r="J440" s="6">
        <f t="shared" si="138"/>
        <v>0</v>
      </c>
      <c r="K440" s="6">
        <f t="shared" si="126"/>
        <v>13.200000000000001</v>
      </c>
      <c r="L440" s="9">
        <f t="shared" si="139"/>
        <v>7.7586206896551727E-2</v>
      </c>
      <c r="M440" s="9">
        <f t="shared" si="140"/>
        <v>0.34482758620689657</v>
      </c>
      <c r="N440" s="9">
        <f t="shared" si="141"/>
        <v>0.14655172413793102</v>
      </c>
      <c r="O440" s="9">
        <f t="shared" si="142"/>
        <v>3.4482758620689655E-2</v>
      </c>
      <c r="P440" s="17"/>
    </row>
    <row r="441" spans="1:16" x14ac:dyDescent="0.25">
      <c r="A441" t="s">
        <v>144</v>
      </c>
      <c r="B441">
        <v>2024</v>
      </c>
      <c r="C441" s="8">
        <f>'1_Du_lieu'!F499</f>
        <v>17</v>
      </c>
      <c r="D441" s="8">
        <f>'1_Du_lieu'!G499</f>
        <v>26</v>
      </c>
      <c r="E441" s="8">
        <f>'1_Du_lieu'!H499</f>
        <v>13</v>
      </c>
      <c r="F441" s="16">
        <v>0</v>
      </c>
      <c r="G441" s="6">
        <f t="shared" si="135"/>
        <v>3.4000000000000004</v>
      </c>
      <c r="H441" s="6">
        <f t="shared" si="136"/>
        <v>10.4</v>
      </c>
      <c r="I441" s="6">
        <f t="shared" si="137"/>
        <v>5.2</v>
      </c>
      <c r="J441" s="6">
        <f t="shared" si="138"/>
        <v>0</v>
      </c>
      <c r="K441" s="6">
        <f t="shared" si="126"/>
        <v>19</v>
      </c>
      <c r="L441" s="9">
        <f t="shared" si="139"/>
        <v>0.46551724137931033</v>
      </c>
      <c r="M441" s="9">
        <f t="shared" si="140"/>
        <v>0.37931034482758619</v>
      </c>
      <c r="N441" s="9">
        <f t="shared" si="141"/>
        <v>0.65517241379310343</v>
      </c>
      <c r="O441" s="9">
        <f t="shared" si="142"/>
        <v>0.35344827586206895</v>
      </c>
      <c r="P441" s="17"/>
    </row>
    <row r="442" spans="1:16" x14ac:dyDescent="0.25">
      <c r="A442" t="s">
        <v>145</v>
      </c>
      <c r="B442">
        <v>2024</v>
      </c>
      <c r="C442" s="8">
        <f>'1_Du_lieu'!F500</f>
        <v>13</v>
      </c>
      <c r="D442" s="8">
        <f>'1_Du_lieu'!G500</f>
        <v>20</v>
      </c>
      <c r="E442" s="8">
        <f>'1_Du_lieu'!H500</f>
        <v>8</v>
      </c>
      <c r="F442" s="16">
        <v>0</v>
      </c>
      <c r="G442" s="6">
        <f t="shared" si="135"/>
        <v>2.6</v>
      </c>
      <c r="H442" s="6">
        <f t="shared" si="136"/>
        <v>8</v>
      </c>
      <c r="I442" s="6">
        <f t="shared" si="137"/>
        <v>3.2</v>
      </c>
      <c r="J442" s="6">
        <f t="shared" si="138"/>
        <v>0</v>
      </c>
      <c r="K442" s="6">
        <f t="shared" si="126"/>
        <v>13.8</v>
      </c>
      <c r="L442" s="9">
        <f t="shared" si="139"/>
        <v>0.10344827586206896</v>
      </c>
      <c r="M442" s="9">
        <f t="shared" si="140"/>
        <v>0.17241379310344829</v>
      </c>
      <c r="N442" s="9">
        <f t="shared" si="141"/>
        <v>0.21551724137931033</v>
      </c>
      <c r="O442" s="9">
        <f t="shared" si="142"/>
        <v>7.7586206896551727E-2</v>
      </c>
      <c r="P442" s="17"/>
    </row>
    <row r="443" spans="1:16" x14ac:dyDescent="0.25">
      <c r="A443" t="s">
        <v>146</v>
      </c>
      <c r="B443">
        <v>2024</v>
      </c>
      <c r="C443" s="8">
        <f>'1_Du_lieu'!F501</f>
        <v>24</v>
      </c>
      <c r="D443" s="8">
        <f>'1_Du_lieu'!G501</f>
        <v>29</v>
      </c>
      <c r="E443" s="8">
        <f>'1_Du_lieu'!H501</f>
        <v>19</v>
      </c>
      <c r="F443" s="16">
        <v>0</v>
      </c>
      <c r="G443" s="6">
        <f t="shared" si="135"/>
        <v>4.8000000000000007</v>
      </c>
      <c r="H443" s="6">
        <f t="shared" si="136"/>
        <v>11.600000000000001</v>
      </c>
      <c r="I443" s="6">
        <f t="shared" si="137"/>
        <v>7.6000000000000005</v>
      </c>
      <c r="J443" s="6">
        <f t="shared" si="138"/>
        <v>0</v>
      </c>
      <c r="K443" s="6">
        <f t="shared" si="126"/>
        <v>24.000000000000004</v>
      </c>
      <c r="L443" s="9">
        <f t="shared" si="139"/>
        <v>0.75862068965517238</v>
      </c>
      <c r="M443" s="9">
        <f t="shared" si="140"/>
        <v>0.64655172413793105</v>
      </c>
      <c r="N443" s="9">
        <f t="shared" si="141"/>
        <v>0.83620689655172409</v>
      </c>
      <c r="O443" s="9">
        <f t="shared" si="142"/>
        <v>0.68103448275862066</v>
      </c>
      <c r="P443" s="17"/>
    </row>
    <row r="444" spans="1:16" x14ac:dyDescent="0.25">
      <c r="A444" t="s">
        <v>147</v>
      </c>
      <c r="B444">
        <v>2024</v>
      </c>
      <c r="C444" s="8">
        <f>'1_Du_lieu'!F502</f>
        <v>14</v>
      </c>
      <c r="D444" s="8">
        <f>'1_Du_lieu'!G502</f>
        <v>16</v>
      </c>
      <c r="E444" s="8">
        <f>'1_Du_lieu'!H502</f>
        <v>13</v>
      </c>
      <c r="F444" s="16">
        <v>0</v>
      </c>
      <c r="G444" s="6">
        <f t="shared" si="135"/>
        <v>2.8000000000000003</v>
      </c>
      <c r="H444" s="6">
        <f t="shared" si="136"/>
        <v>6.4</v>
      </c>
      <c r="I444" s="6">
        <f t="shared" si="137"/>
        <v>5.2</v>
      </c>
      <c r="J444" s="6">
        <f t="shared" si="138"/>
        <v>0</v>
      </c>
      <c r="K444" s="6">
        <f t="shared" si="126"/>
        <v>14.400000000000002</v>
      </c>
      <c r="L444" s="9">
        <f t="shared" si="139"/>
        <v>0.18965517241379309</v>
      </c>
      <c r="M444" s="9">
        <f t="shared" si="140"/>
        <v>0.21551724137931033</v>
      </c>
      <c r="N444" s="9">
        <f t="shared" si="141"/>
        <v>6.8965517241379309E-2</v>
      </c>
      <c r="O444" s="9">
        <f t="shared" si="142"/>
        <v>0.35344827586206895</v>
      </c>
      <c r="P444" s="17"/>
    </row>
    <row r="445" spans="1:16" x14ac:dyDescent="0.25">
      <c r="A445" t="s">
        <v>149</v>
      </c>
      <c r="B445">
        <v>2024</v>
      </c>
      <c r="C445" s="8">
        <f>'1_Du_lieu'!F504</f>
        <v>70</v>
      </c>
      <c r="D445" s="8">
        <f>'1_Du_lieu'!G504</f>
        <v>31</v>
      </c>
      <c r="E445" s="8">
        <f>'1_Du_lieu'!H504</f>
        <v>52</v>
      </c>
      <c r="F445" s="16">
        <v>0</v>
      </c>
      <c r="G445" s="6">
        <f t="shared" si="135"/>
        <v>14</v>
      </c>
      <c r="H445" s="6">
        <f t="shared" si="136"/>
        <v>12.4</v>
      </c>
      <c r="I445" s="6">
        <f t="shared" si="137"/>
        <v>20.8</v>
      </c>
      <c r="J445" s="6">
        <f t="shared" si="138"/>
        <v>0</v>
      </c>
      <c r="K445" s="6">
        <f t="shared" si="126"/>
        <v>47.2</v>
      </c>
      <c r="L445" s="9">
        <f t="shared" si="139"/>
        <v>0.94827586206896552</v>
      </c>
      <c r="M445" s="9">
        <f t="shared" si="140"/>
        <v>0.96551724137931039</v>
      </c>
      <c r="N445" s="9">
        <f t="shared" si="141"/>
        <v>0.87931034482758619</v>
      </c>
      <c r="O445" s="9">
        <f t="shared" si="142"/>
        <v>0.94827586206896552</v>
      </c>
      <c r="P445" s="17"/>
    </row>
    <row r="446" spans="1:16" x14ac:dyDescent="0.25">
      <c r="A446" t="s">
        <v>150</v>
      </c>
      <c r="B446">
        <v>2024</v>
      </c>
      <c r="C446" s="8">
        <f>'1_Du_lieu'!F505</f>
        <v>22</v>
      </c>
      <c r="D446" s="8">
        <f>'1_Du_lieu'!G505</f>
        <v>22</v>
      </c>
      <c r="E446" s="8">
        <f>'1_Du_lieu'!H505</f>
        <v>24</v>
      </c>
      <c r="F446" s="16">
        <v>0</v>
      </c>
      <c r="G446" s="6">
        <f t="shared" si="135"/>
        <v>4.4000000000000004</v>
      </c>
      <c r="H446" s="6">
        <f t="shared" si="136"/>
        <v>8.8000000000000007</v>
      </c>
      <c r="I446" s="6">
        <f t="shared" si="137"/>
        <v>9.6000000000000014</v>
      </c>
      <c r="J446" s="6">
        <f t="shared" si="138"/>
        <v>0</v>
      </c>
      <c r="K446" s="6">
        <f t="shared" si="126"/>
        <v>22.800000000000004</v>
      </c>
      <c r="L446" s="9">
        <f t="shared" si="139"/>
        <v>0.69827586206896552</v>
      </c>
      <c r="M446" s="9">
        <f t="shared" si="140"/>
        <v>0.57758620689655171</v>
      </c>
      <c r="N446" s="9">
        <f t="shared" si="141"/>
        <v>0.36206896551724138</v>
      </c>
      <c r="O446" s="9">
        <f t="shared" si="142"/>
        <v>0.85344827586206895</v>
      </c>
      <c r="P446" s="17"/>
    </row>
    <row r="447" spans="1:16" x14ac:dyDescent="0.25">
      <c r="A447" t="s">
        <v>151</v>
      </c>
      <c r="B447">
        <v>2024</v>
      </c>
      <c r="C447" s="8">
        <f>'1_Du_lieu'!F506</f>
        <v>12</v>
      </c>
      <c r="D447" s="8">
        <f>'1_Du_lieu'!G506</f>
        <v>15</v>
      </c>
      <c r="E447" s="8">
        <f>'1_Du_lieu'!H506</f>
        <v>11</v>
      </c>
      <c r="F447" s="16">
        <v>0</v>
      </c>
      <c r="G447" s="6">
        <f t="shared" si="135"/>
        <v>2.4000000000000004</v>
      </c>
      <c r="H447" s="6">
        <f t="shared" si="136"/>
        <v>6</v>
      </c>
      <c r="I447" s="6">
        <f t="shared" si="137"/>
        <v>4.4000000000000004</v>
      </c>
      <c r="J447" s="6">
        <f t="shared" si="138"/>
        <v>0</v>
      </c>
      <c r="K447" s="6">
        <f t="shared" si="126"/>
        <v>12.8</v>
      </c>
      <c r="L447" s="9">
        <f t="shared" si="139"/>
        <v>4.3103448275862072E-2</v>
      </c>
      <c r="M447" s="9">
        <f t="shared" si="140"/>
        <v>0.1206896551724138</v>
      </c>
      <c r="N447" s="9">
        <f t="shared" si="141"/>
        <v>3.4482758620689655E-2</v>
      </c>
      <c r="O447" s="9">
        <f t="shared" si="142"/>
        <v>0.2413793103448276</v>
      </c>
      <c r="P447" s="17"/>
    </row>
    <row r="448" spans="1:16" x14ac:dyDescent="0.25">
      <c r="A448" t="s">
        <v>152</v>
      </c>
      <c r="B448">
        <v>2024</v>
      </c>
      <c r="C448" s="8">
        <f>'1_Du_lieu'!F507</f>
        <v>30</v>
      </c>
      <c r="D448" s="8">
        <f>'1_Du_lieu'!G507</f>
        <v>35</v>
      </c>
      <c r="E448" s="8">
        <f>'1_Du_lieu'!H507</f>
        <v>25</v>
      </c>
      <c r="F448" s="16">
        <v>0</v>
      </c>
      <c r="G448" s="6">
        <f t="shared" si="135"/>
        <v>6</v>
      </c>
      <c r="H448" s="6">
        <f t="shared" si="136"/>
        <v>14</v>
      </c>
      <c r="I448" s="6">
        <f t="shared" si="137"/>
        <v>10</v>
      </c>
      <c r="J448" s="6">
        <f t="shared" si="138"/>
        <v>0</v>
      </c>
      <c r="K448" s="6">
        <f t="shared" si="126"/>
        <v>30</v>
      </c>
      <c r="L448" s="9">
        <f t="shared" si="139"/>
        <v>0.91379310344827591</v>
      </c>
      <c r="M448" s="9">
        <f t="shared" si="140"/>
        <v>0.84482758620689657</v>
      </c>
      <c r="N448" s="9">
        <f t="shared" si="141"/>
        <v>0.94827586206896552</v>
      </c>
      <c r="O448" s="9">
        <f t="shared" si="142"/>
        <v>0.87931034482758619</v>
      </c>
      <c r="P448" s="17"/>
    </row>
    <row r="449" spans="1:25" x14ac:dyDescent="0.25">
      <c r="A449" t="s">
        <v>153</v>
      </c>
      <c r="B449">
        <v>2024</v>
      </c>
      <c r="C449" s="8">
        <f>'1_Du_lieu'!F508</f>
        <v>15</v>
      </c>
      <c r="D449" s="8">
        <f>'1_Du_lieu'!G508</f>
        <v>28</v>
      </c>
      <c r="E449" s="8">
        <f>'1_Du_lieu'!H508</f>
        <v>11</v>
      </c>
      <c r="F449" s="16">
        <v>0</v>
      </c>
      <c r="G449" s="6">
        <f t="shared" si="135"/>
        <v>3</v>
      </c>
      <c r="H449" s="6">
        <f t="shared" si="136"/>
        <v>11.200000000000001</v>
      </c>
      <c r="I449" s="6">
        <f t="shared" si="137"/>
        <v>4.4000000000000004</v>
      </c>
      <c r="J449" s="6">
        <f t="shared" si="138"/>
        <v>0</v>
      </c>
      <c r="K449" s="6">
        <f t="shared" si="126"/>
        <v>18.600000000000001</v>
      </c>
      <c r="L449" s="9">
        <f t="shared" si="139"/>
        <v>0.43103448275862066</v>
      </c>
      <c r="M449" s="9">
        <f t="shared" si="140"/>
        <v>0.27586206896551724</v>
      </c>
      <c r="N449" s="9">
        <f t="shared" si="141"/>
        <v>0.80172413793103448</v>
      </c>
      <c r="O449" s="9">
        <f t="shared" si="142"/>
        <v>0.2413793103448276</v>
      </c>
      <c r="P449" s="17"/>
    </row>
    <row r="452" spans="1:25" x14ac:dyDescent="0.25">
      <c r="A452" s="10" t="s">
        <v>279</v>
      </c>
    </row>
    <row r="453" spans="1:25" ht="32.1" customHeight="1" x14ac:dyDescent="0.25">
      <c r="A453" s="3" t="s">
        <v>53</v>
      </c>
      <c r="B453" s="3" t="s">
        <v>157</v>
      </c>
      <c r="C453" s="3" t="s">
        <v>280</v>
      </c>
      <c r="D453" s="3" t="s">
        <v>281</v>
      </c>
      <c r="E453" s="3" t="s">
        <v>282</v>
      </c>
      <c r="F453" s="3" t="s">
        <v>283</v>
      </c>
      <c r="G453" s="3" t="s">
        <v>284</v>
      </c>
      <c r="H453" s="3" t="s">
        <v>285</v>
      </c>
      <c r="I453" s="3" t="s">
        <v>286</v>
      </c>
      <c r="J453" s="3" t="s">
        <v>287</v>
      </c>
      <c r="K453" s="3" t="s">
        <v>288</v>
      </c>
      <c r="L453" s="3" t="s">
        <v>289</v>
      </c>
      <c r="M453" s="3" t="s">
        <v>290</v>
      </c>
      <c r="N453" s="3" t="s">
        <v>291</v>
      </c>
      <c r="O453" s="3" t="s">
        <v>292</v>
      </c>
      <c r="P453" s="3" t="s">
        <v>293</v>
      </c>
      <c r="Q453" s="3" t="s">
        <v>294</v>
      </c>
      <c r="R453" s="3" t="s">
        <v>295</v>
      </c>
      <c r="S453" s="3" t="s">
        <v>296</v>
      </c>
      <c r="T453" s="3" t="s">
        <v>297</v>
      </c>
      <c r="U453" s="3" t="s">
        <v>298</v>
      </c>
      <c r="V453" s="3" t="s">
        <v>299</v>
      </c>
      <c r="W453" s="3" t="s">
        <v>300</v>
      </c>
      <c r="X453" s="3" t="s">
        <v>301</v>
      </c>
      <c r="Y453" s="3" t="s">
        <v>302</v>
      </c>
    </row>
    <row r="454" spans="1:25" x14ac:dyDescent="0.25">
      <c r="A454">
        <v>2017</v>
      </c>
      <c r="B454">
        <v>54</v>
      </c>
      <c r="C454" s="12">
        <f>2*SUMPRODUCT($L$5:$L$58*54,$K$5:$K$58)/(54*SUM($K$5:$K$58))-(54+1)/54</f>
        <v>0.14534488061591988</v>
      </c>
      <c r="D454" s="7">
        <f>'4_Bang3_Gini_Theil'!C506</f>
        <v>0.14543943646469559</v>
      </c>
      <c r="E454" s="7">
        <f>AVERAGE($G$5:$G$58)/AVERAGE($K$5:$K$58)</f>
        <v>0.17007781337867006</v>
      </c>
      <c r="F454" s="7">
        <f>(2*SUMPRODUCT($M$5:$M$58*54,$G$5:$G$58)/(54*SUM($G$5:$G$58))-(54+1)/54)</f>
        <v>0.25693886189849269</v>
      </c>
      <c r="G454" s="7">
        <f>_xlfn.COVARIANCE.S($G$5:$G$58,$L$5:$L$58)/_xlfn.COVARIANCE.S($G$5:$G$58,$M$5:$M$58)</f>
        <v>0.92169161823719203</v>
      </c>
      <c r="H454" s="7">
        <f t="shared" ref="H454:H461" si="143">E454*F454*G454</f>
        <v>4.0277554859389671E-2</v>
      </c>
      <c r="I454" s="7">
        <f>AVERAGE($H$5:$H$58)/AVERAGE($K$5:$K$58)</f>
        <v>0.39472604816226076</v>
      </c>
      <c r="J454" s="7">
        <f>(2*SUMPRODUCT($N$5:$N$58*54,$H$5:$H$58)/(54*SUM($H$5:$H$58))-(54+1)/54)</f>
        <v>0.14707221000706161</v>
      </c>
      <c r="K454" s="7">
        <f>_xlfn.COVARIANCE.S($H$5:$H$58,$L$5:$L$58)/_xlfn.COVARIANCE.S($H$5:$H$58,$N$5:$N$58)</f>
        <v>0.94621869773474487</v>
      </c>
      <c r="L454" s="7">
        <f t="shared" ref="L454:L461" si="144">I454*J454*K454</f>
        <v>5.493105381943416E-2</v>
      </c>
      <c r="M454" s="7">
        <f>AVERAGE($I$5:$I$58)/AVERAGE($K$5:$K$58)</f>
        <v>0.23333313518365512</v>
      </c>
      <c r="N454" s="7">
        <f>(2*SUMPRODUCT($O$5:$O$58*54,$I$5:$I$58)/(54*SUM($I$5:$I$58))-(54+1)/54)</f>
        <v>0.18422274307324726</v>
      </c>
      <c r="O454" s="7">
        <f>_xlfn.COVARIANCE.S($I$5:$I$58,$L$5:$L$58)/_xlfn.COVARIANCE.S($I$5:$I$58,$O$5:$O$58)</f>
        <v>0.86688690842040561</v>
      </c>
      <c r="P454" s="7">
        <f t="shared" ref="P454:P461" si="145">M454*N454*O454</f>
        <v>3.7263368002922008E-2</v>
      </c>
      <c r="Q454" s="7">
        <f>AVERAGE($J$5:$J$58)/AVERAGE($K$5:$K$58)</f>
        <v>0.20186300327541429</v>
      </c>
      <c r="R454" s="7">
        <f>(2*SUMPRODUCT($P$5:$P$58*54,$J$5:$J$58)/(54*SUM($J$5:$J$58))-(54+1)/54)</f>
        <v>8.0883138866529425E-2</v>
      </c>
      <c r="S454" s="7">
        <f>_xlfn.COVARIANCE.S($J$5:$J$58,$L$5:$L$58)/_xlfn.COVARIANCE.S($J$5:$J$58,$P$5:$P$58)</f>
        <v>0.78842756779352452</v>
      </c>
      <c r="T454" s="7">
        <f>Q454*R454*S454</f>
        <v>1.287290393417369E-2</v>
      </c>
      <c r="U454" s="12">
        <f t="shared" ref="U454:U461" si="146">SUM(H454,L454,P454,T454)</f>
        <v>0.14534488061591955</v>
      </c>
      <c r="V454" s="13">
        <f t="shared" ref="V454:V461" si="147">H454/U454*100</f>
        <v>27.711712093819763</v>
      </c>
      <c r="W454" s="13">
        <f t="shared" ref="W454:W461" si="148">L454/U454*100</f>
        <v>37.793593820887281</v>
      </c>
      <c r="X454" s="13">
        <f t="shared" ref="X454:X461" si="149">P454/U454*100</f>
        <v>25.637895084445496</v>
      </c>
      <c r="Y454" s="13">
        <f>T454/U454*100</f>
        <v>8.856799000847456</v>
      </c>
    </row>
    <row r="455" spans="1:25" x14ac:dyDescent="0.25">
      <c r="A455">
        <v>2018</v>
      </c>
      <c r="B455">
        <v>54</v>
      </c>
      <c r="C455" s="12">
        <f>2*SUMPRODUCT($L$59:$L$112*54,$K$59:$K$112)/(54*SUM($K$59:$K$112))-(54+1)/54</f>
        <v>0.12887374375779648</v>
      </c>
      <c r="D455" s="7">
        <f>'4_Bang3_Gini_Theil'!C507</f>
        <v>0.12890223062934703</v>
      </c>
      <c r="E455" s="7">
        <f>AVERAGE($G$59:$G$112)/AVERAGE($K$59:$K$112)</f>
        <v>0.17990047198091355</v>
      </c>
      <c r="F455" s="7">
        <f>(2*SUMPRODUCT($M$59:$M$112*54,$G$59:$G$112)/(54*SUM($G$59:$G$112))-(54+1)/54)</f>
        <v>0.12900790965961839</v>
      </c>
      <c r="G455" s="7">
        <f>_xlfn.COVARIANCE.S($G$59:$G$112,$L$59:$L$112)/_xlfn.COVARIANCE.S($G$59:$G$112,$M$59:$M$112)</f>
        <v>0.90964714034852878</v>
      </c>
      <c r="H455" s="7">
        <f t="shared" si="143"/>
        <v>2.1111621918899252E-2</v>
      </c>
      <c r="I455" s="7">
        <f>AVERAGE($H$59:$H$112)/AVERAGE($K$59:$K$112)</f>
        <v>0.39551408417692024</v>
      </c>
      <c r="J455" s="7">
        <f>(2*SUMPRODUCT($N$59:$N$112*54,$H$59:$H$112)/(54*SUM($H$59:$H$112))-(54+1)/54)</f>
        <v>0.15577275454573369</v>
      </c>
      <c r="K455" s="7">
        <f>_xlfn.COVARIANCE.S($H$59:$H$112,$L$59:$L$112)/_xlfn.COVARIANCE.S($H$59:$H$112,$N$59:$N$112)</f>
        <v>0.92575154305766805</v>
      </c>
      <c r="L455" s="7">
        <f t="shared" si="144"/>
        <v>5.7035847284371222E-2</v>
      </c>
      <c r="M455" s="7">
        <f>AVERAGE($I$59:$I$112)/AVERAGE($K$59:$K$112)</f>
        <v>0.25615758685262985</v>
      </c>
      <c r="N455" s="7">
        <f>(2*SUMPRODUCT($O$59:$O$112*54,$I$59:$I$112)/(54*SUM($I$59:$I$112))-(54+1)/54)</f>
        <v>0.19032921810699599</v>
      </c>
      <c r="O455" s="7">
        <f>_xlfn.COVARIANCE.S($I$59:$I$112,$L$59:$L$112)/_xlfn.COVARIANCE.S($I$59:$I$112,$O$59:$O$112)</f>
        <v>0.89691025977433769</v>
      </c>
      <c r="P455" s="7">
        <f t="shared" si="145"/>
        <v>4.3728207856918277E-2</v>
      </c>
      <c r="Q455" s="7">
        <f>AVERAGE($J$59:$J$112)/AVERAGE($K$59:$K$112)</f>
        <v>0.16842785698953652</v>
      </c>
      <c r="R455" s="7">
        <f>(2*SUMPRODUCT($P$59:$P$112*54,$J$59:$J$112)/(54*SUM($J$59:$J$112))-(54+1)/54)</f>
        <v>7.4968722567819723E-2</v>
      </c>
      <c r="S455" s="7">
        <f>_xlfn.COVARIANCE.S($J$59:$J$112,$L$59:$L$112)/_xlfn.COVARIANCE.S($J$59:$J$112,$P$59:$P$112)</f>
        <v>0.55422236052713447</v>
      </c>
      <c r="T455" s="7">
        <f>Q455*R455*S455</f>
        <v>6.9980666976074985E-3</v>
      </c>
      <c r="U455" s="12">
        <f t="shared" si="146"/>
        <v>0.12887374375779626</v>
      </c>
      <c r="V455" s="13">
        <f t="shared" si="147"/>
        <v>16.381631590198992</v>
      </c>
      <c r="W455" s="13">
        <f t="shared" si="148"/>
        <v>44.257150930265283</v>
      </c>
      <c r="X455" s="13">
        <f t="shared" si="149"/>
        <v>33.931044898564082</v>
      </c>
      <c r="Y455" s="13">
        <f>T455/U455*100</f>
        <v>5.4301725809716368</v>
      </c>
    </row>
    <row r="456" spans="1:25" x14ac:dyDescent="0.25">
      <c r="A456">
        <v>2019</v>
      </c>
      <c r="B456">
        <v>54</v>
      </c>
      <c r="C456" s="12">
        <f>2*SUMPRODUCT($L$113:$L$166*54,$K$113:$K$166)/(54*SUM($K$113:$K$166))-(54+1)/54</f>
        <v>0.13381873031589819</v>
      </c>
      <c r="D456" s="7">
        <f>'4_Bang3_Gini_Theil'!C508</f>
        <v>0.13374183256633398</v>
      </c>
      <c r="E456" s="7">
        <f>AVERAGE($G$113:$G$166)/AVERAGE($K$113:$K$166)</f>
        <v>0.17672323750800584</v>
      </c>
      <c r="F456" s="7">
        <f>(2*SUMPRODUCT($M$113:$M$166*54,$G$113:$G$166)/(54*SUM($G$113:$G$166))-(54+1)/54)</f>
        <v>0.13023196739293574</v>
      </c>
      <c r="G456" s="7">
        <f>_xlfn.COVARIANCE.S($G$113:$G$166,$L$113:$L$166)/_xlfn.COVARIANCE.S($G$113:$G$166,$M$113:$M$166)</f>
        <v>0.90474923899872906</v>
      </c>
      <c r="H456" s="7">
        <f t="shared" si="143"/>
        <v>2.0822817220586803E-2</v>
      </c>
      <c r="I456" s="7">
        <f>AVERAGE($H$113:$H$166)/AVERAGE($K$113:$K$166)</f>
        <v>0.39621550024218427</v>
      </c>
      <c r="J456" s="7">
        <f>(2*SUMPRODUCT($N$113:$N$166*54,$H$113:$H$166)/(54*SUM($H$113:$H$166))-(54+1)/54)</f>
        <v>0.1564088929745735</v>
      </c>
      <c r="K456" s="7">
        <f>_xlfn.COVARIANCE.S($H$113:$H$166,$L$113:$L$166)/_xlfn.COVARIANCE.S($H$113:$H$166,$N$113:$N$166)</f>
        <v>0.93483949965186952</v>
      </c>
      <c r="L456" s="7">
        <f t="shared" si="144"/>
        <v>5.7933525499219193E-2</v>
      </c>
      <c r="M456" s="7">
        <f>AVERAGE($I$113:$I$166)/AVERAGE($K$113:$K$166)</f>
        <v>0.26684327359458604</v>
      </c>
      <c r="N456" s="7">
        <f>(2*SUMPRODUCT($O$113:$O$166*54,$I$113:$I$166)/(54*SUM($I$113:$I$166))-(54+1)/54)</f>
        <v>0.19481579616470657</v>
      </c>
      <c r="O456" s="7">
        <f>_xlfn.COVARIANCE.S($I$113:$I$166,$L$113:$L$166)/_xlfn.COVARIANCE.S($I$113:$I$166,$O$113:$O$166)</f>
        <v>0.92880203324632482</v>
      </c>
      <c r="P456" s="7">
        <f t="shared" si="145"/>
        <v>4.8284038217902517E-2</v>
      </c>
      <c r="Q456" s="7">
        <f>AVERAGE($J$113:$J$166)/AVERAGE($K$113:$K$166)</f>
        <v>0.16021798865522394</v>
      </c>
      <c r="R456" s="7">
        <f>(2*SUMPRODUCT($P$113:$P$166*54,$J$113:$J$166)/(54*SUM($J$113:$J$166))-(54+1)/54)</f>
        <v>7.4511870382575562E-2</v>
      </c>
      <c r="S456" s="7">
        <f>_xlfn.COVARIANCE.S($J$113:$J$166,$L$113:$L$166)/_xlfn.COVARIANCE.S($J$113:$J$166,$P$113:$P$166)</f>
        <v>0.56778930725787491</v>
      </c>
      <c r="T456" s="7">
        <f>Q456*R456*S456</f>
        <v>6.7783493781900595E-3</v>
      </c>
      <c r="U456" s="12">
        <f t="shared" si="146"/>
        <v>0.13381873031589858</v>
      </c>
      <c r="V456" s="13">
        <f t="shared" si="147"/>
        <v>15.560465393320886</v>
      </c>
      <c r="W456" s="13">
        <f t="shared" si="148"/>
        <v>43.292538617321114</v>
      </c>
      <c r="X456" s="13">
        <f t="shared" si="149"/>
        <v>36.081674145256812</v>
      </c>
      <c r="Y456" s="13">
        <f>T456/U456*100</f>
        <v>5.06532184410118</v>
      </c>
    </row>
    <row r="457" spans="1:25" x14ac:dyDescent="0.25">
      <c r="A457">
        <v>2020</v>
      </c>
      <c r="B457">
        <v>55</v>
      </c>
      <c r="C457" s="12">
        <f>2*SUMPRODUCT($L$167:$L$221*55,$K$167:$K$221)/(55*SUM($K$167:$K$221))-(55+1)/55</f>
        <v>0.13511233952737145</v>
      </c>
      <c r="D457" s="7">
        <f>'4_Bang3_Gini_Theil'!C509</f>
        <v>0.13511214199754518</v>
      </c>
      <c r="E457" s="7">
        <f>AVERAGE($G$167:$G$221)/AVERAGE($K$167:$K$221)</f>
        <v>0.17207570247572876</v>
      </c>
      <c r="F457" s="7">
        <f>(2*SUMPRODUCT($M$167:$M$221*55,$G$167:$G$221)/(55*SUM($G$167:$G$221))-(55+1)/55)</f>
        <v>0.13239236393176279</v>
      </c>
      <c r="G457" s="7">
        <f>_xlfn.COVARIANCE.S($G$167:$G$221,$L$167:$L$221)/_xlfn.COVARIANCE.S($G$167:$G$221,$M$167:$M$221)</f>
        <v>0.91927094228060657</v>
      </c>
      <c r="H457" s="7">
        <f t="shared" si="143"/>
        <v>2.0942379268887163E-2</v>
      </c>
      <c r="I457" s="7">
        <f>AVERAGE($H$167:$H$221)/AVERAGE($K$167:$K$221)</f>
        <v>0.38873854688813902</v>
      </c>
      <c r="J457" s="7">
        <f>(2*SUMPRODUCT($N$167:$N$221*55,$H$167:$H$221)/(55*SUM($H$167:$H$221))-(55+1)/55)</f>
        <v>0.16017390931258646</v>
      </c>
      <c r="K457" s="7">
        <f>_xlfn.COVARIANCE.S($H$167:$H$221,$L$167:$L$221)/_xlfn.COVARIANCE.S($H$167:$H$221,$N$167:$N$221)</f>
        <v>0.91775599128540308</v>
      </c>
      <c r="L457" s="7">
        <f t="shared" si="144"/>
        <v>5.714478599843742E-2</v>
      </c>
      <c r="M457" s="7">
        <f>AVERAGE($I$167:$I$221)/AVERAGE($K$167:$K$221)</f>
        <v>0.2804770173311929</v>
      </c>
      <c r="N457" s="7">
        <f>(2*SUMPRODUCT($O$167:$O$221*55,$I$167:$I$221)/(55*SUM($I$167:$I$221))-(55+1)/55)</f>
        <v>0.19652221313709473</v>
      </c>
      <c r="O457" s="7">
        <f>_xlfn.COVARIANCE.S($I$167:$I$221,$L$167:$L$221)/_xlfn.COVARIANCE.S($I$167:$I$221,$O$167:$O$221)</f>
        <v>0.91985314142198626</v>
      </c>
      <c r="P457" s="7">
        <f t="shared" si="145"/>
        <v>5.0702272206056269E-2</v>
      </c>
      <c r="Q457" s="7">
        <f>AVERAGE($J$167:$J$221)/AVERAGE($K$167:$K$221)</f>
        <v>0.15870873330493948</v>
      </c>
      <c r="R457" s="7">
        <f>(2*SUMPRODUCT($P$167:$P$221*55,$J$167:$J$221)/(55*SUM($J$167:$J$221))-(55+1)/55)</f>
        <v>7.3675097334681361E-2</v>
      </c>
      <c r="S457" s="7">
        <f>_xlfn.COVARIANCE.S($J$167:$J$221,$L$167:$L$221)/_xlfn.COVARIANCE.S($J$167:$J$221,$P$167:$P$221)</f>
        <v>0.54074798603469609</v>
      </c>
      <c r="T457" s="7">
        <f>Q457*R457*S457</f>
        <v>6.3229020539901058E-3</v>
      </c>
      <c r="U457" s="12">
        <f t="shared" si="146"/>
        <v>0.13511233952737095</v>
      </c>
      <c r="V457" s="13">
        <f t="shared" si="147"/>
        <v>15.499975311022332</v>
      </c>
      <c r="W457" s="13">
        <f t="shared" si="148"/>
        <v>42.294276154444852</v>
      </c>
      <c r="X457" s="13">
        <f t="shared" si="149"/>
        <v>37.526011601468156</v>
      </c>
      <c r="Y457" s="13">
        <f>T457/U457*100</f>
        <v>4.6797369330646648</v>
      </c>
    </row>
    <row r="458" spans="1:25" x14ac:dyDescent="0.25">
      <c r="A458">
        <v>2021</v>
      </c>
      <c r="B458">
        <v>56</v>
      </c>
      <c r="C458" s="12">
        <f>2*SUMPRODUCT($L$222:$L$277*56,$K$222:$K$277)/(56*SUM($K$222:$K$277))-(56+1)/56</f>
        <v>0.35276136856609819</v>
      </c>
      <c r="D458" s="7">
        <f>'4_Bang3_Gini_Theil'!C510</f>
        <v>0.35278455047702706</v>
      </c>
      <c r="E458" s="7">
        <f>AVERAGE($G$222:$G$277)/AVERAGE($K$222:$K$277)</f>
        <v>0.38362180747383634</v>
      </c>
      <c r="F458" s="7">
        <f>(2*SUMPRODUCT($M$222:$M$277*56,$G$222:$G$277)/(56*SUM($G$222:$G$277))-(56+1)/56)</f>
        <v>0.19762133215368261</v>
      </c>
      <c r="G458" s="7">
        <f>_xlfn.COVARIANCE.S($G$222:$G$277,$L$222:$L$277)/_xlfn.COVARIANCE.S($G$222:$G$277,$M$222:$M$277)</f>
        <v>0.98105972531478469</v>
      </c>
      <c r="H458" s="7">
        <f t="shared" si="143"/>
        <v>7.4375955322858719E-2</v>
      </c>
      <c r="I458" s="7">
        <f>AVERAGE($H$222:$H$277)/AVERAGE($K$222:$K$277)</f>
        <v>0.29573270200858298</v>
      </c>
      <c r="J458" s="7">
        <f>(2*SUMPRODUCT($N$222:$N$277*56,$H$222:$H$277)/(56*SUM($H$222:$H$277))-(56+1)/56)</f>
        <v>0.47950603539200753</v>
      </c>
      <c r="K458" s="7">
        <f>_xlfn.COVARIANCE.S($H$222:$H$277,$L$222:$L$277)/_xlfn.COVARIANCE.S($H$222:$H$277,$N$222:$N$277)</f>
        <v>0.97709998451420421</v>
      </c>
      <c r="L458" s="7">
        <f t="shared" si="144"/>
        <v>0.13855826468553067</v>
      </c>
      <c r="M458" s="7">
        <f>AVERAGE($I$222:$I$277)/AVERAGE($K$222:$K$277)</f>
        <v>0.32064549051758023</v>
      </c>
      <c r="N458" s="7">
        <f>(2*SUMPRODUCT($O$222:$O$277*56,$I$222:$I$277)/(56*SUM($I$222:$I$277))-(56+1)/56)</f>
        <v>0.4421665989571486</v>
      </c>
      <c r="O458" s="7">
        <f>_xlfn.COVARIANCE.S($I$222:$I$277,$L$222:$L$277)/_xlfn.COVARIANCE.S($I$222:$I$277,$O$222:$O$277)</f>
        <v>0.9862350473143906</v>
      </c>
      <c r="P458" s="7">
        <f t="shared" si="145"/>
        <v>0.13982714855770872</v>
      </c>
      <c r="U458" s="12">
        <f t="shared" si="146"/>
        <v>0.35276136856609813</v>
      </c>
      <c r="V458" s="13">
        <f t="shared" si="147"/>
        <v>21.083928669735457</v>
      </c>
      <c r="W458" s="13">
        <f t="shared" si="148"/>
        <v>39.278185490872005</v>
      </c>
      <c r="X458" s="13">
        <f t="shared" si="149"/>
        <v>39.637885839392531</v>
      </c>
      <c r="Y458" s="16"/>
    </row>
    <row r="459" spans="1:25" x14ac:dyDescent="0.25">
      <c r="A459">
        <v>2022</v>
      </c>
      <c r="B459">
        <v>56</v>
      </c>
      <c r="C459" s="12">
        <f>2*SUMPRODUCT($L$278:$L$333*56,$K$278:$K$333)/(56*SUM($K$278:$K$333))-(56+1)/56</f>
        <v>0.27612431544907579</v>
      </c>
      <c r="D459" s="7">
        <f>'4_Bang3_Gini_Theil'!C511</f>
        <v>0.27625129887201627</v>
      </c>
      <c r="E459" s="7">
        <f>AVERAGE($G$278:$G$333)/AVERAGE($K$278:$K$333)</f>
        <v>0.20477959212278363</v>
      </c>
      <c r="F459" s="7">
        <f>(2*SUMPRODUCT($M$278:$M$333*56,$G$278:$G$333)/(56*SUM($G$278:$G$333))-(56+1)/56)</f>
        <v>0.2938789478830548</v>
      </c>
      <c r="G459" s="7">
        <f>_xlfn.COVARIANCE.S($G$278:$G$333,$L$278:$L$333)/_xlfn.COVARIANCE.S($G$278:$G$333,$M$278:$M$333)</f>
        <v>0.94546456496423237</v>
      </c>
      <c r="H459" s="7">
        <f t="shared" si="143"/>
        <v>5.6898446182032998E-2</v>
      </c>
      <c r="I459" s="7">
        <f>AVERAGE($H$278:$H$333)/AVERAGE($K$278:$K$333)</f>
        <v>0.43037353703833486</v>
      </c>
      <c r="J459" s="7">
        <f>(2*SUMPRODUCT($N$278:$N$333*56,$H$278:$H$333)/(56*SUM($H$278:$H$333))-(56+1)/56)</f>
        <v>0.2618902226254447</v>
      </c>
      <c r="K459" s="7">
        <f>_xlfn.COVARIANCE.S($H$278:$H$333,$L$278:$L$333)/_xlfn.COVARIANCE.S($H$278:$H$333,$N$278:$N$333)</f>
        <v>0.9680667976860643</v>
      </c>
      <c r="L459" s="7">
        <f t="shared" si="144"/>
        <v>0.10911141035010956</v>
      </c>
      <c r="M459" s="7">
        <f>AVERAGE($I$278:$I$333)/AVERAGE($K$278:$K$333)</f>
        <v>0.36484687083888151</v>
      </c>
      <c r="N459" s="7">
        <f>(2*SUMPRODUCT($O$278:$O$333*56,$I$278:$I$333)/(56*SUM($I$278:$I$333))-(56+1)/56)</f>
        <v>0.30785563360957191</v>
      </c>
      <c r="O459" s="7">
        <f>_xlfn.COVARIANCE.S($I$278:$I$333,$L$278:$L$333)/_xlfn.COVARIANCE.S($I$278:$I$333,$O$278:$O$333)</f>
        <v>0.98036233579570131</v>
      </c>
      <c r="P459" s="7">
        <f t="shared" si="145"/>
        <v>0.110114458916933</v>
      </c>
      <c r="U459" s="12">
        <f t="shared" si="146"/>
        <v>0.27612431544907556</v>
      </c>
      <c r="V459" s="13">
        <f t="shared" si="147"/>
        <v>20.60609768809967</v>
      </c>
      <c r="W459" s="13">
        <f t="shared" si="148"/>
        <v>39.515321268485863</v>
      </c>
      <c r="X459" s="13">
        <f t="shared" si="149"/>
        <v>39.878581043414464</v>
      </c>
      <c r="Y459" s="16"/>
    </row>
    <row r="460" spans="1:25" x14ac:dyDescent="0.25">
      <c r="A460">
        <v>2023</v>
      </c>
      <c r="B460">
        <v>58</v>
      </c>
      <c r="C460" s="12">
        <f>2*SUMPRODUCT($L$334:$L$391*58,$K$334:$K$391)/(58*SUM($K$334:$K$391))-(58+1)/58</f>
        <v>0.2581654067429866</v>
      </c>
      <c r="D460" s="7">
        <f>'4_Bang3_Gini_Theil'!C512</f>
        <v>0.26224199728092934</v>
      </c>
      <c r="E460" s="7">
        <f>AVERAGE($G$334:$G$391)/AVERAGE($K$334:$K$391)</f>
        <v>0.23846057772940579</v>
      </c>
      <c r="F460" s="7">
        <f>(2*SUMPRODUCT($M$334:$M$391*58,$G$334:$G$391)/(58*SUM($G$334:$G$391))-(58+1)/58)</f>
        <v>0.29943754273256262</v>
      </c>
      <c r="G460" s="7">
        <f>_xlfn.COVARIANCE.S($G$334:$G$391,$L$334:$L$391)/_xlfn.COVARIANCE.S($G$334:$G$391,$M$334:$M$391)</f>
        <v>0.95388492772978917</v>
      </c>
      <c r="H460" s="7">
        <f t="shared" si="143"/>
        <v>6.8111246533851408E-2</v>
      </c>
      <c r="I460" s="7">
        <f>AVERAGE($H$334:$H$391)/AVERAGE($K$334:$K$391)</f>
        <v>0.29653683515620827</v>
      </c>
      <c r="J460" s="7">
        <f>(2*SUMPRODUCT($N$334:$N$391*58,$H$334:$H$391)/(58*SUM($H$334:$H$391))-(58+1)/58)</f>
        <v>0.2446865015145856</v>
      </c>
      <c r="K460" s="7">
        <f>_xlfn.COVARIANCE.S($H$334:$H$391,$L$334:$L$391)/_xlfn.COVARIANCE.S($H$334:$H$391,$N$334:$N$391)</f>
        <v>0.90725320942221965</v>
      </c>
      <c r="L460" s="7">
        <f t="shared" si="144"/>
        <v>6.5828987124722321E-2</v>
      </c>
      <c r="M460" s="7">
        <f>AVERAGE($I$334:$I$391)/AVERAGE($K$334:$K$391)</f>
        <v>0.46500258711438613</v>
      </c>
      <c r="N460" s="7">
        <f>(2*SUMPRODUCT($O$334:$O$391*58,$I$334:$I$391)/(58*SUM($I$334:$I$391))-(58+1)/58)</f>
        <v>0.27372260842182761</v>
      </c>
      <c r="O460" s="7">
        <f>_xlfn.COVARIANCE.S($I$334:$I$391,$L$334:$L$391)/_xlfn.COVARIANCE.S($I$334:$I$391,$O$334:$O$391)</f>
        <v>0.97598596280917815</v>
      </c>
      <c r="P460" s="7">
        <f t="shared" si="145"/>
        <v>0.12422517308441279</v>
      </c>
      <c r="U460" s="12">
        <f t="shared" si="146"/>
        <v>0.25816540674298649</v>
      </c>
      <c r="V460" s="13">
        <f t="shared" si="147"/>
        <v>26.382793648902293</v>
      </c>
      <c r="W460" s="13">
        <f t="shared" si="148"/>
        <v>25.498763740355653</v>
      </c>
      <c r="X460" s="13">
        <f t="shared" si="149"/>
        <v>48.118442610742065</v>
      </c>
      <c r="Y460" s="16"/>
    </row>
    <row r="461" spans="1:25" x14ac:dyDescent="0.25">
      <c r="A461">
        <v>2024</v>
      </c>
      <c r="B461">
        <v>58</v>
      </c>
      <c r="C461" s="12">
        <f>2*SUMPRODUCT($L$392:$L$449*58,$K$392:$K$449)/(58*SUM($K$392:$K$449))-(58+1)/58</f>
        <v>0.24515947824921791</v>
      </c>
      <c r="D461" s="7">
        <f>'4_Bang3_Gini_Theil'!C513</f>
        <v>0.24504905874172711</v>
      </c>
      <c r="E461" s="7">
        <f>AVERAGE($G$392:$G$449)/AVERAGE($K$392:$K$449)</f>
        <v>0.21117919593483772</v>
      </c>
      <c r="F461" s="7">
        <f>(2*SUMPRODUCT($M$392:$M$449*58,$G$392:$G$449)/(58*SUM($G$392:$G$449))-(58+1)/58)</f>
        <v>0.29817946653000482</v>
      </c>
      <c r="G461" s="7">
        <f>_xlfn.COVARIANCE.S($G$392:$G$449,$L$392:$L$449)/_xlfn.COVARIANCE.S($G$392:$G$449,$M$392:$M$449)</f>
        <v>0.94860252895199926</v>
      </c>
      <c r="H461" s="7">
        <f t="shared" si="143"/>
        <v>5.9732837213137581E-2</v>
      </c>
      <c r="I461" s="7">
        <f>AVERAGE($H$392:$H$449)/AVERAGE($K$392:$K$449)</f>
        <v>0.44716783739351351</v>
      </c>
      <c r="J461" s="7">
        <f>(2*SUMPRODUCT($N$392:$N$449*58,$H$392:$H$449)/(58*SUM($H$392:$H$449))-(58+1)/58)</f>
        <v>0.17564078923105275</v>
      </c>
      <c r="K461" s="7">
        <f>_xlfn.COVARIANCE.S($H$392:$H$449,$L$392:$L$449)/_xlfn.COVARIANCE.S($H$392:$H$449,$N$392:$N$449)</f>
        <v>0.9290026246719163</v>
      </c>
      <c r="L461" s="7">
        <f t="shared" si="144"/>
        <v>7.2964713279289134E-2</v>
      </c>
      <c r="M461" s="7">
        <f>AVERAGE($I$392:$I$449)/AVERAGE($K$392:$K$449)</f>
        <v>0.34165296667164841</v>
      </c>
      <c r="N461" s="7">
        <f>(2*SUMPRODUCT($O$392:$O$449*58,$I$392:$I$449)/(58*SUM($I$392:$I$449))-(58+1)/58)</f>
        <v>0.34004585633692375</v>
      </c>
      <c r="O461" s="7">
        <f>_xlfn.COVARIANCE.S($I$392:$I$449,$L$392:$L$449)/_xlfn.COVARIANCE.S($I$392:$I$449,$O$392:$O$449)</f>
        <v>0.9680166792352396</v>
      </c>
      <c r="P461" s="7">
        <f t="shared" si="145"/>
        <v>0.11246192775679129</v>
      </c>
      <c r="U461" s="12">
        <f t="shared" si="146"/>
        <v>0.24515947824921799</v>
      </c>
      <c r="V461" s="13">
        <f t="shared" si="147"/>
        <v>24.364890005360465</v>
      </c>
      <c r="W461" s="13">
        <f t="shared" si="148"/>
        <v>29.76214250428308</v>
      </c>
      <c r="X461" s="13">
        <f t="shared" si="149"/>
        <v>45.872967490356459</v>
      </c>
      <c r="Y461" s="16"/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/>
  </sheetViews>
  <sheetFormatPr defaultRowHeight="15" x14ac:dyDescent="0.25"/>
  <cols>
    <col min="1" max="2" width="8" customWidth="1"/>
    <col min="3" max="3" width="10" customWidth="1"/>
    <col min="4" max="4" width="11" customWidth="1"/>
    <col min="5" max="6" width="10" customWidth="1"/>
    <col min="7" max="7" width="11" customWidth="1"/>
    <col min="8" max="8" width="13" customWidth="1"/>
    <col min="9" max="9" width="10" customWidth="1"/>
  </cols>
  <sheetData>
    <row r="1" spans="1:12" ht="17.25" x14ac:dyDescent="0.3">
      <c r="A1" s="1" t="s">
        <v>303</v>
      </c>
    </row>
    <row r="2" spans="1:12" ht="44.1" customHeight="1" x14ac:dyDescent="0.25">
      <c r="A2" s="26" t="s">
        <v>304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ht="32.1" customHeight="1" x14ac:dyDescent="0.25">
      <c r="A4" s="3" t="s">
        <v>53</v>
      </c>
      <c r="B4" s="3" t="s">
        <v>305</v>
      </c>
      <c r="C4" s="3" t="s">
        <v>306</v>
      </c>
      <c r="D4" s="3" t="s">
        <v>307</v>
      </c>
      <c r="E4" s="3" t="s">
        <v>308</v>
      </c>
      <c r="F4" s="3" t="s">
        <v>309</v>
      </c>
      <c r="G4" s="3" t="s">
        <v>253</v>
      </c>
      <c r="H4" s="3" t="s">
        <v>310</v>
      </c>
      <c r="I4" s="3" t="s">
        <v>311</v>
      </c>
    </row>
    <row r="5" spans="1:12" x14ac:dyDescent="0.25">
      <c r="A5">
        <v>2017</v>
      </c>
      <c r="B5" s="5">
        <f>COUNT('1_Du_lieu'!$E$5:$E$67)</f>
        <v>54</v>
      </c>
      <c r="C5" s="12">
        <f>_xlfn.STDEV.S('1_Du_lieu'!$E$5:$E$67)/AVERAGE('1_Du_lieu'!$E$5:$E$67)</f>
        <v>0.34793752770433223</v>
      </c>
      <c r="D5" s="12">
        <f>_xlfn.STDEV.S('1_Du_lieu'!$F$5:$F$67)/AVERAGE('1_Du_lieu'!$F$5:$F$67)</f>
        <v>0.84408654364595781</v>
      </c>
      <c r="E5" s="12">
        <f>_xlfn.STDEV.S('1_Du_lieu'!$G$5:$G$67)/AVERAGE('1_Du_lieu'!$G$5:$G$67)</f>
        <v>0.27462008278291034</v>
      </c>
      <c r="F5" s="12">
        <f>_xlfn.STDEV.S('1_Du_lieu'!$H$5:$H$67)/AVERAGE('1_Du_lieu'!$H$5:$H$67)</f>
        <v>0.45465359549392098</v>
      </c>
      <c r="G5" s="7">
        <f>'4_Bang3_Gini_Theil'!E506</f>
        <v>0.26052801942956832</v>
      </c>
      <c r="H5" s="9">
        <f>AVERAGE('1_Du_lieu'!$E$5:$E$67)</f>
        <v>31.157407407407412</v>
      </c>
      <c r="I5" s="9">
        <f>_xlfn.STDEV.S('1_Du_lieu'!$E$5:$E$67)</f>
        <v>10.840831303009983</v>
      </c>
    </row>
    <row r="6" spans="1:12" x14ac:dyDescent="0.25">
      <c r="A6">
        <v>2018</v>
      </c>
      <c r="B6" s="5">
        <f>COUNT('1_Du_lieu'!$E$68:$E$130)</f>
        <v>54</v>
      </c>
      <c r="C6" s="12">
        <f>_xlfn.STDEV.S('1_Du_lieu'!$E$68:$E$130)/AVERAGE('1_Du_lieu'!$E$68:$E$130)</f>
        <v>0.28597974451666208</v>
      </c>
      <c r="D6" s="12">
        <f>_xlfn.STDEV.S('1_Du_lieu'!$F$68:$F$130)/AVERAGE('1_Du_lieu'!$F$68:$F$130)</f>
        <v>0.32372331442931607</v>
      </c>
      <c r="E6" s="12">
        <f>_xlfn.STDEV.S('1_Du_lieu'!$G$68:$G$130)/AVERAGE('1_Du_lieu'!$G$68:$G$130)</f>
        <v>0.29846064532816335</v>
      </c>
      <c r="F6" s="12">
        <f>_xlfn.STDEV.S('1_Du_lieu'!$H$68:$H$130)/AVERAGE('1_Du_lieu'!$H$68:$H$130)</f>
        <v>0.45551977073779859</v>
      </c>
      <c r="G6" s="7">
        <f>'4_Bang3_Gini_Theil'!E507</f>
        <v>0.23122665909950918</v>
      </c>
      <c r="H6" s="9">
        <f>AVERAGE('1_Du_lieu'!$E$68:$E$130)</f>
        <v>37.527777777777764</v>
      </c>
      <c r="I6" s="9">
        <f>_xlfn.STDEV.S('1_Du_lieu'!$E$68:$E$130)</f>
        <v>10.732184301166955</v>
      </c>
    </row>
    <row r="7" spans="1:12" x14ac:dyDescent="0.25">
      <c r="A7">
        <v>2019</v>
      </c>
      <c r="B7" s="5">
        <f>COUNT('1_Du_lieu'!$E$131:$E$193)</f>
        <v>54</v>
      </c>
      <c r="C7" s="12">
        <f>_xlfn.STDEV.S('1_Du_lieu'!$E$131:$E$193)/AVERAGE('1_Du_lieu'!$E$131:$E$193)</f>
        <v>0.28632025810787187</v>
      </c>
      <c r="D7" s="12">
        <f>_xlfn.STDEV.S('1_Du_lieu'!$F$131:$F$193)/AVERAGE('1_Du_lieu'!$F$131:$F$193)</f>
        <v>0.32268793481216984</v>
      </c>
      <c r="E7" s="12">
        <f>_xlfn.STDEV.S('1_Du_lieu'!$G$131:$G$193)/AVERAGE('1_Du_lieu'!$G$131:$G$193)</f>
        <v>0.30031564396362648</v>
      </c>
      <c r="F7" s="12">
        <f>_xlfn.STDEV.S('1_Du_lieu'!$H$131:$H$193)/AVERAGE('1_Du_lieu'!$H$131:$H$193)</f>
        <v>0.43040695992675287</v>
      </c>
      <c r="G7" s="7">
        <f>'4_Bang3_Gini_Theil'!E508</f>
        <v>0.23704148585034987</v>
      </c>
      <c r="H7" s="9">
        <f>AVERAGE('1_Du_lieu'!$E$131:$E$193)</f>
        <v>40.329629629629643</v>
      </c>
      <c r="I7" s="9">
        <f>_xlfn.STDEV.S('1_Du_lieu'!$E$131:$E$193)</f>
        <v>11.547189964950435</v>
      </c>
    </row>
    <row r="8" spans="1:12" x14ac:dyDescent="0.25">
      <c r="A8">
        <v>2020</v>
      </c>
      <c r="B8" s="5">
        <f>COUNT('1_Du_lieu'!$E$194:$E$256)</f>
        <v>55</v>
      </c>
      <c r="C8" s="12">
        <f>_xlfn.STDEV.S('1_Du_lieu'!$E$194:$E$256)/AVERAGE('1_Du_lieu'!$E$194:$E$256)</f>
        <v>0.28262513403316475</v>
      </c>
      <c r="D8" s="12">
        <f>_xlfn.STDEV.S('1_Du_lieu'!$F$194:$F$256)/AVERAGE('1_Du_lieu'!$F$194:$F$256)</f>
        <v>0.32465910794072456</v>
      </c>
      <c r="E8" s="12">
        <f>_xlfn.STDEV.S('1_Du_lieu'!$G$194:$G$256)/AVERAGE('1_Du_lieu'!$G$194:$G$256)</f>
        <v>0.30661436510134221</v>
      </c>
      <c r="F8" s="12">
        <f>_xlfn.STDEV.S('1_Du_lieu'!$H$194:$H$256)/AVERAGE('1_Du_lieu'!$H$194:$H$256)</f>
        <v>0.4087589585315084</v>
      </c>
      <c r="G8" s="7">
        <f>'4_Bang3_Gini_Theil'!E509</f>
        <v>0.23941386094791395</v>
      </c>
      <c r="H8" s="9">
        <f>AVERAGE('1_Du_lieu'!$E$194:$E$256)</f>
        <v>41.616363636363644</v>
      </c>
      <c r="I8" s="9">
        <f>_xlfn.STDEV.S('1_Du_lieu'!$E$194:$E$256)</f>
        <v>11.761830350700198</v>
      </c>
    </row>
    <row r="9" spans="1:12" x14ac:dyDescent="0.25">
      <c r="A9">
        <v>2021</v>
      </c>
      <c r="B9" s="5">
        <f>COUNT('1_Du_lieu'!$E$257:$E$319)</f>
        <v>56</v>
      </c>
      <c r="C9" s="12">
        <f>_xlfn.STDEV.S('1_Du_lieu'!$E$257:$E$319)/AVERAGE('1_Du_lieu'!$E$257:$E$319)</f>
        <v>1.2534100744940726</v>
      </c>
      <c r="D9" s="12">
        <f>_xlfn.STDEV.S('1_Du_lieu'!$F$257:$F$319)/AVERAGE('1_Du_lieu'!$F$257:$F$319)</f>
        <v>0.61106400346611189</v>
      </c>
      <c r="E9" s="12">
        <f>_xlfn.STDEV.S('1_Du_lieu'!$G$257:$G$319)/AVERAGE('1_Du_lieu'!$G$257:$G$319)</f>
        <v>1.952104900261485</v>
      </c>
      <c r="F9" s="12">
        <f>_xlfn.STDEV.S('1_Du_lieu'!$H$257:$H$319)/AVERAGE('1_Du_lieu'!$H$257:$H$319)</f>
        <v>1.4219389986331632</v>
      </c>
      <c r="G9" s="7">
        <f>'4_Bang3_Gini_Theil'!E510</f>
        <v>0.52838400881692471</v>
      </c>
      <c r="H9" s="9">
        <f>AVERAGE('1_Du_lieu'!$E$257:$E$319)</f>
        <v>8.5376785714285699</v>
      </c>
      <c r="I9" s="9">
        <f>_xlfn.STDEV.S('1_Du_lieu'!$E$257:$E$319)</f>
        <v>10.701212334220731</v>
      </c>
    </row>
    <row r="10" spans="1:12" x14ac:dyDescent="0.25">
      <c r="A10">
        <v>2022</v>
      </c>
      <c r="B10" s="5">
        <f>COUNT('1_Du_lieu'!$E$320:$E$382)</f>
        <v>56</v>
      </c>
      <c r="C10" s="12">
        <f>_xlfn.STDEV.S('1_Du_lieu'!$E$320:$E$382)/AVERAGE('1_Du_lieu'!$E$320:$E$382)</f>
        <v>0.71994938147609389</v>
      </c>
      <c r="D10" s="12">
        <f>_xlfn.STDEV.S('1_Du_lieu'!$F$320:$F$382)/AVERAGE('1_Du_lieu'!$F$320:$F$382)</f>
        <v>0.77857569535162696</v>
      </c>
      <c r="E10" s="12">
        <f>_xlfn.STDEV.S('1_Du_lieu'!$G$320:$G$382)/AVERAGE('1_Du_lieu'!$G$320:$G$382)</f>
        <v>0.6252833318362957</v>
      </c>
      <c r="F10" s="12">
        <f>_xlfn.STDEV.S('1_Du_lieu'!$H$320:$H$382)/AVERAGE('1_Du_lieu'!$H$320:$H$382)</f>
        <v>0.82165472820399033</v>
      </c>
      <c r="G10" s="7">
        <f>'4_Bang3_Gini_Theil'!E511</f>
        <v>0.4510117405440302</v>
      </c>
      <c r="H10" s="9">
        <f>AVERAGE('1_Du_lieu'!$E$320:$E$382)</f>
        <v>20.376785714285713</v>
      </c>
      <c r="I10" s="9">
        <f>_xlfn.STDEV.S('1_Du_lieu'!$E$320:$E$382)</f>
        <v>14.670254271470904</v>
      </c>
    </row>
    <row r="11" spans="1:12" x14ac:dyDescent="0.25">
      <c r="A11">
        <v>2023</v>
      </c>
      <c r="B11" s="5">
        <f>COUNT('1_Du_lieu'!$E$383:$E$445)</f>
        <v>58</v>
      </c>
      <c r="C11" s="12">
        <f>_xlfn.STDEV.S('1_Du_lieu'!$E$383:$E$445)/AVERAGE('1_Du_lieu'!$E$383:$E$445)</f>
        <v>0.73753746646604701</v>
      </c>
      <c r="D11" s="12">
        <f>_xlfn.STDEV.S('1_Du_lieu'!$F$383:$F$445)/AVERAGE('1_Du_lieu'!$F$383:$F$445)</f>
        <v>0.74447266063247797</v>
      </c>
      <c r="E11" s="12">
        <f>_xlfn.STDEV.S('1_Du_lieu'!$G$383:$G$445)/AVERAGE('1_Du_lieu'!$G$383:$G$445)</f>
        <v>0.926116136447523</v>
      </c>
      <c r="F11" s="12">
        <f>_xlfn.STDEV.S('1_Du_lieu'!$H$383:$H$445)/AVERAGE('1_Du_lieu'!$H$383:$H$445)</f>
        <v>0.66186102460942398</v>
      </c>
      <c r="G11" s="7">
        <f>'4_Bang3_Gini_Theil'!E512</f>
        <v>0.42804913876202499</v>
      </c>
      <c r="H11" s="9">
        <f>AVERAGE('1_Du_lieu'!$E$383:$E$445)</f>
        <v>19.241379310344833</v>
      </c>
      <c r="I11" s="9">
        <f>_xlfn.STDEV.S('1_Du_lieu'!$E$383:$E$445)</f>
        <v>14.191238147863942</v>
      </c>
    </row>
    <row r="12" spans="1:12" x14ac:dyDescent="0.25">
      <c r="A12">
        <v>2024</v>
      </c>
      <c r="B12" s="5">
        <f>COUNT('1_Du_lieu'!$E$446:$E$508)</f>
        <v>58</v>
      </c>
      <c r="C12" s="12">
        <f>_xlfn.STDEV.S('1_Du_lieu'!$E$446:$E$508)/AVERAGE('1_Du_lieu'!$E$446:$E$508)</f>
        <v>0.60822672138593215</v>
      </c>
      <c r="D12" s="12">
        <f>_xlfn.STDEV.S('1_Du_lieu'!$F$446:$F$508)/AVERAGE('1_Du_lieu'!$F$446:$F$508)</f>
        <v>0.70434969665366232</v>
      </c>
      <c r="E12" s="12">
        <f>_xlfn.STDEV.S('1_Du_lieu'!$G$446:$G$508)/AVERAGE('1_Du_lieu'!$G$446:$G$508)</f>
        <v>0.42475175804031123</v>
      </c>
      <c r="F12" s="12">
        <f>_xlfn.STDEV.S('1_Du_lieu'!$H$446:$H$508)/AVERAGE('1_Du_lieu'!$H$446:$H$508)</f>
        <v>0.84745338189884378</v>
      </c>
      <c r="G12" s="7">
        <f>'4_Bang3_Gini_Theil'!E513</f>
        <v>0.4096248690714519</v>
      </c>
      <c r="H12" s="9">
        <f>AVERAGE('1_Du_lieu'!$E$446:$E$508)</f>
        <v>23.086206896551722</v>
      </c>
      <c r="I12" s="9">
        <f>_xlfn.STDEV.S('1_Du_lieu'!$E$446:$E$508)</f>
        <v>14.041647929926951</v>
      </c>
    </row>
  </sheetData>
  <mergeCells count="1">
    <mergeCell ref="A2:L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37"/>
  <sheetViews>
    <sheetView workbookViewId="0"/>
  </sheetViews>
  <sheetFormatPr defaultRowHeight="15" x14ac:dyDescent="0.25"/>
  <cols>
    <col min="1" max="1" width="30" customWidth="1"/>
    <col min="2" max="3" width="13" customWidth="1"/>
    <col min="4" max="4" width="12" customWidth="1"/>
    <col min="5" max="5" width="10" customWidth="1"/>
    <col min="6" max="6" width="16" customWidth="1"/>
    <col min="7" max="7" width="8" customWidth="1"/>
    <col min="8" max="11" width="12" customWidth="1"/>
    <col min="12" max="13" width="3" customWidth="1"/>
    <col min="14" max="19" width="10" customWidth="1"/>
  </cols>
  <sheetData>
    <row r="1" spans="1:19" ht="17.25" x14ac:dyDescent="0.3">
      <c r="A1" s="1" t="s">
        <v>312</v>
      </c>
    </row>
    <row r="2" spans="1:19" ht="44.1" customHeight="1" x14ac:dyDescent="0.25">
      <c r="A2" s="26" t="s">
        <v>313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9" x14ac:dyDescent="0.25">
      <c r="A4" s="14" t="s">
        <v>314</v>
      </c>
    </row>
    <row r="5" spans="1:19" ht="32.1" customHeight="1" x14ac:dyDescent="0.25">
      <c r="A5" s="3" t="s">
        <v>52</v>
      </c>
      <c r="B5" s="3" t="s">
        <v>315</v>
      </c>
      <c r="C5" s="3" t="s">
        <v>316</v>
      </c>
      <c r="D5" s="3" t="s">
        <v>317</v>
      </c>
      <c r="E5" s="3" t="s">
        <v>318</v>
      </c>
      <c r="F5" s="3" t="s">
        <v>319</v>
      </c>
      <c r="G5" s="3" t="s">
        <v>320</v>
      </c>
      <c r="H5" s="3" t="s">
        <v>321</v>
      </c>
      <c r="I5" s="3" t="s">
        <v>322</v>
      </c>
      <c r="J5" s="3" t="s">
        <v>323</v>
      </c>
      <c r="K5" s="3" t="s">
        <v>324</v>
      </c>
      <c r="N5" s="3" t="s">
        <v>325</v>
      </c>
      <c r="O5" s="3" t="s">
        <v>317</v>
      </c>
      <c r="P5" s="3" t="s">
        <v>74</v>
      </c>
      <c r="Q5" s="3" t="s">
        <v>326</v>
      </c>
      <c r="R5" s="3" t="s">
        <v>176</v>
      </c>
      <c r="S5" s="3" t="s">
        <v>327</v>
      </c>
    </row>
    <row r="6" spans="1:19" x14ac:dyDescent="0.25">
      <c r="A6" t="s">
        <v>85</v>
      </c>
      <c r="B6" s="6">
        <f>'1_Du_lieu'!E5</f>
        <v>27.2</v>
      </c>
      <c r="C6" s="6">
        <f>'1_Du_lieu'!E194</f>
        <v>39.200000000000003</v>
      </c>
      <c r="D6" s="7">
        <f t="shared" ref="D6:D37" si="0">LN(B6)</f>
        <v>3.3032169733019514</v>
      </c>
      <c r="E6" s="7">
        <f t="shared" ref="E6:E37" si="1">LN(C6)</f>
        <v>3.6686767467964168</v>
      </c>
      <c r="F6" s="7">
        <f t="shared" ref="F6:F37" si="2">(E6-D6)/3</f>
        <v>0.12181992449815511</v>
      </c>
      <c r="G6">
        <v>1</v>
      </c>
      <c r="H6" s="9">
        <f>'1_Du_lieu'!W68</f>
        <v>3.6988297849671046</v>
      </c>
      <c r="I6" s="9">
        <f>'1_Du_lieu'!L68</f>
        <v>2.3149999999999999</v>
      </c>
      <c r="J6" s="9">
        <f>'1_Du_lieu'!M68</f>
        <v>31.33</v>
      </c>
      <c r="K6" s="9">
        <f>'1_Du_lieu'!N68</f>
        <v>13.6</v>
      </c>
      <c r="N6" s="7">
        <f t="shared" ref="N6:N15" si="3">F6</f>
        <v>0.12181992449815511</v>
      </c>
      <c r="O6" s="7">
        <f t="shared" ref="O6:O15" si="4">D6</f>
        <v>3.3032169733019514</v>
      </c>
      <c r="P6" s="9">
        <f t="shared" ref="P6:P15" si="5">H6</f>
        <v>3.6988297849671046</v>
      </c>
      <c r="Q6" s="9">
        <f t="shared" ref="Q6:Q15" si="6">I6</f>
        <v>2.3149999999999999</v>
      </c>
      <c r="R6" s="9">
        <f t="shared" ref="R6:R15" si="7">J6</f>
        <v>31.33</v>
      </c>
      <c r="S6" s="9">
        <f t="shared" ref="S6:S15" si="8">K6</f>
        <v>13.6</v>
      </c>
    </row>
    <row r="7" spans="1:19" x14ac:dyDescent="0.25">
      <c r="A7" t="s">
        <v>87</v>
      </c>
      <c r="B7" s="6">
        <f>'1_Du_lieu'!E6</f>
        <v>37.799999999999997</v>
      </c>
      <c r="C7" s="6">
        <f>'1_Du_lieu'!E195</f>
        <v>48.6</v>
      </c>
      <c r="D7" s="7">
        <f t="shared" si="0"/>
        <v>3.6323091026255421</v>
      </c>
      <c r="E7" s="7">
        <f t="shared" si="1"/>
        <v>3.8836235309064482</v>
      </c>
      <c r="F7" s="7">
        <f t="shared" si="2"/>
        <v>8.3771476093635375E-2</v>
      </c>
      <c r="G7">
        <v>1</v>
      </c>
      <c r="H7" s="9">
        <f>'1_Du_lieu'!W69</f>
        <v>5.7352811417155722</v>
      </c>
      <c r="I7" s="9">
        <f>'1_Du_lieu'!L69</f>
        <v>8.4429999999999996</v>
      </c>
      <c r="J7" s="9">
        <f>'1_Du_lieu'!M69</f>
        <v>57.69</v>
      </c>
      <c r="K7" s="9">
        <f>'1_Du_lieu'!N69</f>
        <v>25.9</v>
      </c>
      <c r="N7" s="7">
        <f t="shared" si="3"/>
        <v>8.3771476093635375E-2</v>
      </c>
      <c r="O7" s="7">
        <f t="shared" si="4"/>
        <v>3.6323091026255421</v>
      </c>
      <c r="P7" s="9">
        <f t="shared" si="5"/>
        <v>5.7352811417155722</v>
      </c>
      <c r="Q7" s="9">
        <f t="shared" si="6"/>
        <v>8.4429999999999996</v>
      </c>
      <c r="R7" s="9">
        <f t="shared" si="7"/>
        <v>57.69</v>
      </c>
      <c r="S7" s="9">
        <f t="shared" si="8"/>
        <v>25.9</v>
      </c>
    </row>
    <row r="8" spans="1:19" x14ac:dyDescent="0.25">
      <c r="A8" t="s">
        <v>89</v>
      </c>
      <c r="B8" s="6">
        <f>'1_Du_lieu'!E7</f>
        <v>43</v>
      </c>
      <c r="C8" s="6">
        <f>'1_Du_lieu'!E196</f>
        <v>54.9</v>
      </c>
      <c r="D8" s="7">
        <f t="shared" si="0"/>
        <v>3.7612001156935624</v>
      </c>
      <c r="E8" s="7">
        <f t="shared" si="1"/>
        <v>4.0055133485154846</v>
      </c>
      <c r="F8" s="7">
        <f t="shared" si="2"/>
        <v>8.1437744273974058E-2</v>
      </c>
      <c r="G8">
        <v>1</v>
      </c>
      <c r="H8" s="9">
        <f>'1_Du_lieu'!W70</f>
        <v>4.9250774057346094</v>
      </c>
      <c r="I8" s="9">
        <f>'1_Du_lieu'!L70</f>
        <v>11.754</v>
      </c>
      <c r="J8" s="9">
        <f>'1_Du_lieu'!M70</f>
        <v>79.98</v>
      </c>
      <c r="K8" s="9">
        <f>'1_Du_lieu'!N70</f>
        <v>20.6</v>
      </c>
      <c r="N8" s="7">
        <f t="shared" si="3"/>
        <v>8.1437744273974058E-2</v>
      </c>
      <c r="O8" s="7">
        <f t="shared" si="4"/>
        <v>3.7612001156935624</v>
      </c>
      <c r="P8" s="9">
        <f t="shared" si="5"/>
        <v>4.9250774057346094</v>
      </c>
      <c r="Q8" s="9">
        <f t="shared" si="6"/>
        <v>11.754</v>
      </c>
      <c r="R8" s="9">
        <f t="shared" si="7"/>
        <v>79.98</v>
      </c>
      <c r="S8" s="9">
        <f t="shared" si="8"/>
        <v>20.6</v>
      </c>
    </row>
    <row r="9" spans="1:19" x14ac:dyDescent="0.25">
      <c r="A9" t="s">
        <v>90</v>
      </c>
      <c r="B9" s="6">
        <f>'1_Du_lieu'!E8</f>
        <v>24</v>
      </c>
      <c r="C9" s="6">
        <f>'1_Du_lieu'!E197</f>
        <v>29.8</v>
      </c>
      <c r="D9" s="7">
        <f t="shared" si="0"/>
        <v>3.1780538303479458</v>
      </c>
      <c r="E9" s="7">
        <f t="shared" si="1"/>
        <v>3.3945083935113587</v>
      </c>
      <c r="F9" s="7">
        <f t="shared" si="2"/>
        <v>7.215152105447098E-2</v>
      </c>
      <c r="G9">
        <v>1</v>
      </c>
      <c r="H9" s="9">
        <f>'1_Du_lieu'!W71</f>
        <v>4.0271358125286509</v>
      </c>
      <c r="I9" s="9">
        <f>'1_Du_lieu'!L71</f>
        <v>4.54</v>
      </c>
      <c r="J9" s="9">
        <f>'1_Du_lieu'!M71</f>
        <v>23.08</v>
      </c>
      <c r="K9" s="9">
        <f>'1_Du_lieu'!N71</f>
        <v>16.8</v>
      </c>
      <c r="N9" s="7">
        <f t="shared" si="3"/>
        <v>7.215152105447098E-2</v>
      </c>
      <c r="O9" s="7">
        <f t="shared" si="4"/>
        <v>3.1780538303479458</v>
      </c>
      <c r="P9" s="9">
        <f t="shared" si="5"/>
        <v>4.0271358125286509</v>
      </c>
      <c r="Q9" s="9">
        <f t="shared" si="6"/>
        <v>4.54</v>
      </c>
      <c r="R9" s="9">
        <f t="shared" si="7"/>
        <v>23.08</v>
      </c>
      <c r="S9" s="9">
        <f t="shared" si="8"/>
        <v>16.8</v>
      </c>
    </row>
    <row r="10" spans="1:19" x14ac:dyDescent="0.25">
      <c r="A10" t="s">
        <v>91</v>
      </c>
      <c r="B10" s="6">
        <f>'1_Du_lieu'!E9</f>
        <v>29.5</v>
      </c>
      <c r="C10" s="6">
        <f>'1_Du_lieu'!E198</f>
        <v>37</v>
      </c>
      <c r="D10" s="7">
        <f t="shared" si="0"/>
        <v>3.3843902633457743</v>
      </c>
      <c r="E10" s="7">
        <f t="shared" si="1"/>
        <v>3.6109179126442243</v>
      </c>
      <c r="F10" s="7">
        <f t="shared" si="2"/>
        <v>7.5509216432816675E-2</v>
      </c>
      <c r="G10">
        <v>1</v>
      </c>
      <c r="H10" s="9">
        <f>'1_Du_lieu'!W72</f>
        <v>3.9778107459661491</v>
      </c>
      <c r="I10" s="9">
        <f>'1_Du_lieu'!L72</f>
        <v>3.63</v>
      </c>
      <c r="J10" s="9">
        <f>'1_Du_lieu'!M72</f>
        <v>38.200000000000003</v>
      </c>
      <c r="K10" s="9">
        <f>'1_Du_lieu'!N72</f>
        <v>14</v>
      </c>
      <c r="N10" s="7">
        <f t="shared" si="3"/>
        <v>7.5509216432816675E-2</v>
      </c>
      <c r="O10" s="7">
        <f t="shared" si="4"/>
        <v>3.3843902633457743</v>
      </c>
      <c r="P10" s="9">
        <f t="shared" si="5"/>
        <v>3.9778107459661491</v>
      </c>
      <c r="Q10" s="9">
        <f t="shared" si="6"/>
        <v>3.63</v>
      </c>
      <c r="R10" s="9">
        <f t="shared" si="7"/>
        <v>38.200000000000003</v>
      </c>
      <c r="S10" s="9">
        <f t="shared" si="8"/>
        <v>14</v>
      </c>
    </row>
    <row r="11" spans="1:19" x14ac:dyDescent="0.25">
      <c r="A11" t="s">
        <v>93</v>
      </c>
      <c r="B11" s="6">
        <f>'1_Du_lieu'!E10</f>
        <v>29.9</v>
      </c>
      <c r="C11" s="6">
        <f>'1_Du_lieu'!E199</f>
        <v>42.4</v>
      </c>
      <c r="D11" s="7">
        <f t="shared" si="0"/>
        <v>3.3978584803966405</v>
      </c>
      <c r="E11" s="7">
        <f t="shared" si="1"/>
        <v>3.7471483622379123</v>
      </c>
      <c r="F11" s="7">
        <f t="shared" si="2"/>
        <v>0.11642996061375725</v>
      </c>
      <c r="G11">
        <v>1</v>
      </c>
      <c r="H11" s="9">
        <f>'1_Du_lieu'!W73</f>
        <v>3.9160150266976834</v>
      </c>
      <c r="I11" s="9">
        <f>'1_Du_lieu'!L73</f>
        <v>4.1669999999999998</v>
      </c>
      <c r="J11" s="9">
        <f>'1_Du_lieu'!M73</f>
        <v>31.96</v>
      </c>
      <c r="K11" s="9">
        <f>'1_Du_lieu'!N73</f>
        <v>21.2</v>
      </c>
      <c r="N11" s="7">
        <f t="shared" si="3"/>
        <v>0.11642996061375725</v>
      </c>
      <c r="O11" s="7">
        <f t="shared" si="4"/>
        <v>3.3978584803966405</v>
      </c>
      <c r="P11" s="9">
        <f t="shared" si="5"/>
        <v>3.9160150266976834</v>
      </c>
      <c r="Q11" s="9">
        <f t="shared" si="6"/>
        <v>4.1669999999999998</v>
      </c>
      <c r="R11" s="9">
        <f t="shared" si="7"/>
        <v>31.96</v>
      </c>
      <c r="S11" s="9">
        <f t="shared" si="8"/>
        <v>21.2</v>
      </c>
    </row>
    <row r="12" spans="1:19" x14ac:dyDescent="0.25">
      <c r="A12" t="s">
        <v>95</v>
      </c>
      <c r="B12" s="6">
        <f>'1_Du_lieu'!E12</f>
        <v>30</v>
      </c>
      <c r="C12" s="6">
        <f>'1_Du_lieu'!E201</f>
        <v>43.8</v>
      </c>
      <c r="D12" s="7">
        <f t="shared" si="0"/>
        <v>3.4011973816621555</v>
      </c>
      <c r="E12" s="7">
        <f t="shared" si="1"/>
        <v>3.7796338173824005</v>
      </c>
      <c r="F12" s="7">
        <f t="shared" si="2"/>
        <v>0.12614547857341499</v>
      </c>
      <c r="G12">
        <v>1</v>
      </c>
      <c r="H12" s="9">
        <f>'1_Du_lieu'!W75</f>
        <v>3.9278963545844361</v>
      </c>
      <c r="I12" s="9">
        <f>'1_Du_lieu'!L75</f>
        <v>3.0670000000000002</v>
      </c>
      <c r="J12" s="9">
        <f>'1_Du_lieu'!M75</f>
        <v>11.41</v>
      </c>
      <c r="K12" s="9">
        <f>'1_Du_lieu'!N75</f>
        <v>16.7</v>
      </c>
      <c r="N12" s="7">
        <f t="shared" si="3"/>
        <v>0.12614547857341499</v>
      </c>
      <c r="O12" s="7">
        <f t="shared" si="4"/>
        <v>3.4011973816621555</v>
      </c>
      <c r="P12" s="9">
        <f t="shared" si="5"/>
        <v>3.9278963545844361</v>
      </c>
      <c r="Q12" s="9">
        <f t="shared" si="6"/>
        <v>3.0670000000000002</v>
      </c>
      <c r="R12" s="9">
        <f t="shared" si="7"/>
        <v>11.41</v>
      </c>
      <c r="S12" s="9">
        <f t="shared" si="8"/>
        <v>16.7</v>
      </c>
    </row>
    <row r="13" spans="1:19" x14ac:dyDescent="0.25">
      <c r="A13" t="s">
        <v>97</v>
      </c>
      <c r="B13" s="6">
        <f>'1_Du_lieu'!E13</f>
        <v>22.6</v>
      </c>
      <c r="C13" s="6">
        <f>'1_Du_lieu'!E202</f>
        <v>27.9</v>
      </c>
      <c r="D13" s="7">
        <f t="shared" si="0"/>
        <v>3.1179499062782403</v>
      </c>
      <c r="E13" s="7">
        <f t="shared" si="1"/>
        <v>3.3286266888273199</v>
      </c>
      <c r="F13" s="7">
        <f t="shared" si="2"/>
        <v>7.0225594183026541E-2</v>
      </c>
      <c r="G13">
        <v>1</v>
      </c>
      <c r="H13" s="9">
        <f>'1_Du_lieu'!W76</f>
        <v>3.5667118201397288</v>
      </c>
      <c r="I13" s="9">
        <f>'1_Du_lieu'!L76</f>
        <v>2.1219999999999999</v>
      </c>
      <c r="J13" s="9">
        <f>'1_Du_lieu'!M76</f>
        <v>20.350000000000001</v>
      </c>
      <c r="K13" s="9">
        <f>'1_Du_lieu'!N76</f>
        <v>17.7</v>
      </c>
      <c r="N13" s="7">
        <f t="shared" si="3"/>
        <v>7.0225594183026541E-2</v>
      </c>
      <c r="O13" s="7">
        <f t="shared" si="4"/>
        <v>3.1179499062782403</v>
      </c>
      <c r="P13" s="9">
        <f t="shared" si="5"/>
        <v>3.5667118201397288</v>
      </c>
      <c r="Q13" s="9">
        <f t="shared" si="6"/>
        <v>2.1219999999999999</v>
      </c>
      <c r="R13" s="9">
        <f t="shared" si="7"/>
        <v>20.350000000000001</v>
      </c>
      <c r="S13" s="9">
        <f t="shared" si="8"/>
        <v>17.7</v>
      </c>
    </row>
    <row r="14" spans="1:19" x14ac:dyDescent="0.25">
      <c r="A14" t="s">
        <v>98</v>
      </c>
      <c r="B14" s="6">
        <f>'1_Du_lieu'!E14</f>
        <v>38.9</v>
      </c>
      <c r="C14" s="6">
        <f>'1_Du_lieu'!E203</f>
        <v>53.1</v>
      </c>
      <c r="D14" s="7">
        <f t="shared" si="0"/>
        <v>3.6609942506244004</v>
      </c>
      <c r="E14" s="7">
        <f t="shared" si="1"/>
        <v>3.9721769282478934</v>
      </c>
      <c r="F14" s="7">
        <f t="shared" si="2"/>
        <v>0.10372755920783099</v>
      </c>
      <c r="G14">
        <v>1</v>
      </c>
      <c r="H14" s="9">
        <f>'1_Du_lieu'!W77</f>
        <v>4.9760438493266363</v>
      </c>
      <c r="I14" s="9">
        <f>'1_Du_lieu'!L77</f>
        <v>7.4139999999999997</v>
      </c>
      <c r="J14" s="9">
        <f>'1_Du_lieu'!M77</f>
        <v>27.34</v>
      </c>
      <c r="K14" s="9">
        <f>'1_Du_lieu'!N77</f>
        <v>28</v>
      </c>
      <c r="N14" s="7">
        <f t="shared" si="3"/>
        <v>0.10372755920783099</v>
      </c>
      <c r="O14" s="7">
        <f t="shared" si="4"/>
        <v>3.6609942506244004</v>
      </c>
      <c r="P14" s="9">
        <f t="shared" si="5"/>
        <v>4.9760438493266363</v>
      </c>
      <c r="Q14" s="9">
        <f t="shared" si="6"/>
        <v>7.4139999999999997</v>
      </c>
      <c r="R14" s="9">
        <f t="shared" si="7"/>
        <v>27.34</v>
      </c>
      <c r="S14" s="9">
        <f t="shared" si="8"/>
        <v>28</v>
      </c>
    </row>
    <row r="15" spans="1:19" x14ac:dyDescent="0.25">
      <c r="A15" t="s">
        <v>100</v>
      </c>
      <c r="B15" s="6">
        <f>'1_Du_lieu'!E15</f>
        <v>28.1</v>
      </c>
      <c r="C15" s="6">
        <f>'1_Du_lieu'!E204</f>
        <v>43.6</v>
      </c>
      <c r="D15" s="7">
        <f t="shared" si="0"/>
        <v>3.3357695763396999</v>
      </c>
      <c r="E15" s="7">
        <f t="shared" si="1"/>
        <v>3.7750571503549888</v>
      </c>
      <c r="F15" s="7">
        <f t="shared" si="2"/>
        <v>0.1464291913384296</v>
      </c>
      <c r="G15">
        <v>1</v>
      </c>
      <c r="H15" s="9">
        <f>'1_Du_lieu'!W78</f>
        <v>3.6054978451748854</v>
      </c>
      <c r="I15" s="9">
        <f>'1_Du_lieu'!L78</f>
        <v>2.464</v>
      </c>
      <c r="J15" s="9">
        <f>'1_Du_lieu'!M78</f>
        <v>9.82</v>
      </c>
      <c r="K15" s="9">
        <f>'1_Du_lieu'!N78</f>
        <v>9.1999999999999993</v>
      </c>
      <c r="N15" s="7">
        <f t="shared" si="3"/>
        <v>0.1464291913384296</v>
      </c>
      <c r="O15" s="7">
        <f t="shared" si="4"/>
        <v>3.3357695763396999</v>
      </c>
      <c r="P15" s="9">
        <f t="shared" si="5"/>
        <v>3.6054978451748854</v>
      </c>
      <c r="Q15" s="9">
        <f t="shared" si="6"/>
        <v>2.464</v>
      </c>
      <c r="R15" s="9">
        <f t="shared" si="7"/>
        <v>9.82</v>
      </c>
      <c r="S15" s="9">
        <f t="shared" si="8"/>
        <v>9.1999999999999993</v>
      </c>
    </row>
    <row r="16" spans="1:19" x14ac:dyDescent="0.25">
      <c r="A16" t="s">
        <v>102</v>
      </c>
      <c r="B16" s="6">
        <f>'1_Du_lieu'!E17</f>
        <v>21.2</v>
      </c>
      <c r="C16" s="6">
        <f>'1_Du_lieu'!E206</f>
        <v>28.5</v>
      </c>
      <c r="D16" s="7">
        <f t="shared" si="0"/>
        <v>3.0540011816779669</v>
      </c>
      <c r="E16" s="7">
        <f t="shared" si="1"/>
        <v>3.3499040872746049</v>
      </c>
      <c r="F16" s="7">
        <f t="shared" si="2"/>
        <v>9.8634301865546004E-2</v>
      </c>
      <c r="G16">
        <v>0</v>
      </c>
      <c r="H16" s="9">
        <f>'1_Du_lieu'!W80</f>
        <v>3.8753590210565547</v>
      </c>
      <c r="I16" s="9">
        <f>'1_Du_lieu'!L80</f>
        <v>2.8490000000000002</v>
      </c>
      <c r="J16" s="9">
        <f>'1_Du_lieu'!M80</f>
        <v>22.61</v>
      </c>
      <c r="K16" s="9">
        <f>'1_Du_lieu'!N80</f>
        <v>12.5</v>
      </c>
      <c r="N16" s="7">
        <f t="shared" ref="N16:N58" si="9">F17</f>
        <v>9.047385052666683E-2</v>
      </c>
      <c r="O16" s="7">
        <f t="shared" ref="O16:O58" si="10">D17</f>
        <v>3.6163087612791012</v>
      </c>
      <c r="P16" s="9">
        <f t="shared" ref="P16:P58" si="11">H17</f>
        <v>4.2165621949463494</v>
      </c>
      <c r="Q16" s="9">
        <f t="shared" ref="Q16:Q58" si="12">I17</f>
        <v>6.3730000000000002</v>
      </c>
      <c r="R16" s="9">
        <f t="shared" ref="R16:R58" si="13">J17</f>
        <v>69.28</v>
      </c>
      <c r="S16" s="9">
        <f t="shared" ref="S16:S58" si="14">K17</f>
        <v>24.2</v>
      </c>
    </row>
    <row r="17" spans="1:19" x14ac:dyDescent="0.25">
      <c r="A17" t="s">
        <v>103</v>
      </c>
      <c r="B17" s="6">
        <f>'1_Du_lieu'!E18</f>
        <v>37.200000000000003</v>
      </c>
      <c r="C17" s="6">
        <f>'1_Du_lieu'!E207</f>
        <v>48.8</v>
      </c>
      <c r="D17" s="7">
        <f t="shared" si="0"/>
        <v>3.6163087612791012</v>
      </c>
      <c r="E17" s="7">
        <f t="shared" si="1"/>
        <v>3.8877303128591016</v>
      </c>
      <c r="F17" s="7">
        <f t="shared" si="2"/>
        <v>9.047385052666683E-2</v>
      </c>
      <c r="G17">
        <v>1</v>
      </c>
      <c r="H17" s="9">
        <f>'1_Du_lieu'!W81</f>
        <v>4.2165621949463494</v>
      </c>
      <c r="I17" s="9">
        <f>'1_Du_lieu'!L81</f>
        <v>6.3730000000000002</v>
      </c>
      <c r="J17" s="9">
        <f>'1_Du_lieu'!M81</f>
        <v>69.28</v>
      </c>
      <c r="K17" s="9">
        <f>'1_Du_lieu'!N81</f>
        <v>24.2</v>
      </c>
      <c r="N17" s="7">
        <f t="shared" si="9"/>
        <v>0.10319739402917512</v>
      </c>
      <c r="O17" s="7">
        <f t="shared" si="10"/>
        <v>3.1654750481410856</v>
      </c>
      <c r="P17" s="9">
        <f t="shared" si="11"/>
        <v>3.6712245188752153</v>
      </c>
      <c r="Q17" s="9">
        <f t="shared" si="12"/>
        <v>2.4140000000000001</v>
      </c>
      <c r="R17" s="9">
        <f t="shared" si="13"/>
        <v>28.92</v>
      </c>
      <c r="S17" s="9">
        <f t="shared" si="14"/>
        <v>10.4</v>
      </c>
    </row>
    <row r="18" spans="1:19" x14ac:dyDescent="0.25">
      <c r="A18" t="s">
        <v>104</v>
      </c>
      <c r="B18" s="6">
        <f>'1_Du_lieu'!E19</f>
        <v>23.7</v>
      </c>
      <c r="C18" s="6">
        <f>'1_Du_lieu'!E208</f>
        <v>32.299999999999997</v>
      </c>
      <c r="D18" s="7">
        <f t="shared" si="0"/>
        <v>3.1654750481410856</v>
      </c>
      <c r="E18" s="7">
        <f t="shared" si="1"/>
        <v>3.475067230228611</v>
      </c>
      <c r="F18" s="7">
        <f t="shared" si="2"/>
        <v>0.10319739402917512</v>
      </c>
      <c r="G18">
        <v>1</v>
      </c>
      <c r="H18" s="9">
        <f>'1_Du_lieu'!W82</f>
        <v>3.6712245188752153</v>
      </c>
      <c r="I18" s="9">
        <f>'1_Du_lieu'!L82</f>
        <v>2.4140000000000001</v>
      </c>
      <c r="J18" s="9">
        <f>'1_Du_lieu'!M82</f>
        <v>28.92</v>
      </c>
      <c r="K18" s="9">
        <f>'1_Du_lieu'!N82</f>
        <v>10.4</v>
      </c>
      <c r="N18" s="7">
        <f t="shared" si="9"/>
        <v>0.12002736742011555</v>
      </c>
      <c r="O18" s="7">
        <f t="shared" si="10"/>
        <v>3.3775875160230218</v>
      </c>
      <c r="P18" s="9">
        <f t="shared" si="11"/>
        <v>4.0306945351456447</v>
      </c>
      <c r="Q18" s="9">
        <f t="shared" si="12"/>
        <v>4.4279999999999999</v>
      </c>
      <c r="R18" s="9">
        <f t="shared" si="13"/>
        <v>16.62</v>
      </c>
      <c r="S18" s="9">
        <f t="shared" si="14"/>
        <v>20.8</v>
      </c>
    </row>
    <row r="19" spans="1:19" x14ac:dyDescent="0.25">
      <c r="A19" t="s">
        <v>107</v>
      </c>
      <c r="B19" s="6">
        <f>'1_Du_lieu'!E21</f>
        <v>29.3</v>
      </c>
      <c r="C19" s="6">
        <f>'1_Du_lieu'!E210</f>
        <v>42</v>
      </c>
      <c r="D19" s="7">
        <f t="shared" si="0"/>
        <v>3.3775875160230218</v>
      </c>
      <c r="E19" s="7">
        <f t="shared" si="1"/>
        <v>3.7376696182833684</v>
      </c>
      <c r="F19" s="7">
        <f t="shared" si="2"/>
        <v>0.12002736742011555</v>
      </c>
      <c r="G19">
        <v>1</v>
      </c>
      <c r="H19" s="9">
        <f>'1_Du_lieu'!W84</f>
        <v>4.0306945351456447</v>
      </c>
      <c r="I19" s="9">
        <f>'1_Du_lieu'!L84</f>
        <v>4.4279999999999999</v>
      </c>
      <c r="J19" s="9">
        <f>'1_Du_lieu'!M84</f>
        <v>16.62</v>
      </c>
      <c r="K19" s="9">
        <f>'1_Du_lieu'!N84</f>
        <v>20.8</v>
      </c>
      <c r="N19" s="7">
        <f t="shared" si="9"/>
        <v>4.0918177651802758E-2</v>
      </c>
      <c r="O19" s="7">
        <f t="shared" si="10"/>
        <v>4.3280982926483258</v>
      </c>
      <c r="P19" s="9">
        <f t="shared" si="11"/>
        <v>4.7149210499472103</v>
      </c>
      <c r="Q19" s="9">
        <f t="shared" si="12"/>
        <v>18.082999999999998</v>
      </c>
      <c r="R19" s="9">
        <f t="shared" si="13"/>
        <v>49.34</v>
      </c>
      <c r="S19" s="9">
        <f t="shared" si="14"/>
        <v>42</v>
      </c>
    </row>
    <row r="20" spans="1:19" x14ac:dyDescent="0.25">
      <c r="A20" t="s">
        <v>108</v>
      </c>
      <c r="B20" s="6">
        <f>'1_Du_lieu'!E22</f>
        <v>75.8</v>
      </c>
      <c r="C20" s="6">
        <f>'1_Du_lieu'!E211</f>
        <v>85.7</v>
      </c>
      <c r="D20" s="7">
        <f t="shared" si="0"/>
        <v>4.3280982926483258</v>
      </c>
      <c r="E20" s="7">
        <f t="shared" si="1"/>
        <v>4.4508528256037341</v>
      </c>
      <c r="F20" s="7">
        <f t="shared" si="2"/>
        <v>4.0918177651802758E-2</v>
      </c>
      <c r="G20">
        <v>1</v>
      </c>
      <c r="H20" s="9">
        <f>'1_Du_lieu'!W85</f>
        <v>4.7149210499472103</v>
      </c>
      <c r="I20" s="9">
        <f>'1_Du_lieu'!L85</f>
        <v>18.082999999999998</v>
      </c>
      <c r="J20" s="9">
        <f>'1_Du_lieu'!M85</f>
        <v>49.34</v>
      </c>
      <c r="K20" s="9">
        <f>'1_Du_lieu'!N85</f>
        <v>42</v>
      </c>
      <c r="N20" s="7">
        <f t="shared" si="9"/>
        <v>9.6508463648690146E-2</v>
      </c>
      <c r="O20" s="7">
        <f t="shared" si="10"/>
        <v>3.2995337278856551</v>
      </c>
      <c r="P20" s="9">
        <f t="shared" si="11"/>
        <v>4.0018637094279352</v>
      </c>
      <c r="Q20" s="9">
        <f t="shared" si="12"/>
        <v>3.4740000000000002</v>
      </c>
      <c r="R20" s="9">
        <f t="shared" si="13"/>
        <v>19.14</v>
      </c>
      <c r="S20" s="9">
        <f t="shared" si="14"/>
        <v>24.2</v>
      </c>
    </row>
    <row r="21" spans="1:19" x14ac:dyDescent="0.25">
      <c r="A21" t="s">
        <v>109</v>
      </c>
      <c r="B21" s="6">
        <f>'1_Du_lieu'!E23</f>
        <v>27.1</v>
      </c>
      <c r="C21" s="6">
        <f>'1_Du_lieu'!E212</f>
        <v>36.200000000000003</v>
      </c>
      <c r="D21" s="7">
        <f t="shared" si="0"/>
        <v>3.2995337278856551</v>
      </c>
      <c r="E21" s="7">
        <f t="shared" si="1"/>
        <v>3.5890591188317256</v>
      </c>
      <c r="F21" s="7">
        <f t="shared" si="2"/>
        <v>9.6508463648690146E-2</v>
      </c>
      <c r="G21">
        <v>1</v>
      </c>
      <c r="H21" s="9">
        <f>'1_Du_lieu'!W86</f>
        <v>4.0018637094279352</v>
      </c>
      <c r="I21" s="9">
        <f>'1_Du_lieu'!L86</f>
        <v>3.4740000000000002</v>
      </c>
      <c r="J21" s="9">
        <f>'1_Du_lieu'!M86</f>
        <v>19.14</v>
      </c>
      <c r="K21" s="9">
        <f>'1_Du_lieu'!N86</f>
        <v>24.2</v>
      </c>
      <c r="N21" s="7">
        <f t="shared" si="9"/>
        <v>9.5229351281638674E-2</v>
      </c>
      <c r="O21" s="7">
        <f t="shared" si="10"/>
        <v>3.2228678461377385</v>
      </c>
      <c r="P21" s="9">
        <f t="shared" si="11"/>
        <v>3.9963641538618968</v>
      </c>
      <c r="Q21" s="9">
        <f t="shared" si="12"/>
        <v>2.5510000000000002</v>
      </c>
      <c r="R21" s="9">
        <f t="shared" si="13"/>
        <v>15.66</v>
      </c>
      <c r="S21" s="9">
        <f t="shared" si="14"/>
        <v>17.399999999999999</v>
      </c>
    </row>
    <row r="22" spans="1:19" x14ac:dyDescent="0.25">
      <c r="A22" t="s">
        <v>110</v>
      </c>
      <c r="B22" s="6">
        <f>'1_Du_lieu'!E24</f>
        <v>25.1</v>
      </c>
      <c r="C22" s="6">
        <f>'1_Du_lieu'!E213</f>
        <v>33.4</v>
      </c>
      <c r="D22" s="7">
        <f t="shared" si="0"/>
        <v>3.2228678461377385</v>
      </c>
      <c r="E22" s="7">
        <f t="shared" si="1"/>
        <v>3.5085558999826545</v>
      </c>
      <c r="F22" s="7">
        <f t="shared" si="2"/>
        <v>9.5229351281638674E-2</v>
      </c>
      <c r="G22">
        <v>1</v>
      </c>
      <c r="H22" s="9">
        <f>'1_Du_lieu'!W87</f>
        <v>3.9963641538618968</v>
      </c>
      <c r="I22" s="9">
        <f>'1_Du_lieu'!L87</f>
        <v>2.5510000000000002</v>
      </c>
      <c r="J22" s="9">
        <f>'1_Du_lieu'!M87</f>
        <v>15.66</v>
      </c>
      <c r="K22" s="9">
        <f>'1_Du_lieu'!N87</f>
        <v>17.399999999999999</v>
      </c>
      <c r="N22" s="7">
        <f t="shared" si="9"/>
        <v>0.13831461735423614</v>
      </c>
      <c r="O22" s="7">
        <f t="shared" si="10"/>
        <v>3.3322045101752038</v>
      </c>
      <c r="P22" s="9">
        <f t="shared" si="11"/>
        <v>4.203198967134183</v>
      </c>
      <c r="Q22" s="9">
        <f t="shared" si="12"/>
        <v>5.3140000000000001</v>
      </c>
      <c r="R22" s="9">
        <f t="shared" si="13"/>
        <v>12.19</v>
      </c>
      <c r="S22" s="9">
        <f t="shared" si="14"/>
        <v>20.399999999999999</v>
      </c>
    </row>
    <row r="23" spans="1:19" x14ac:dyDescent="0.25">
      <c r="A23" t="s">
        <v>111</v>
      </c>
      <c r="B23" s="6">
        <f>'1_Du_lieu'!E25</f>
        <v>28</v>
      </c>
      <c r="C23" s="6">
        <f>'1_Du_lieu'!E214</f>
        <v>42.4</v>
      </c>
      <c r="D23" s="7">
        <f t="shared" si="0"/>
        <v>3.3322045101752038</v>
      </c>
      <c r="E23" s="7">
        <f t="shared" si="1"/>
        <v>3.7471483622379123</v>
      </c>
      <c r="F23" s="7">
        <f t="shared" si="2"/>
        <v>0.13831461735423614</v>
      </c>
      <c r="G23">
        <v>1</v>
      </c>
      <c r="H23" s="9">
        <f>'1_Du_lieu'!W88</f>
        <v>4.203198967134183</v>
      </c>
      <c r="I23" s="9">
        <f>'1_Du_lieu'!L88</f>
        <v>5.3140000000000001</v>
      </c>
      <c r="J23" s="9">
        <f>'1_Du_lieu'!M88</f>
        <v>12.19</v>
      </c>
      <c r="K23" s="9">
        <f>'1_Du_lieu'!N88</f>
        <v>20.399999999999999</v>
      </c>
      <c r="N23" s="7">
        <f t="shared" si="9"/>
        <v>0.10562534299230553</v>
      </c>
      <c r="O23" s="7">
        <f t="shared" si="10"/>
        <v>3.5438536820636788</v>
      </c>
      <c r="P23" s="9">
        <f t="shared" si="11"/>
        <v>4.1141471895182802</v>
      </c>
      <c r="Q23" s="9">
        <f t="shared" si="12"/>
        <v>4.3710000000000004</v>
      </c>
      <c r="R23" s="9">
        <f t="shared" si="13"/>
        <v>24.68</v>
      </c>
      <c r="S23" s="9">
        <f t="shared" si="14"/>
        <v>17.5</v>
      </c>
    </row>
    <row r="24" spans="1:19" x14ac:dyDescent="0.25">
      <c r="A24" t="s">
        <v>112</v>
      </c>
      <c r="B24" s="6">
        <f>'1_Du_lieu'!E26</f>
        <v>34.6</v>
      </c>
      <c r="C24" s="6">
        <f>'1_Du_lieu'!E215</f>
        <v>47.5</v>
      </c>
      <c r="D24" s="7">
        <f t="shared" si="0"/>
        <v>3.5438536820636788</v>
      </c>
      <c r="E24" s="7">
        <f t="shared" si="1"/>
        <v>3.8607297110405954</v>
      </c>
      <c r="F24" s="7">
        <f t="shared" si="2"/>
        <v>0.10562534299230553</v>
      </c>
      <c r="G24">
        <v>1</v>
      </c>
      <c r="H24" s="9">
        <f>'1_Du_lieu'!W89</f>
        <v>4.1141471895182802</v>
      </c>
      <c r="I24" s="9">
        <f>'1_Du_lieu'!L89</f>
        <v>4.3710000000000004</v>
      </c>
      <c r="J24" s="9">
        <f>'1_Du_lieu'!M89</f>
        <v>24.68</v>
      </c>
      <c r="K24" s="9">
        <f>'1_Du_lieu'!N89</f>
        <v>17.5</v>
      </c>
      <c r="N24" s="7">
        <f t="shared" si="9"/>
        <v>0.12062489067776767</v>
      </c>
      <c r="O24" s="7">
        <f t="shared" si="10"/>
        <v>3.7424202210419661</v>
      </c>
      <c r="P24" s="9">
        <f t="shared" si="11"/>
        <v>4.6482296754485386</v>
      </c>
      <c r="Q24" s="9">
        <f t="shared" si="12"/>
        <v>10.718999999999999</v>
      </c>
      <c r="R24" s="9">
        <f t="shared" si="13"/>
        <v>45.64</v>
      </c>
      <c r="S24" s="9">
        <f t="shared" si="14"/>
        <v>31.3</v>
      </c>
    </row>
    <row r="25" spans="1:19" x14ac:dyDescent="0.25">
      <c r="A25" t="s">
        <v>113</v>
      </c>
      <c r="B25" s="6">
        <f>'1_Du_lieu'!E27</f>
        <v>42.2</v>
      </c>
      <c r="C25" s="6">
        <f>'1_Du_lieu'!E216</f>
        <v>60.6</v>
      </c>
      <c r="D25" s="7">
        <f t="shared" si="0"/>
        <v>3.7424202210419661</v>
      </c>
      <c r="E25" s="7">
        <f t="shared" si="1"/>
        <v>4.1042948930752692</v>
      </c>
      <c r="F25" s="7">
        <f t="shared" si="2"/>
        <v>0.12062489067776767</v>
      </c>
      <c r="G25">
        <v>1</v>
      </c>
      <c r="H25" s="9">
        <f>'1_Du_lieu'!W90</f>
        <v>4.6482296754485386</v>
      </c>
      <c r="I25" s="9">
        <f>'1_Du_lieu'!L90</f>
        <v>10.718999999999999</v>
      </c>
      <c r="J25" s="9">
        <f>'1_Du_lieu'!M90</f>
        <v>45.64</v>
      </c>
      <c r="K25" s="9">
        <f>'1_Du_lieu'!N90</f>
        <v>31.3</v>
      </c>
      <c r="N25" s="7">
        <f t="shared" si="9"/>
        <v>7.5535253014226811E-2</v>
      </c>
      <c r="O25" s="7">
        <f t="shared" si="10"/>
        <v>3.5438536820636788</v>
      </c>
      <c r="P25" s="9">
        <f t="shared" si="11"/>
        <v>4.1573193613834887</v>
      </c>
      <c r="Q25" s="9">
        <f t="shared" si="12"/>
        <v>8.4939999999999998</v>
      </c>
      <c r="R25" s="9">
        <f t="shared" si="13"/>
        <v>42.03</v>
      </c>
      <c r="S25" s="9">
        <f t="shared" si="14"/>
        <v>18.8</v>
      </c>
    </row>
    <row r="26" spans="1:19" x14ac:dyDescent="0.25">
      <c r="A26" t="s">
        <v>115</v>
      </c>
      <c r="B26" s="6">
        <f>'1_Du_lieu'!E29</f>
        <v>34.6</v>
      </c>
      <c r="C26" s="6">
        <f>'1_Du_lieu'!E218</f>
        <v>43.4</v>
      </c>
      <c r="D26" s="7">
        <f t="shared" si="0"/>
        <v>3.5438536820636788</v>
      </c>
      <c r="E26" s="7">
        <f t="shared" si="1"/>
        <v>3.7704594411063592</v>
      </c>
      <c r="F26" s="7">
        <f t="shared" si="2"/>
        <v>7.5535253014226811E-2</v>
      </c>
      <c r="G26">
        <v>1</v>
      </c>
      <c r="H26" s="9">
        <f>'1_Du_lieu'!W92</f>
        <v>4.1573193613834887</v>
      </c>
      <c r="I26" s="9">
        <f>'1_Du_lieu'!L92</f>
        <v>8.4939999999999998</v>
      </c>
      <c r="J26" s="9">
        <f>'1_Du_lieu'!M92</f>
        <v>42.03</v>
      </c>
      <c r="K26" s="9">
        <f>'1_Du_lieu'!N92</f>
        <v>18.8</v>
      </c>
      <c r="N26" s="7">
        <f t="shared" si="9"/>
        <v>0.10780005168461997</v>
      </c>
      <c r="O26" s="7">
        <f t="shared" si="10"/>
        <v>3.3141860046725258</v>
      </c>
      <c r="P26" s="9">
        <f t="shared" si="11"/>
        <v>3.9512437185814275</v>
      </c>
      <c r="Q26" s="9">
        <f t="shared" si="12"/>
        <v>4.2930000000000001</v>
      </c>
      <c r="R26" s="9">
        <f t="shared" si="13"/>
        <v>28.21</v>
      </c>
      <c r="S26" s="9">
        <f t="shared" si="14"/>
        <v>15.4</v>
      </c>
    </row>
    <row r="27" spans="1:19" x14ac:dyDescent="0.25">
      <c r="A27" t="s">
        <v>116</v>
      </c>
      <c r="B27" s="6">
        <f>'1_Du_lieu'!E30</f>
        <v>27.5</v>
      </c>
      <c r="C27" s="6">
        <f>'1_Du_lieu'!E219</f>
        <v>38</v>
      </c>
      <c r="D27" s="7">
        <f t="shared" si="0"/>
        <v>3.3141860046725258</v>
      </c>
      <c r="E27" s="7">
        <f t="shared" si="1"/>
        <v>3.6375861597263857</v>
      </c>
      <c r="F27" s="7">
        <f t="shared" si="2"/>
        <v>0.10780005168461997</v>
      </c>
      <c r="G27">
        <v>1</v>
      </c>
      <c r="H27" s="9">
        <f>'1_Du_lieu'!W93</f>
        <v>3.9512437185814275</v>
      </c>
      <c r="I27" s="9">
        <f>'1_Du_lieu'!L93</f>
        <v>4.2930000000000001</v>
      </c>
      <c r="J27" s="9">
        <f>'1_Du_lieu'!M93</f>
        <v>28.21</v>
      </c>
      <c r="K27" s="9">
        <f>'1_Du_lieu'!N93</f>
        <v>15.4</v>
      </c>
      <c r="N27" s="7">
        <f t="shared" si="9"/>
        <v>8.3618395340849208E-2</v>
      </c>
      <c r="O27" s="7">
        <f t="shared" si="10"/>
        <v>3.1863526331626408</v>
      </c>
      <c r="P27" s="9">
        <f t="shared" si="11"/>
        <v>3.6323091026255421</v>
      </c>
      <c r="Q27" s="9">
        <f t="shared" si="12"/>
        <v>2.9510000000000001</v>
      </c>
      <c r="R27" s="9">
        <f t="shared" si="13"/>
        <v>32.119999999999997</v>
      </c>
      <c r="S27" s="9">
        <f t="shared" si="14"/>
        <v>18</v>
      </c>
    </row>
    <row r="28" spans="1:19" x14ac:dyDescent="0.25">
      <c r="A28" t="s">
        <v>117</v>
      </c>
      <c r="B28" s="6">
        <f>'1_Du_lieu'!E31</f>
        <v>24.2</v>
      </c>
      <c r="C28" s="6">
        <f>'1_Du_lieu'!E220</f>
        <v>31.1</v>
      </c>
      <c r="D28" s="7">
        <f t="shared" si="0"/>
        <v>3.1863526331626408</v>
      </c>
      <c r="E28" s="7">
        <f t="shared" si="1"/>
        <v>3.4372078191851885</v>
      </c>
      <c r="F28" s="7">
        <f t="shared" si="2"/>
        <v>8.3618395340849208E-2</v>
      </c>
      <c r="G28">
        <v>1</v>
      </c>
      <c r="H28" s="9">
        <f>'1_Du_lieu'!W94</f>
        <v>3.6323091026255421</v>
      </c>
      <c r="I28" s="9">
        <f>'1_Du_lieu'!L94</f>
        <v>2.9510000000000001</v>
      </c>
      <c r="J28" s="9">
        <f>'1_Du_lieu'!M94</f>
        <v>32.119999999999997</v>
      </c>
      <c r="K28" s="9">
        <f>'1_Du_lieu'!N94</f>
        <v>18</v>
      </c>
      <c r="N28" s="7">
        <f t="shared" si="9"/>
        <v>0.14419114228874749</v>
      </c>
      <c r="O28" s="7">
        <f t="shared" si="10"/>
        <v>3.3286266888273199</v>
      </c>
      <c r="P28" s="9">
        <f t="shared" si="11"/>
        <v>4.1850989254905651</v>
      </c>
      <c r="Q28" s="9">
        <f t="shared" si="12"/>
        <v>5.2910000000000004</v>
      </c>
      <c r="R28" s="9">
        <f t="shared" si="13"/>
        <v>16.21</v>
      </c>
      <c r="S28" s="9">
        <f t="shared" si="14"/>
        <v>16.100000000000001</v>
      </c>
    </row>
    <row r="29" spans="1:19" x14ac:dyDescent="0.25">
      <c r="A29" t="s">
        <v>119</v>
      </c>
      <c r="B29" s="6">
        <f>'1_Du_lieu'!E33</f>
        <v>27.9</v>
      </c>
      <c r="C29" s="6">
        <f>'1_Du_lieu'!E222</f>
        <v>43</v>
      </c>
      <c r="D29" s="7">
        <f t="shared" si="0"/>
        <v>3.3286266888273199</v>
      </c>
      <c r="E29" s="7">
        <f t="shared" si="1"/>
        <v>3.7612001156935624</v>
      </c>
      <c r="F29" s="7">
        <f t="shared" si="2"/>
        <v>0.14419114228874749</v>
      </c>
      <c r="G29">
        <v>1</v>
      </c>
      <c r="H29" s="9">
        <f>'1_Du_lieu'!W96</f>
        <v>4.1850989254905651</v>
      </c>
      <c r="I29" s="9">
        <f>'1_Du_lieu'!L96</f>
        <v>5.2910000000000004</v>
      </c>
      <c r="J29" s="9">
        <f>'1_Du_lieu'!M96</f>
        <v>16.21</v>
      </c>
      <c r="K29" s="9">
        <f>'1_Du_lieu'!N96</f>
        <v>16.100000000000001</v>
      </c>
      <c r="N29" s="7">
        <f t="shared" si="9"/>
        <v>0.10179388318372713</v>
      </c>
      <c r="O29" s="7">
        <f t="shared" si="10"/>
        <v>3.2809112157876537</v>
      </c>
      <c r="P29" s="9">
        <f t="shared" si="11"/>
        <v>4.1303549997451334</v>
      </c>
      <c r="Q29" s="9">
        <f t="shared" si="12"/>
        <v>3.5819999999999999</v>
      </c>
      <c r="R29" s="9">
        <f t="shared" si="13"/>
        <v>23.17</v>
      </c>
      <c r="S29" s="9">
        <f t="shared" si="14"/>
        <v>17.100000000000001</v>
      </c>
    </row>
    <row r="30" spans="1:19" x14ac:dyDescent="0.25">
      <c r="A30" t="s">
        <v>120</v>
      </c>
      <c r="B30" s="6">
        <f>'1_Du_lieu'!E34</f>
        <v>26.6</v>
      </c>
      <c r="C30" s="6">
        <f>'1_Du_lieu'!E223</f>
        <v>36.1</v>
      </c>
      <c r="D30" s="7">
        <f t="shared" si="0"/>
        <v>3.2809112157876537</v>
      </c>
      <c r="E30" s="7">
        <f t="shared" si="1"/>
        <v>3.5862928653388351</v>
      </c>
      <c r="F30" s="7">
        <f t="shared" si="2"/>
        <v>0.10179388318372713</v>
      </c>
      <c r="G30">
        <v>1</v>
      </c>
      <c r="H30" s="9">
        <f>'1_Du_lieu'!W97</f>
        <v>4.1303549997451334</v>
      </c>
      <c r="I30" s="9">
        <f>'1_Du_lieu'!L97</f>
        <v>3.5819999999999999</v>
      </c>
      <c r="J30" s="9">
        <f>'1_Du_lieu'!M97</f>
        <v>23.17</v>
      </c>
      <c r="K30" s="9">
        <f>'1_Du_lieu'!N97</f>
        <v>17.100000000000001</v>
      </c>
      <c r="N30" s="7">
        <f t="shared" si="9"/>
        <v>0.13759704940007925</v>
      </c>
      <c r="O30" s="7">
        <f t="shared" si="10"/>
        <v>3.3032169733019514</v>
      </c>
      <c r="P30" s="9">
        <f t="shared" si="11"/>
        <v>4.0253516907351496</v>
      </c>
      <c r="Q30" s="9">
        <f t="shared" si="12"/>
        <v>4.5519999999999996</v>
      </c>
      <c r="R30" s="9">
        <f t="shared" si="13"/>
        <v>39.07</v>
      </c>
      <c r="S30" s="9">
        <f t="shared" si="14"/>
        <v>16.600000000000001</v>
      </c>
    </row>
    <row r="31" spans="1:19" x14ac:dyDescent="0.25">
      <c r="A31" t="s">
        <v>121</v>
      </c>
      <c r="B31" s="6">
        <f>'1_Du_lieu'!E35</f>
        <v>27.2</v>
      </c>
      <c r="C31" s="6">
        <f>'1_Du_lieu'!E224</f>
        <v>41.1</v>
      </c>
      <c r="D31" s="7">
        <f t="shared" si="0"/>
        <v>3.3032169733019514</v>
      </c>
      <c r="E31" s="7">
        <f t="shared" si="1"/>
        <v>3.7160081215021892</v>
      </c>
      <c r="F31" s="7">
        <f t="shared" si="2"/>
        <v>0.13759704940007925</v>
      </c>
      <c r="G31">
        <v>1</v>
      </c>
      <c r="H31" s="9">
        <f>'1_Du_lieu'!W98</f>
        <v>4.0253516907351496</v>
      </c>
      <c r="I31" s="9">
        <f>'1_Du_lieu'!L98</f>
        <v>4.5519999999999996</v>
      </c>
      <c r="J31" s="9">
        <f>'1_Du_lieu'!M98</f>
        <v>39.07</v>
      </c>
      <c r="K31" s="9">
        <f>'1_Du_lieu'!N98</f>
        <v>16.600000000000001</v>
      </c>
      <c r="N31" s="7">
        <f t="shared" si="9"/>
        <v>0.10786211144835163</v>
      </c>
      <c r="O31" s="7">
        <f t="shared" si="10"/>
        <v>3.0540011816779669</v>
      </c>
      <c r="P31" s="9">
        <f t="shared" si="11"/>
        <v>3.6454498961866002</v>
      </c>
      <c r="Q31" s="9">
        <f t="shared" si="12"/>
        <v>2.25</v>
      </c>
      <c r="R31" s="9">
        <f t="shared" si="13"/>
        <v>20.34</v>
      </c>
      <c r="S31" s="9">
        <f t="shared" si="14"/>
        <v>19.8</v>
      </c>
    </row>
    <row r="32" spans="1:19" x14ac:dyDescent="0.25">
      <c r="A32" t="s">
        <v>122</v>
      </c>
      <c r="B32" s="6">
        <f>'1_Du_lieu'!E36</f>
        <v>21.2</v>
      </c>
      <c r="C32" s="6">
        <f>'1_Du_lieu'!E225</f>
        <v>29.3</v>
      </c>
      <c r="D32" s="7">
        <f t="shared" si="0"/>
        <v>3.0540011816779669</v>
      </c>
      <c r="E32" s="7">
        <f t="shared" si="1"/>
        <v>3.3775875160230218</v>
      </c>
      <c r="F32" s="7">
        <f t="shared" si="2"/>
        <v>0.10786211144835163</v>
      </c>
      <c r="G32">
        <v>1</v>
      </c>
      <c r="H32" s="9">
        <f>'1_Du_lieu'!W99</f>
        <v>3.6454498961866002</v>
      </c>
      <c r="I32" s="9">
        <f>'1_Du_lieu'!L99</f>
        <v>2.25</v>
      </c>
      <c r="J32" s="9">
        <f>'1_Du_lieu'!M99</f>
        <v>20.34</v>
      </c>
      <c r="K32" s="9">
        <f>'1_Du_lieu'!N99</f>
        <v>19.8</v>
      </c>
      <c r="N32" s="7">
        <f t="shared" si="9"/>
        <v>6.6890231820717183E-2</v>
      </c>
      <c r="O32" s="7">
        <f t="shared" si="10"/>
        <v>3.505557396986398</v>
      </c>
      <c r="P32" s="9">
        <f t="shared" si="11"/>
        <v>3.5524868292083815</v>
      </c>
      <c r="Q32" s="9">
        <f t="shared" si="12"/>
        <v>3.069</v>
      </c>
      <c r="R32" s="9">
        <f t="shared" si="13"/>
        <v>18.170000000000002</v>
      </c>
      <c r="S32" s="9">
        <f t="shared" si="14"/>
        <v>15.9</v>
      </c>
    </row>
    <row r="33" spans="1:19" x14ac:dyDescent="0.25">
      <c r="A33" t="s">
        <v>123</v>
      </c>
      <c r="B33" s="6">
        <f>'1_Du_lieu'!E37</f>
        <v>33.299999999999997</v>
      </c>
      <c r="C33" s="6">
        <f>'1_Du_lieu'!E226</f>
        <v>40.700000000000003</v>
      </c>
      <c r="D33" s="7">
        <f t="shared" si="0"/>
        <v>3.505557396986398</v>
      </c>
      <c r="E33" s="7">
        <f t="shared" si="1"/>
        <v>3.7062280924485496</v>
      </c>
      <c r="F33" s="7">
        <f t="shared" si="2"/>
        <v>6.6890231820717183E-2</v>
      </c>
      <c r="G33">
        <v>1</v>
      </c>
      <c r="H33" s="9">
        <f>'1_Du_lieu'!W100</f>
        <v>3.5524868292083815</v>
      </c>
      <c r="I33" s="9">
        <f>'1_Du_lieu'!L100</f>
        <v>3.069</v>
      </c>
      <c r="J33" s="9">
        <f>'1_Du_lieu'!M100</f>
        <v>18.170000000000002</v>
      </c>
      <c r="K33" s="9">
        <f>'1_Du_lieu'!N100</f>
        <v>15.9</v>
      </c>
      <c r="N33" s="7">
        <f t="shared" si="9"/>
        <v>0.13695976883301228</v>
      </c>
      <c r="O33" s="7">
        <f t="shared" si="10"/>
        <v>3.4242626545931514</v>
      </c>
      <c r="P33" s="9">
        <f t="shared" si="11"/>
        <v>3.597312260588446</v>
      </c>
      <c r="Q33" s="9">
        <f t="shared" si="12"/>
        <v>3.5569999999999999</v>
      </c>
      <c r="R33" s="9">
        <f t="shared" si="13"/>
        <v>14.7</v>
      </c>
      <c r="S33" s="9">
        <f t="shared" si="14"/>
        <v>20.8</v>
      </c>
    </row>
    <row r="34" spans="1:19" x14ac:dyDescent="0.25">
      <c r="A34" t="s">
        <v>124</v>
      </c>
      <c r="B34" s="6">
        <f>'1_Du_lieu'!E38</f>
        <v>30.7</v>
      </c>
      <c r="C34" s="6">
        <f>'1_Du_lieu'!E227</f>
        <v>46.3</v>
      </c>
      <c r="D34" s="7">
        <f t="shared" si="0"/>
        <v>3.4242626545931514</v>
      </c>
      <c r="E34" s="7">
        <f t="shared" si="1"/>
        <v>3.8351419610921882</v>
      </c>
      <c r="F34" s="7">
        <f t="shared" si="2"/>
        <v>0.13695976883301228</v>
      </c>
      <c r="G34">
        <v>1</v>
      </c>
      <c r="H34" s="9">
        <f>'1_Du_lieu'!W101</f>
        <v>3.597312260588446</v>
      </c>
      <c r="I34" s="9">
        <f>'1_Du_lieu'!L101</f>
        <v>3.5569999999999999</v>
      </c>
      <c r="J34" s="9">
        <f>'1_Du_lieu'!M101</f>
        <v>14.7</v>
      </c>
      <c r="K34" s="9">
        <f>'1_Du_lieu'!N101</f>
        <v>20.8</v>
      </c>
      <c r="N34" s="7">
        <f t="shared" si="9"/>
        <v>0.12602204464001673</v>
      </c>
      <c r="O34" s="7">
        <f t="shared" si="10"/>
        <v>3.3877743613300146</v>
      </c>
      <c r="P34" s="9">
        <f t="shared" si="11"/>
        <v>3.9945242269398897</v>
      </c>
      <c r="Q34" s="9">
        <f t="shared" si="12"/>
        <v>4.0529999999999999</v>
      </c>
      <c r="R34" s="9">
        <f t="shared" si="13"/>
        <v>20.64</v>
      </c>
      <c r="S34" s="9">
        <f t="shared" si="14"/>
        <v>27.4</v>
      </c>
    </row>
    <row r="35" spans="1:19" x14ac:dyDescent="0.25">
      <c r="A35" t="s">
        <v>125</v>
      </c>
      <c r="B35" s="6">
        <f>'1_Du_lieu'!E39</f>
        <v>29.6</v>
      </c>
      <c r="C35" s="6">
        <f>'1_Du_lieu'!E228</f>
        <v>43.2</v>
      </c>
      <c r="D35" s="7">
        <f t="shared" si="0"/>
        <v>3.3877743613300146</v>
      </c>
      <c r="E35" s="7">
        <f t="shared" si="1"/>
        <v>3.7658404952500648</v>
      </c>
      <c r="F35" s="7">
        <f t="shared" si="2"/>
        <v>0.12602204464001673</v>
      </c>
      <c r="G35">
        <v>1</v>
      </c>
      <c r="H35" s="9">
        <f>'1_Du_lieu'!W102</f>
        <v>3.9945242269398897</v>
      </c>
      <c r="I35" s="9">
        <f>'1_Du_lieu'!L102</f>
        <v>4.0529999999999999</v>
      </c>
      <c r="J35" s="9">
        <f>'1_Du_lieu'!M102</f>
        <v>20.64</v>
      </c>
      <c r="K35" s="9">
        <f>'1_Du_lieu'!N102</f>
        <v>27.4</v>
      </c>
      <c r="N35" s="7">
        <f t="shared" si="9"/>
        <v>9.8518709627562373E-2</v>
      </c>
      <c r="O35" s="7">
        <f t="shared" si="10"/>
        <v>3.2308043957334744</v>
      </c>
      <c r="P35" s="9">
        <f t="shared" si="11"/>
        <v>3.7773481021015445</v>
      </c>
      <c r="Q35" s="9">
        <f t="shared" si="12"/>
        <v>3.53</v>
      </c>
      <c r="R35" s="9">
        <f t="shared" si="13"/>
        <v>35.78</v>
      </c>
      <c r="S35" s="9">
        <f t="shared" si="14"/>
        <v>19.3</v>
      </c>
    </row>
    <row r="36" spans="1:19" x14ac:dyDescent="0.25">
      <c r="A36" t="s">
        <v>126</v>
      </c>
      <c r="B36" s="6">
        <f>'1_Du_lieu'!E40</f>
        <v>25.3</v>
      </c>
      <c r="C36" s="6">
        <f>'1_Du_lieu'!E229</f>
        <v>34</v>
      </c>
      <c r="D36" s="7">
        <f t="shared" si="0"/>
        <v>3.2308043957334744</v>
      </c>
      <c r="E36" s="7">
        <f t="shared" si="1"/>
        <v>3.5263605246161616</v>
      </c>
      <c r="F36" s="7">
        <f t="shared" si="2"/>
        <v>9.8518709627562373E-2</v>
      </c>
      <c r="G36">
        <v>1</v>
      </c>
      <c r="H36" s="9">
        <f>'1_Du_lieu'!W103</f>
        <v>3.7773481021015445</v>
      </c>
      <c r="I36" s="9">
        <f>'1_Du_lieu'!L103</f>
        <v>3.53</v>
      </c>
      <c r="J36" s="9">
        <f>'1_Du_lieu'!M103</f>
        <v>35.78</v>
      </c>
      <c r="K36" s="9">
        <f>'1_Du_lieu'!N103</f>
        <v>19.3</v>
      </c>
      <c r="N36" s="7">
        <f t="shared" si="9"/>
        <v>0.10795390967642771</v>
      </c>
      <c r="O36" s="7">
        <f t="shared" si="10"/>
        <v>3.3499040872746049</v>
      </c>
      <c r="P36" s="9">
        <f t="shared" si="11"/>
        <v>3.7495040759303713</v>
      </c>
      <c r="Q36" s="9">
        <f t="shared" si="12"/>
        <v>3.2570000000000001</v>
      </c>
      <c r="R36" s="9">
        <f t="shared" si="13"/>
        <v>18.309999999999999</v>
      </c>
      <c r="S36" s="9">
        <f t="shared" si="14"/>
        <v>21.8</v>
      </c>
    </row>
    <row r="37" spans="1:19" x14ac:dyDescent="0.25">
      <c r="A37" t="s">
        <v>127</v>
      </c>
      <c r="B37" s="6">
        <f>'1_Du_lieu'!E41</f>
        <v>28.5</v>
      </c>
      <c r="C37" s="6">
        <f>'1_Du_lieu'!E230</f>
        <v>39.4</v>
      </c>
      <c r="D37" s="7">
        <f t="shared" si="0"/>
        <v>3.3499040872746049</v>
      </c>
      <c r="E37" s="7">
        <f t="shared" si="1"/>
        <v>3.673765816303888</v>
      </c>
      <c r="F37" s="7">
        <f t="shared" si="2"/>
        <v>0.10795390967642771</v>
      </c>
      <c r="G37">
        <v>1</v>
      </c>
      <c r="H37" s="9">
        <f>'1_Du_lieu'!W104</f>
        <v>3.7495040759303713</v>
      </c>
      <c r="I37" s="9">
        <f>'1_Du_lieu'!L104</f>
        <v>3.2570000000000001</v>
      </c>
      <c r="J37" s="9">
        <f>'1_Du_lieu'!M104</f>
        <v>18.309999999999999</v>
      </c>
      <c r="K37" s="9">
        <f>'1_Du_lieu'!N104</f>
        <v>21.8</v>
      </c>
      <c r="N37" s="7">
        <f t="shared" si="9"/>
        <v>0.11159450748562645</v>
      </c>
      <c r="O37" s="7">
        <f t="shared" si="10"/>
        <v>3.2347491740244907</v>
      </c>
      <c r="P37" s="9">
        <f t="shared" si="11"/>
        <v>3.7909846770510898</v>
      </c>
      <c r="Q37" s="9">
        <f t="shared" si="12"/>
        <v>2.9910000000000001</v>
      </c>
      <c r="R37" s="9">
        <f t="shared" si="13"/>
        <v>28.74</v>
      </c>
      <c r="S37" s="9">
        <f t="shared" si="14"/>
        <v>14.8</v>
      </c>
    </row>
    <row r="38" spans="1:19" x14ac:dyDescent="0.25">
      <c r="A38" t="s">
        <v>128</v>
      </c>
      <c r="B38" s="6">
        <f>'1_Du_lieu'!E42</f>
        <v>25.4</v>
      </c>
      <c r="C38" s="6">
        <f>'1_Du_lieu'!E231</f>
        <v>35.5</v>
      </c>
      <c r="D38" s="7">
        <f t="shared" ref="D38:D59" si="15">LN(B38)</f>
        <v>3.2347491740244907</v>
      </c>
      <c r="E38" s="7">
        <f t="shared" ref="E38:E59" si="16">LN(C38)</f>
        <v>3.5695326964813701</v>
      </c>
      <c r="F38" s="7">
        <f t="shared" ref="F38:F69" si="17">(E38-D38)/3</f>
        <v>0.11159450748562645</v>
      </c>
      <c r="G38">
        <v>1</v>
      </c>
      <c r="H38" s="9">
        <f>'1_Du_lieu'!W105</f>
        <v>3.7909846770510898</v>
      </c>
      <c r="I38" s="9">
        <f>'1_Du_lieu'!L105</f>
        <v>2.9910000000000001</v>
      </c>
      <c r="J38" s="9">
        <f>'1_Du_lieu'!M105</f>
        <v>28.74</v>
      </c>
      <c r="K38" s="9">
        <f>'1_Du_lieu'!N105</f>
        <v>14.8</v>
      </c>
      <c r="N38" s="7">
        <f t="shared" si="9"/>
        <v>8.2451342354936383E-2</v>
      </c>
      <c r="O38" s="7">
        <f t="shared" si="10"/>
        <v>3.2308043957334744</v>
      </c>
      <c r="P38" s="9">
        <f t="shared" si="11"/>
        <v>3.6813511876931448</v>
      </c>
      <c r="Q38" s="9">
        <f t="shared" si="12"/>
        <v>4.5270000000000001</v>
      </c>
      <c r="R38" s="9">
        <f t="shared" si="13"/>
        <v>20.78</v>
      </c>
      <c r="S38" s="9">
        <f t="shared" si="14"/>
        <v>25.1</v>
      </c>
    </row>
    <row r="39" spans="1:19" x14ac:dyDescent="0.25">
      <c r="A39" t="s">
        <v>129</v>
      </c>
      <c r="B39" s="6">
        <f>'1_Du_lieu'!E43</f>
        <v>25.3</v>
      </c>
      <c r="C39" s="6">
        <f>'1_Du_lieu'!E232</f>
        <v>32.4</v>
      </c>
      <c r="D39" s="7">
        <f t="shared" si="15"/>
        <v>3.2308043957334744</v>
      </c>
      <c r="E39" s="7">
        <f t="shared" si="16"/>
        <v>3.4781584227982836</v>
      </c>
      <c r="F39" s="7">
        <f t="shared" si="17"/>
        <v>8.2451342354936383E-2</v>
      </c>
      <c r="G39">
        <v>1</v>
      </c>
      <c r="H39" s="9">
        <f>'1_Du_lieu'!W106</f>
        <v>3.6813511876931448</v>
      </c>
      <c r="I39" s="9">
        <f>'1_Du_lieu'!L106</f>
        <v>4.5270000000000001</v>
      </c>
      <c r="J39" s="9">
        <f>'1_Du_lieu'!M106</f>
        <v>20.78</v>
      </c>
      <c r="K39" s="9">
        <f>'1_Du_lieu'!N106</f>
        <v>25.1</v>
      </c>
      <c r="N39" s="7">
        <f t="shared" si="9"/>
        <v>0.10323273433871864</v>
      </c>
      <c r="O39" s="7">
        <f t="shared" si="10"/>
        <v>3.3741687092742358</v>
      </c>
      <c r="P39" s="9">
        <f t="shared" si="11"/>
        <v>4.1190371748124726</v>
      </c>
      <c r="Q39" s="9">
        <f t="shared" si="12"/>
        <v>4.3470000000000004</v>
      </c>
      <c r="R39" s="9">
        <f t="shared" si="13"/>
        <v>25.03</v>
      </c>
      <c r="S39" s="9">
        <f t="shared" si="14"/>
        <v>20.3</v>
      </c>
    </row>
    <row r="40" spans="1:19" x14ac:dyDescent="0.25">
      <c r="A40" t="s">
        <v>130</v>
      </c>
      <c r="B40" s="6">
        <f>'1_Du_lieu'!E44</f>
        <v>29.2</v>
      </c>
      <c r="C40" s="6">
        <f>'1_Du_lieu'!E233</f>
        <v>39.799999999999997</v>
      </c>
      <c r="D40" s="7">
        <f t="shared" si="15"/>
        <v>3.3741687092742358</v>
      </c>
      <c r="E40" s="7">
        <f t="shared" si="16"/>
        <v>3.6838669122903918</v>
      </c>
      <c r="F40" s="7">
        <f t="shared" si="17"/>
        <v>0.10323273433871864</v>
      </c>
      <c r="G40">
        <v>1</v>
      </c>
      <c r="H40" s="9">
        <f>'1_Du_lieu'!W107</f>
        <v>4.1190371748124726</v>
      </c>
      <c r="I40" s="9">
        <f>'1_Du_lieu'!L107</f>
        <v>4.3470000000000004</v>
      </c>
      <c r="J40" s="9">
        <f>'1_Du_lieu'!M107</f>
        <v>25.03</v>
      </c>
      <c r="K40" s="9">
        <f>'1_Du_lieu'!N107</f>
        <v>20.3</v>
      </c>
      <c r="N40" s="7">
        <f t="shared" si="9"/>
        <v>0.10425190333463223</v>
      </c>
      <c r="O40" s="7">
        <f t="shared" si="10"/>
        <v>3.2425923514855168</v>
      </c>
      <c r="P40" s="9">
        <f t="shared" si="11"/>
        <v>4.2150861799182291</v>
      </c>
      <c r="Q40" s="9">
        <f t="shared" si="12"/>
        <v>3.8380000000000001</v>
      </c>
      <c r="R40" s="9">
        <f t="shared" si="13"/>
        <v>16.18</v>
      </c>
      <c r="S40" s="9">
        <f t="shared" si="14"/>
        <v>18.2</v>
      </c>
    </row>
    <row r="41" spans="1:19" x14ac:dyDescent="0.25">
      <c r="A41" t="s">
        <v>131</v>
      </c>
      <c r="B41" s="6">
        <f>'1_Du_lieu'!E45</f>
        <v>25.6</v>
      </c>
      <c r="C41" s="6">
        <f>'1_Du_lieu'!E234</f>
        <v>35</v>
      </c>
      <c r="D41" s="7">
        <f t="shared" si="15"/>
        <v>3.2425923514855168</v>
      </c>
      <c r="E41" s="7">
        <f t="shared" si="16"/>
        <v>3.5553480614894135</v>
      </c>
      <c r="F41" s="7">
        <f t="shared" si="17"/>
        <v>0.10425190333463223</v>
      </c>
      <c r="G41">
        <v>1</v>
      </c>
      <c r="H41" s="9">
        <f>'1_Du_lieu'!W108</f>
        <v>4.2150861799182291</v>
      </c>
      <c r="I41" s="9">
        <f>'1_Du_lieu'!L108</f>
        <v>3.8380000000000001</v>
      </c>
      <c r="J41" s="9">
        <f>'1_Du_lieu'!M108</f>
        <v>16.18</v>
      </c>
      <c r="K41" s="9">
        <f>'1_Du_lieu'!N108</f>
        <v>18.2</v>
      </c>
      <c r="N41" s="7">
        <f t="shared" si="9"/>
        <v>0.13684966771514548</v>
      </c>
      <c r="O41" s="7">
        <f t="shared" si="10"/>
        <v>3.487375077903208</v>
      </c>
      <c r="P41" s="9">
        <f t="shared" si="11"/>
        <v>4.8426110420031252</v>
      </c>
      <c r="Q41" s="9">
        <f t="shared" si="12"/>
        <v>6.484</v>
      </c>
      <c r="R41" s="9">
        <f t="shared" si="13"/>
        <v>63.05</v>
      </c>
      <c r="S41" s="9">
        <f t="shared" si="14"/>
        <v>35.6</v>
      </c>
    </row>
    <row r="42" spans="1:19" x14ac:dyDescent="0.25">
      <c r="A42" t="s">
        <v>132</v>
      </c>
      <c r="B42" s="6">
        <f>'1_Du_lieu'!E46</f>
        <v>32.700000000000003</v>
      </c>
      <c r="C42" s="6">
        <f>'1_Du_lieu'!E235</f>
        <v>49.3</v>
      </c>
      <c r="D42" s="7">
        <f t="shared" si="15"/>
        <v>3.487375077903208</v>
      </c>
      <c r="E42" s="7">
        <f t="shared" si="16"/>
        <v>3.8979240810486444</v>
      </c>
      <c r="F42" s="7">
        <f t="shared" si="17"/>
        <v>0.13684966771514548</v>
      </c>
      <c r="G42">
        <v>1</v>
      </c>
      <c r="H42" s="9">
        <f>'1_Du_lieu'!W109</f>
        <v>4.8426110420031252</v>
      </c>
      <c r="I42" s="9">
        <f>'1_Du_lieu'!L109</f>
        <v>6.484</v>
      </c>
      <c r="J42" s="9">
        <f>'1_Du_lieu'!M109</f>
        <v>63.05</v>
      </c>
      <c r="K42" s="9">
        <f>'1_Du_lieu'!N109</f>
        <v>35.6</v>
      </c>
      <c r="N42" s="7">
        <f t="shared" si="9"/>
        <v>6.4642367638087464E-2</v>
      </c>
      <c r="O42" s="7">
        <f t="shared" si="10"/>
        <v>3.2464909919011742</v>
      </c>
      <c r="P42" s="9">
        <f t="shared" si="11"/>
        <v>3.8177123259569048</v>
      </c>
      <c r="Q42" s="9">
        <f t="shared" si="12"/>
        <v>4.1589999999999998</v>
      </c>
      <c r="R42" s="9">
        <f t="shared" si="13"/>
        <v>30.68</v>
      </c>
      <c r="S42" s="9">
        <f t="shared" si="14"/>
        <v>26</v>
      </c>
    </row>
    <row r="43" spans="1:19" x14ac:dyDescent="0.25">
      <c r="A43" t="s">
        <v>133</v>
      </c>
      <c r="B43" s="6">
        <f>'1_Du_lieu'!E47</f>
        <v>25.7</v>
      </c>
      <c r="C43" s="6">
        <f>'1_Du_lieu'!E236</f>
        <v>31.2</v>
      </c>
      <c r="D43" s="7">
        <f t="shared" si="15"/>
        <v>3.2464909919011742</v>
      </c>
      <c r="E43" s="7">
        <f t="shared" si="16"/>
        <v>3.4404180948154366</v>
      </c>
      <c r="F43" s="7">
        <f t="shared" si="17"/>
        <v>6.4642367638087464E-2</v>
      </c>
      <c r="G43">
        <v>1</v>
      </c>
      <c r="H43" s="9">
        <f>'1_Du_lieu'!W110</f>
        <v>3.8177123259569048</v>
      </c>
      <c r="I43" s="9">
        <f>'1_Du_lieu'!L110</f>
        <v>4.1589999999999998</v>
      </c>
      <c r="J43" s="9">
        <f>'1_Du_lieu'!M110</f>
        <v>30.68</v>
      </c>
      <c r="K43" s="9">
        <f>'1_Du_lieu'!N110</f>
        <v>26</v>
      </c>
      <c r="N43" s="7">
        <f t="shared" si="9"/>
        <v>4.1795878347201075E-2</v>
      </c>
      <c r="O43" s="7">
        <f t="shared" si="10"/>
        <v>4.3643716994351607</v>
      </c>
      <c r="P43" s="9">
        <f t="shared" si="11"/>
        <v>4.9330340480727042</v>
      </c>
      <c r="Q43" s="9">
        <f t="shared" si="12"/>
        <v>25.812999999999999</v>
      </c>
      <c r="R43" s="9">
        <f t="shared" si="13"/>
        <v>79.67</v>
      </c>
      <c r="S43" s="9">
        <f t="shared" si="14"/>
        <v>36.799999999999997</v>
      </c>
    </row>
    <row r="44" spans="1:19" x14ac:dyDescent="0.25">
      <c r="A44" t="s">
        <v>136</v>
      </c>
      <c r="B44" s="6">
        <f>'1_Du_lieu'!E50</f>
        <v>78.599999999999994</v>
      </c>
      <c r="C44" s="6">
        <f>'1_Du_lieu'!E239</f>
        <v>89.1</v>
      </c>
      <c r="D44" s="7">
        <f t="shared" si="15"/>
        <v>4.3643716994351607</v>
      </c>
      <c r="E44" s="7">
        <f t="shared" si="16"/>
        <v>4.4897593344767639</v>
      </c>
      <c r="F44" s="7">
        <f t="shared" si="17"/>
        <v>4.1795878347201075E-2</v>
      </c>
      <c r="G44">
        <v>1</v>
      </c>
      <c r="H44" s="9">
        <f>'1_Du_lieu'!W113</f>
        <v>4.9330340480727042</v>
      </c>
      <c r="I44" s="9">
        <f>'1_Du_lieu'!L113</f>
        <v>25.812999999999999</v>
      </c>
      <c r="J44" s="9">
        <f>'1_Du_lieu'!M113</f>
        <v>79.67</v>
      </c>
      <c r="K44" s="9">
        <f>'1_Du_lieu'!N113</f>
        <v>36.799999999999997</v>
      </c>
      <c r="N44" s="7">
        <f t="shared" si="9"/>
        <v>0.12326955229626819</v>
      </c>
      <c r="O44" s="7">
        <f t="shared" si="10"/>
        <v>3.3843902633457743</v>
      </c>
      <c r="P44" s="9">
        <f t="shared" si="11"/>
        <v>3.6963514689526371</v>
      </c>
      <c r="Q44" s="9">
        <f t="shared" si="12"/>
        <v>3.0640000000000001</v>
      </c>
      <c r="R44" s="9">
        <f t="shared" si="13"/>
        <v>14.42</v>
      </c>
      <c r="S44" s="9">
        <f t="shared" si="14"/>
        <v>19.399999999999999</v>
      </c>
    </row>
    <row r="45" spans="1:19" x14ac:dyDescent="0.25">
      <c r="A45" t="s">
        <v>137</v>
      </c>
      <c r="B45" s="6">
        <f>'1_Du_lieu'!E51</f>
        <v>29.5</v>
      </c>
      <c r="C45" s="6">
        <f>'1_Du_lieu'!E240</f>
        <v>42.7</v>
      </c>
      <c r="D45" s="7">
        <f t="shared" si="15"/>
        <v>3.3843902633457743</v>
      </c>
      <c r="E45" s="7">
        <f t="shared" si="16"/>
        <v>3.7541989202345789</v>
      </c>
      <c r="F45" s="7">
        <f t="shared" si="17"/>
        <v>0.12326955229626819</v>
      </c>
      <c r="G45">
        <v>1</v>
      </c>
      <c r="H45" s="9">
        <f>'1_Du_lieu'!W114</f>
        <v>3.6963514689526371</v>
      </c>
      <c r="I45" s="9">
        <f>'1_Du_lieu'!L114</f>
        <v>3.0640000000000001</v>
      </c>
      <c r="J45" s="9">
        <f>'1_Du_lieu'!M114</f>
        <v>14.42</v>
      </c>
      <c r="K45" s="9">
        <f>'1_Du_lieu'!N114</f>
        <v>19.399999999999999</v>
      </c>
      <c r="N45" s="7">
        <f t="shared" si="9"/>
        <v>0.10259881221484897</v>
      </c>
      <c r="O45" s="7">
        <f t="shared" si="10"/>
        <v>3.3428618046491918</v>
      </c>
      <c r="P45" s="9">
        <f t="shared" si="11"/>
        <v>3.6888794541139363</v>
      </c>
      <c r="Q45" s="9">
        <f t="shared" si="12"/>
        <v>2.609</v>
      </c>
      <c r="R45" s="9">
        <f t="shared" si="13"/>
        <v>10.49</v>
      </c>
      <c r="S45" s="9">
        <f t="shared" si="14"/>
        <v>18.399999999999999</v>
      </c>
    </row>
    <row r="46" spans="1:19" x14ac:dyDescent="0.25">
      <c r="A46" t="s">
        <v>138</v>
      </c>
      <c r="B46" s="6">
        <f>'1_Du_lieu'!E52</f>
        <v>28.3</v>
      </c>
      <c r="C46" s="6">
        <f>'1_Du_lieu'!E241</f>
        <v>38.5</v>
      </c>
      <c r="D46" s="7">
        <f t="shared" si="15"/>
        <v>3.3428618046491918</v>
      </c>
      <c r="E46" s="7">
        <f t="shared" si="16"/>
        <v>3.6506582412937387</v>
      </c>
      <c r="F46" s="7">
        <f t="shared" si="17"/>
        <v>0.10259881221484897</v>
      </c>
      <c r="G46">
        <v>1</v>
      </c>
      <c r="H46" s="9">
        <f>'1_Du_lieu'!W115</f>
        <v>3.6888794541139363</v>
      </c>
      <c r="I46" s="9">
        <f>'1_Du_lieu'!L115</f>
        <v>2.609</v>
      </c>
      <c r="J46" s="9">
        <f>'1_Du_lieu'!M115</f>
        <v>10.49</v>
      </c>
      <c r="K46" s="9">
        <f>'1_Du_lieu'!N115</f>
        <v>18.399999999999999</v>
      </c>
      <c r="N46" s="7">
        <f t="shared" si="9"/>
        <v>0.15234097259100476</v>
      </c>
      <c r="O46" s="7">
        <f t="shared" si="10"/>
        <v>3.2268439945173775</v>
      </c>
      <c r="P46" s="9">
        <f t="shared" si="11"/>
        <v>4.4391156016580089</v>
      </c>
      <c r="Q46" s="9">
        <f t="shared" si="12"/>
        <v>3.3250000000000002</v>
      </c>
      <c r="R46" s="9">
        <f t="shared" si="13"/>
        <v>31.82</v>
      </c>
      <c r="S46" s="9">
        <f t="shared" si="14"/>
        <v>24.7</v>
      </c>
    </row>
    <row r="47" spans="1:19" x14ac:dyDescent="0.25">
      <c r="A47" t="s">
        <v>139</v>
      </c>
      <c r="B47" s="6">
        <f>'1_Du_lieu'!E53</f>
        <v>25.2</v>
      </c>
      <c r="C47" s="6">
        <f>'1_Du_lieu'!E242</f>
        <v>39.799999999999997</v>
      </c>
      <c r="D47" s="7">
        <f t="shared" si="15"/>
        <v>3.2268439945173775</v>
      </c>
      <c r="E47" s="7">
        <f t="shared" si="16"/>
        <v>3.6838669122903918</v>
      </c>
      <c r="F47" s="7">
        <f t="shared" si="17"/>
        <v>0.15234097259100476</v>
      </c>
      <c r="G47">
        <v>1</v>
      </c>
      <c r="H47" s="9">
        <f>'1_Du_lieu'!W116</f>
        <v>4.4391156016580089</v>
      </c>
      <c r="I47" s="9">
        <f>'1_Du_lieu'!L116</f>
        <v>3.3250000000000002</v>
      </c>
      <c r="J47" s="9">
        <f>'1_Du_lieu'!M116</f>
        <v>31.82</v>
      </c>
      <c r="K47" s="9">
        <f>'1_Du_lieu'!N116</f>
        <v>24.7</v>
      </c>
      <c r="N47" s="7">
        <f t="shared" si="9"/>
        <v>8.1123675375623261E-2</v>
      </c>
      <c r="O47" s="7">
        <f t="shared" si="10"/>
        <v>3.475067230228611</v>
      </c>
      <c r="P47" s="9">
        <f t="shared" si="11"/>
        <v>3.7495040759303713</v>
      </c>
      <c r="Q47" s="9">
        <f t="shared" si="12"/>
        <v>3.8239999999999998</v>
      </c>
      <c r="R47" s="9">
        <f t="shared" si="13"/>
        <v>48.7</v>
      </c>
      <c r="S47" s="9">
        <f t="shared" si="14"/>
        <v>22.7</v>
      </c>
    </row>
    <row r="48" spans="1:19" x14ac:dyDescent="0.25">
      <c r="A48" t="s">
        <v>140</v>
      </c>
      <c r="B48" s="6">
        <f>'1_Du_lieu'!E54</f>
        <v>32.299999999999997</v>
      </c>
      <c r="C48" s="6">
        <f>'1_Du_lieu'!E243</f>
        <v>41.2</v>
      </c>
      <c r="D48" s="7">
        <f t="shared" si="15"/>
        <v>3.475067230228611</v>
      </c>
      <c r="E48" s="7">
        <f t="shared" si="16"/>
        <v>3.7184382563554808</v>
      </c>
      <c r="F48" s="7">
        <f t="shared" si="17"/>
        <v>8.1123675375623261E-2</v>
      </c>
      <c r="G48">
        <v>1</v>
      </c>
      <c r="H48" s="9">
        <f>'1_Du_lieu'!W117</f>
        <v>3.7495040759303713</v>
      </c>
      <c r="I48" s="9">
        <f>'1_Du_lieu'!L117</f>
        <v>3.8239999999999998</v>
      </c>
      <c r="J48" s="9">
        <f>'1_Du_lieu'!M117</f>
        <v>48.7</v>
      </c>
      <c r="K48" s="9">
        <f>'1_Du_lieu'!N117</f>
        <v>22.7</v>
      </c>
      <c r="N48" s="7">
        <f t="shared" si="9"/>
        <v>0.13101419603653572</v>
      </c>
      <c r="O48" s="7">
        <f t="shared" si="10"/>
        <v>3.2958368660043291</v>
      </c>
      <c r="P48" s="9">
        <f t="shared" si="11"/>
        <v>3.9219733362813143</v>
      </c>
      <c r="Q48" s="9">
        <f t="shared" si="12"/>
        <v>2.4710000000000001</v>
      </c>
      <c r="R48" s="9">
        <f t="shared" si="13"/>
        <v>14</v>
      </c>
      <c r="S48" s="9">
        <f t="shared" si="14"/>
        <v>11.8</v>
      </c>
    </row>
    <row r="49" spans="1:19" x14ac:dyDescent="0.25">
      <c r="A49" t="s">
        <v>141</v>
      </c>
      <c r="B49" s="6">
        <f>'1_Du_lieu'!E55</f>
        <v>27</v>
      </c>
      <c r="C49" s="6">
        <f>'1_Du_lieu'!E244</f>
        <v>40</v>
      </c>
      <c r="D49" s="7">
        <f t="shared" si="15"/>
        <v>3.2958368660043291</v>
      </c>
      <c r="E49" s="7">
        <f t="shared" si="16"/>
        <v>3.6888794541139363</v>
      </c>
      <c r="F49" s="7">
        <f t="shared" si="17"/>
        <v>0.13101419603653572</v>
      </c>
      <c r="G49">
        <v>1</v>
      </c>
      <c r="H49" s="9">
        <f>'1_Du_lieu'!W118</f>
        <v>3.9219733362813143</v>
      </c>
      <c r="I49" s="9">
        <f>'1_Du_lieu'!L118</f>
        <v>2.4710000000000001</v>
      </c>
      <c r="J49" s="9">
        <f>'1_Du_lieu'!M118</f>
        <v>14</v>
      </c>
      <c r="K49" s="9">
        <f>'1_Du_lieu'!N118</f>
        <v>11.8</v>
      </c>
      <c r="N49" s="7">
        <f t="shared" si="9"/>
        <v>6.290378496424183E-2</v>
      </c>
      <c r="O49" s="7">
        <f t="shared" si="10"/>
        <v>3.2580965380214821</v>
      </c>
      <c r="P49" s="9">
        <f t="shared" si="11"/>
        <v>3.9796816539019608</v>
      </c>
      <c r="Q49" s="9">
        <f t="shared" si="12"/>
        <v>1.8620000000000001</v>
      </c>
      <c r="R49" s="9">
        <f t="shared" si="13"/>
        <v>17.05</v>
      </c>
      <c r="S49" s="9">
        <f t="shared" si="14"/>
        <v>10.9</v>
      </c>
    </row>
    <row r="50" spans="1:19" x14ac:dyDescent="0.25">
      <c r="A50" t="s">
        <v>142</v>
      </c>
      <c r="B50" s="6">
        <f>'1_Du_lieu'!E56</f>
        <v>26</v>
      </c>
      <c r="C50" s="6">
        <f>'1_Du_lieu'!E245</f>
        <v>31.4</v>
      </c>
      <c r="D50" s="7">
        <f t="shared" si="15"/>
        <v>3.2580965380214821</v>
      </c>
      <c r="E50" s="7">
        <f t="shared" si="16"/>
        <v>3.4468078929142076</v>
      </c>
      <c r="F50" s="7">
        <f t="shared" si="17"/>
        <v>6.290378496424183E-2</v>
      </c>
      <c r="G50">
        <v>1</v>
      </c>
      <c r="H50" s="9">
        <f>'1_Du_lieu'!W119</f>
        <v>3.9796816539019608</v>
      </c>
      <c r="I50" s="9">
        <f>'1_Du_lieu'!L119</f>
        <v>1.8620000000000001</v>
      </c>
      <c r="J50" s="9">
        <f>'1_Du_lieu'!M119</f>
        <v>17.05</v>
      </c>
      <c r="K50" s="9">
        <f>'1_Du_lieu'!N119</f>
        <v>10.9</v>
      </c>
      <c r="N50" s="7">
        <f t="shared" si="9"/>
        <v>7.8947465224123839E-2</v>
      </c>
      <c r="O50" s="7">
        <f t="shared" si="10"/>
        <v>3.1441522786722644</v>
      </c>
      <c r="P50" s="9">
        <f t="shared" si="11"/>
        <v>3.5890591188317256</v>
      </c>
      <c r="Q50" s="9">
        <f t="shared" si="12"/>
        <v>1.6379999999999999</v>
      </c>
      <c r="R50" s="9">
        <f t="shared" si="13"/>
        <v>13.74</v>
      </c>
      <c r="S50" s="9">
        <f t="shared" si="14"/>
        <v>19.399999999999999</v>
      </c>
    </row>
    <row r="51" spans="1:19" x14ac:dyDescent="0.25">
      <c r="A51" t="s">
        <v>143</v>
      </c>
      <c r="B51" s="6">
        <f>'1_Du_lieu'!E57</f>
        <v>23.2</v>
      </c>
      <c r="C51" s="6">
        <f>'1_Du_lieu'!E246</f>
        <v>29.4</v>
      </c>
      <c r="D51" s="7">
        <f t="shared" si="15"/>
        <v>3.1441522786722644</v>
      </c>
      <c r="E51" s="7">
        <f t="shared" si="16"/>
        <v>3.380994674344636</v>
      </c>
      <c r="F51" s="7">
        <f t="shared" si="17"/>
        <v>7.8947465224123839E-2</v>
      </c>
      <c r="G51">
        <v>1</v>
      </c>
      <c r="H51" s="9">
        <f>'1_Du_lieu'!W120</f>
        <v>3.5890591188317256</v>
      </c>
      <c r="I51" s="9">
        <f>'1_Du_lieu'!L120</f>
        <v>1.6379999999999999</v>
      </c>
      <c r="J51" s="9">
        <f>'1_Du_lieu'!M120</f>
        <v>13.74</v>
      </c>
      <c r="K51" s="9">
        <f>'1_Du_lieu'!N120</f>
        <v>19.399999999999999</v>
      </c>
      <c r="N51" s="7">
        <f t="shared" si="9"/>
        <v>8.2083708774786324E-2</v>
      </c>
      <c r="O51" s="7">
        <f t="shared" si="10"/>
        <v>3.427514689979529</v>
      </c>
      <c r="P51" s="9">
        <f t="shared" si="11"/>
        <v>4.133565275375382</v>
      </c>
      <c r="Q51" s="9">
        <f t="shared" si="12"/>
        <v>3.31</v>
      </c>
      <c r="R51" s="9">
        <f t="shared" si="13"/>
        <v>17.899999999999999</v>
      </c>
      <c r="S51" s="9">
        <f t="shared" si="14"/>
        <v>14.8</v>
      </c>
    </row>
    <row r="52" spans="1:19" x14ac:dyDescent="0.25">
      <c r="A52" t="s">
        <v>144</v>
      </c>
      <c r="B52" s="6">
        <f>'1_Du_lieu'!E58</f>
        <v>30.8</v>
      </c>
      <c r="C52" s="6">
        <f>'1_Du_lieu'!E247</f>
        <v>39.4</v>
      </c>
      <c r="D52" s="7">
        <f t="shared" si="15"/>
        <v>3.427514689979529</v>
      </c>
      <c r="E52" s="7">
        <f t="shared" si="16"/>
        <v>3.673765816303888</v>
      </c>
      <c r="F52" s="7">
        <f t="shared" si="17"/>
        <v>8.2083708774786324E-2</v>
      </c>
      <c r="G52">
        <v>1</v>
      </c>
      <c r="H52" s="9">
        <f>'1_Du_lieu'!W121</f>
        <v>4.133565275375382</v>
      </c>
      <c r="I52" s="9">
        <f>'1_Du_lieu'!L121</f>
        <v>3.31</v>
      </c>
      <c r="J52" s="9">
        <f>'1_Du_lieu'!M121</f>
        <v>17.899999999999999</v>
      </c>
      <c r="K52" s="9">
        <f>'1_Du_lieu'!N121</f>
        <v>14.8</v>
      </c>
      <c r="N52" s="7">
        <f t="shared" si="9"/>
        <v>9.2393116750877205E-2</v>
      </c>
      <c r="O52" s="7">
        <f t="shared" si="10"/>
        <v>3.5115454388310208</v>
      </c>
      <c r="P52" s="9">
        <f t="shared" si="11"/>
        <v>4.5485998344996972</v>
      </c>
      <c r="Q52" s="9">
        <f t="shared" si="12"/>
        <v>5.62</v>
      </c>
      <c r="R52" s="9">
        <f t="shared" si="13"/>
        <v>25.05</v>
      </c>
      <c r="S52" s="9">
        <f t="shared" si="14"/>
        <v>22.4</v>
      </c>
    </row>
    <row r="53" spans="1:19" x14ac:dyDescent="0.25">
      <c r="A53" t="s">
        <v>146</v>
      </c>
      <c r="B53" s="6">
        <f>'1_Du_lieu'!E60</f>
        <v>33.5</v>
      </c>
      <c r="C53" s="6">
        <f>'1_Du_lieu'!E249</f>
        <v>44.2</v>
      </c>
      <c r="D53" s="7">
        <f t="shared" si="15"/>
        <v>3.5115454388310208</v>
      </c>
      <c r="E53" s="7">
        <f t="shared" si="16"/>
        <v>3.7887247890836524</v>
      </c>
      <c r="F53" s="7">
        <f t="shared" si="17"/>
        <v>9.2393116750877205E-2</v>
      </c>
      <c r="G53">
        <v>1</v>
      </c>
      <c r="H53" s="9">
        <f>'1_Du_lieu'!W123</f>
        <v>4.5485998344996972</v>
      </c>
      <c r="I53" s="9">
        <f>'1_Du_lieu'!L123</f>
        <v>5.62</v>
      </c>
      <c r="J53" s="9">
        <f>'1_Du_lieu'!M123</f>
        <v>25.05</v>
      </c>
      <c r="K53" s="9">
        <f>'1_Du_lieu'!N123</f>
        <v>22.4</v>
      </c>
      <c r="N53" s="7">
        <f t="shared" si="9"/>
        <v>0.12322343534360281</v>
      </c>
      <c r="O53" s="7">
        <f t="shared" si="10"/>
        <v>3.1654750481410856</v>
      </c>
      <c r="P53" s="9">
        <f t="shared" si="11"/>
        <v>3.5234150143864045</v>
      </c>
      <c r="Q53" s="9">
        <f t="shared" si="12"/>
        <v>1.857</v>
      </c>
      <c r="R53" s="9">
        <f t="shared" si="13"/>
        <v>19.87</v>
      </c>
      <c r="S53" s="9">
        <f t="shared" si="14"/>
        <v>20</v>
      </c>
    </row>
    <row r="54" spans="1:19" x14ac:dyDescent="0.25">
      <c r="A54" t="s">
        <v>147</v>
      </c>
      <c r="B54" s="6">
        <f>'1_Du_lieu'!E61</f>
        <v>23.7</v>
      </c>
      <c r="C54" s="6">
        <f>'1_Du_lieu'!E250</f>
        <v>34.299999999999997</v>
      </c>
      <c r="D54" s="7">
        <f t="shared" si="15"/>
        <v>3.1654750481410856</v>
      </c>
      <c r="E54" s="7">
        <f t="shared" si="16"/>
        <v>3.535145354171894</v>
      </c>
      <c r="F54" s="7">
        <f t="shared" si="17"/>
        <v>0.12322343534360281</v>
      </c>
      <c r="G54">
        <v>1</v>
      </c>
      <c r="H54" s="9">
        <f>'1_Du_lieu'!W124</f>
        <v>3.5234150143864045</v>
      </c>
      <c r="I54" s="9">
        <f>'1_Du_lieu'!L124</f>
        <v>1.857</v>
      </c>
      <c r="J54" s="9">
        <f>'1_Du_lieu'!M124</f>
        <v>19.87</v>
      </c>
      <c r="K54" s="9">
        <f>'1_Du_lieu'!N124</f>
        <v>20</v>
      </c>
      <c r="N54" s="7">
        <f t="shared" si="9"/>
        <v>3.3601566373988444E-2</v>
      </c>
      <c r="O54" s="7">
        <f t="shared" si="10"/>
        <v>3.9665111907122159</v>
      </c>
      <c r="P54" s="9">
        <f t="shared" si="11"/>
        <v>4.5108595065168497</v>
      </c>
      <c r="Q54" s="9">
        <f t="shared" si="12"/>
        <v>18.283000000000001</v>
      </c>
      <c r="R54" s="9">
        <f t="shared" si="13"/>
        <v>87.12</v>
      </c>
      <c r="S54" s="9">
        <f t="shared" si="14"/>
        <v>42.6</v>
      </c>
    </row>
    <row r="55" spans="1:19" x14ac:dyDescent="0.25">
      <c r="A55" t="s">
        <v>149</v>
      </c>
      <c r="B55" s="6">
        <f>'1_Du_lieu'!E63</f>
        <v>52.8</v>
      </c>
      <c r="C55" s="6">
        <f>'1_Du_lieu'!E252</f>
        <v>58.4</v>
      </c>
      <c r="D55" s="7">
        <f t="shared" si="15"/>
        <v>3.9665111907122159</v>
      </c>
      <c r="E55" s="7">
        <f t="shared" si="16"/>
        <v>4.0673158898341812</v>
      </c>
      <c r="F55" s="7">
        <f t="shared" si="17"/>
        <v>3.3601566373988444E-2</v>
      </c>
      <c r="G55">
        <v>1</v>
      </c>
      <c r="H55" s="9">
        <f>'1_Du_lieu'!W126</f>
        <v>4.5108595065168497</v>
      </c>
      <c r="I55" s="9">
        <f>'1_Du_lieu'!L126</f>
        <v>18.283000000000001</v>
      </c>
      <c r="J55" s="9">
        <f>'1_Du_lieu'!M126</f>
        <v>87.12</v>
      </c>
      <c r="K55" s="9">
        <f>'1_Du_lieu'!N126</f>
        <v>42.6</v>
      </c>
      <c r="N55" s="7">
        <f t="shared" si="9"/>
        <v>8.4429847497341878E-2</v>
      </c>
      <c r="O55" s="7">
        <f t="shared" si="10"/>
        <v>3.3357695763396999</v>
      </c>
      <c r="P55" s="9">
        <f t="shared" si="11"/>
        <v>3.6661224669913199</v>
      </c>
      <c r="Q55" s="9">
        <f t="shared" si="12"/>
        <v>2.94</v>
      </c>
      <c r="R55" s="9">
        <f t="shared" si="13"/>
        <v>24.66</v>
      </c>
      <c r="S55" s="9">
        <f t="shared" si="14"/>
        <v>14.5</v>
      </c>
    </row>
    <row r="56" spans="1:19" x14ac:dyDescent="0.25">
      <c r="A56" t="s">
        <v>150</v>
      </c>
      <c r="B56" s="6">
        <f>'1_Du_lieu'!E64</f>
        <v>28.1</v>
      </c>
      <c r="C56" s="6">
        <f>'1_Du_lieu'!E253</f>
        <v>36.200000000000003</v>
      </c>
      <c r="D56" s="7">
        <f t="shared" si="15"/>
        <v>3.3357695763396999</v>
      </c>
      <c r="E56" s="7">
        <f t="shared" si="16"/>
        <v>3.5890591188317256</v>
      </c>
      <c r="F56" s="7">
        <f t="shared" si="17"/>
        <v>8.4429847497341878E-2</v>
      </c>
      <c r="G56">
        <v>1</v>
      </c>
      <c r="H56" s="9">
        <f>'1_Du_lieu'!W127</f>
        <v>3.6661224669913199</v>
      </c>
      <c r="I56" s="9">
        <f>'1_Du_lieu'!L127</f>
        <v>2.94</v>
      </c>
      <c r="J56" s="9">
        <f>'1_Du_lieu'!M127</f>
        <v>24.66</v>
      </c>
      <c r="K56" s="9">
        <f>'1_Du_lieu'!N127</f>
        <v>14.5</v>
      </c>
      <c r="N56" s="7">
        <f t="shared" si="9"/>
        <v>9.7268596545214248E-2</v>
      </c>
      <c r="O56" s="7">
        <f t="shared" si="10"/>
        <v>3.1863526331626408</v>
      </c>
      <c r="P56" s="9">
        <f t="shared" si="11"/>
        <v>3.784189633918261</v>
      </c>
      <c r="Q56" s="9">
        <f t="shared" si="12"/>
        <v>3.1779999999999999</v>
      </c>
      <c r="R56" s="9">
        <f t="shared" si="13"/>
        <v>15.23</v>
      </c>
      <c r="S56" s="9">
        <f t="shared" si="14"/>
        <v>13.9</v>
      </c>
    </row>
    <row r="57" spans="1:19" x14ac:dyDescent="0.25">
      <c r="A57" t="s">
        <v>151</v>
      </c>
      <c r="B57" s="6">
        <f>'1_Du_lieu'!E65</f>
        <v>24.2</v>
      </c>
      <c r="C57" s="6">
        <f>'1_Du_lieu'!E254</f>
        <v>32.4</v>
      </c>
      <c r="D57" s="7">
        <f t="shared" si="15"/>
        <v>3.1863526331626408</v>
      </c>
      <c r="E57" s="7">
        <f t="shared" si="16"/>
        <v>3.4781584227982836</v>
      </c>
      <c r="F57" s="7">
        <f t="shared" si="17"/>
        <v>9.7268596545214248E-2</v>
      </c>
      <c r="G57">
        <v>1</v>
      </c>
      <c r="H57" s="9">
        <f>'1_Du_lieu'!W128</f>
        <v>3.784189633918261</v>
      </c>
      <c r="I57" s="9">
        <f>'1_Du_lieu'!L128</f>
        <v>3.1779999999999999</v>
      </c>
      <c r="J57" s="9">
        <f>'1_Du_lieu'!M128</f>
        <v>15.23</v>
      </c>
      <c r="K57" s="9">
        <f>'1_Du_lieu'!N128</f>
        <v>13.9</v>
      </c>
      <c r="N57" s="7">
        <f t="shared" si="9"/>
        <v>0.13424553115165327</v>
      </c>
      <c r="O57" s="7">
        <f t="shared" si="10"/>
        <v>3.6027767550605247</v>
      </c>
      <c r="P57" s="9">
        <f t="shared" si="11"/>
        <v>4.6356993910229143</v>
      </c>
      <c r="Q57" s="9">
        <f t="shared" si="12"/>
        <v>6.9340000000000002</v>
      </c>
      <c r="R57" s="9">
        <f t="shared" si="13"/>
        <v>32.94</v>
      </c>
      <c r="S57" s="9">
        <f t="shared" si="14"/>
        <v>20.100000000000001</v>
      </c>
    </row>
    <row r="58" spans="1:19" x14ac:dyDescent="0.25">
      <c r="A58" t="s">
        <v>152</v>
      </c>
      <c r="B58" s="6">
        <f>'1_Du_lieu'!E66</f>
        <v>36.700000000000003</v>
      </c>
      <c r="C58" s="6">
        <f>'1_Du_lieu'!E255</f>
        <v>54.9</v>
      </c>
      <c r="D58" s="7">
        <f t="shared" si="15"/>
        <v>3.6027767550605247</v>
      </c>
      <c r="E58" s="7">
        <f t="shared" si="16"/>
        <v>4.0055133485154846</v>
      </c>
      <c r="F58" s="7">
        <f t="shared" si="17"/>
        <v>0.13424553115165327</v>
      </c>
      <c r="G58">
        <v>1</v>
      </c>
      <c r="H58" s="9">
        <f>'1_Du_lieu'!W129</f>
        <v>4.6356993910229143</v>
      </c>
      <c r="I58" s="9">
        <f>'1_Du_lieu'!L129</f>
        <v>6.9340000000000002</v>
      </c>
      <c r="J58" s="9">
        <f>'1_Du_lieu'!M129</f>
        <v>32.94</v>
      </c>
      <c r="K58" s="9">
        <f>'1_Du_lieu'!N129</f>
        <v>20.100000000000001</v>
      </c>
      <c r="N58" s="7">
        <f t="shared" si="9"/>
        <v>0.12037532995433065</v>
      </c>
      <c r="O58" s="7">
        <f t="shared" si="10"/>
        <v>3.2921262866077932</v>
      </c>
      <c r="P58" s="9">
        <f t="shared" si="11"/>
        <v>3.858622228701031</v>
      </c>
      <c r="Q58" s="9">
        <f t="shared" si="12"/>
        <v>2.0329999999999999</v>
      </c>
      <c r="R58" s="9">
        <f t="shared" si="13"/>
        <v>18.2</v>
      </c>
      <c r="S58" s="9">
        <f t="shared" si="14"/>
        <v>11.4</v>
      </c>
    </row>
    <row r="59" spans="1:19" x14ac:dyDescent="0.25">
      <c r="A59" t="s">
        <v>153</v>
      </c>
      <c r="B59" s="6">
        <f>'1_Du_lieu'!E67</f>
        <v>26.9</v>
      </c>
      <c r="C59" s="6">
        <f>'1_Du_lieu'!E256</f>
        <v>38.6</v>
      </c>
      <c r="D59" s="7">
        <f t="shared" si="15"/>
        <v>3.2921262866077932</v>
      </c>
      <c r="E59" s="7">
        <f t="shared" si="16"/>
        <v>3.6532522764707851</v>
      </c>
      <c r="F59" s="7">
        <f t="shared" si="17"/>
        <v>0.12037532995433065</v>
      </c>
      <c r="G59">
        <v>1</v>
      </c>
      <c r="H59" s="9">
        <f>'1_Du_lieu'!W130</f>
        <v>3.858622228701031</v>
      </c>
      <c r="I59" s="9">
        <f>'1_Du_lieu'!L130</f>
        <v>2.0329999999999999</v>
      </c>
      <c r="J59" s="9">
        <f>'1_Du_lieu'!M130</f>
        <v>18.2</v>
      </c>
      <c r="K59" s="9">
        <f>'1_Du_lieu'!N130</f>
        <v>11.4</v>
      </c>
    </row>
    <row r="61" spans="1:19" x14ac:dyDescent="0.25">
      <c r="A61" s="14" t="s">
        <v>328</v>
      </c>
      <c r="B61" s="14" t="s">
        <v>329</v>
      </c>
      <c r="C61" s="14" t="s">
        <v>330</v>
      </c>
      <c r="D61" s="14" t="s">
        <v>331</v>
      </c>
    </row>
    <row r="62" spans="1:19" x14ac:dyDescent="0.25">
      <c r="A62" s="10" t="s">
        <v>157</v>
      </c>
      <c r="B62" s="7">
        <f>COUNT($F$6:$F$59)</f>
        <v>54</v>
      </c>
      <c r="C62" s="7">
        <f>COUNT($N$6:$N$58)</f>
        <v>53</v>
      </c>
    </row>
    <row r="63" spans="1:19" x14ac:dyDescent="0.25">
      <c r="A63" s="10" t="s">
        <v>332</v>
      </c>
      <c r="B63" s="12">
        <f>SLOPE($F$6:$F$59,$D$6:$D$59)</f>
        <v>-4.2548705333806391E-2</v>
      </c>
      <c r="C63" s="12">
        <f>INDEX(LINEST($N$6:$N$58,$O$6:$S$58,TRUE,TRUE),1,5)</f>
        <v>2.5194166470496908E-3</v>
      </c>
      <c r="D63" t="s">
        <v>333</v>
      </c>
    </row>
    <row r="64" spans="1:19" x14ac:dyDescent="0.25">
      <c r="A64" s="10" t="s">
        <v>334</v>
      </c>
      <c r="B64" s="7">
        <f>INTERCEPT($F$6:$F$59,$D$6:$D$59)</f>
        <v>0.24549719412660931</v>
      </c>
      <c r="C64" s="7">
        <f>INDEX(LINEST($N$6:$N$58,$O$6:$S$58,TRUE,TRUE),1,6)</f>
        <v>2.6211224567271148E-2</v>
      </c>
    </row>
    <row r="65" spans="1:19" x14ac:dyDescent="0.25">
      <c r="A65" s="10" t="s">
        <v>335</v>
      </c>
      <c r="B65" s="7">
        <f>INDEX(LINEST($F$6:$F$59,$D$6:$D$59,TRUE,TRUE),2,1)</f>
        <v>1.3380536180179618E-2</v>
      </c>
      <c r="C65" s="7">
        <f>INDEX(LINEST($N$6:$N$58,$O$6:$S$58,TRUE,TRUE),2,5)</f>
        <v>3.3475698808101341E-2</v>
      </c>
      <c r="D65" t="s">
        <v>336</v>
      </c>
    </row>
    <row r="66" spans="1:19" x14ac:dyDescent="0.25">
      <c r="A66" s="10" t="s">
        <v>337</v>
      </c>
      <c r="B66" s="18">
        <v>1.30254975186797E-2</v>
      </c>
      <c r="C66" s="18">
        <v>3.4771209803838798E-2</v>
      </c>
      <c r="D66" t="s">
        <v>338</v>
      </c>
    </row>
    <row r="67" spans="1:19" x14ac:dyDescent="0.25">
      <c r="A67" s="10" t="s">
        <v>339</v>
      </c>
      <c r="B67" s="18">
        <v>1.0885871684318E-3</v>
      </c>
      <c r="C67" s="18">
        <v>0.94223824514695476</v>
      </c>
      <c r="D67" t="s">
        <v>340</v>
      </c>
    </row>
    <row r="68" spans="1:19" x14ac:dyDescent="0.25">
      <c r="A68" s="10" t="s">
        <v>341</v>
      </c>
      <c r="B68" s="12">
        <f>RSQ($F$6:$F$59,$D$6:$D$59)</f>
        <v>0.16279910308484224</v>
      </c>
      <c r="C68" s="12">
        <f>INDEX(LINEST($N$6:$N$58,$O$6:$S$58,TRUE,TRUE),3,1)</f>
        <v>0.31841578216293237</v>
      </c>
    </row>
    <row r="69" spans="1:19" x14ac:dyDescent="0.25">
      <c r="A69" s="10" t="s">
        <v>342</v>
      </c>
      <c r="B69" s="12">
        <f>IF(1+B63*3&gt;0,IF(-LN(1+B63*3)/3&gt;0,-LN(1+B63*3)/3,"—"),"—")</f>
        <v>4.5520035708796001E-2</v>
      </c>
      <c r="C69" s="12" t="str">
        <f>IF(1+C63*3&gt;0,IF(-LN(1+C63*3)/3&gt;0,-LN(1+C63*3)/3,"—"),"—")</f>
        <v>—</v>
      </c>
      <c r="D69" t="s">
        <v>343</v>
      </c>
    </row>
    <row r="70" spans="1:19" x14ac:dyDescent="0.25">
      <c r="A70" s="10" t="s">
        <v>344</v>
      </c>
      <c r="B70" s="13">
        <f>IF(ISNUMBER(B69),B69*100,"—")</f>
        <v>4.5520035708796005</v>
      </c>
      <c r="C70" s="13" t="str">
        <f>IF(ISNUMBER(C69),C69*100,"—")</f>
        <v>—</v>
      </c>
    </row>
    <row r="71" spans="1:19" x14ac:dyDescent="0.25">
      <c r="A71" s="10" t="s">
        <v>345</v>
      </c>
      <c r="B71" s="13">
        <f>IF(ISNUMBER(B69),LN(2)/B69,"—")</f>
        <v>15.227298699724129</v>
      </c>
      <c r="C71" s="13" t="str">
        <f>IF(ISNUMBER(C69),LN(2)/C69,"—")</f>
        <v>—</v>
      </c>
      <c r="D71" t="s">
        <v>346</v>
      </c>
    </row>
    <row r="72" spans="1:19" x14ac:dyDescent="0.25">
      <c r="A72" s="10" t="s">
        <v>347</v>
      </c>
    </row>
    <row r="73" spans="1:19" x14ac:dyDescent="0.25">
      <c r="A73" t="s">
        <v>74</v>
      </c>
      <c r="C73" s="12">
        <f>INDEX(LINEST($N$6:$N$58,$O$6:$S$58,TRUE,TRUE),1,4)</f>
        <v>2.2975174676667001E-2</v>
      </c>
      <c r="D73" s="19" t="s">
        <v>348</v>
      </c>
    </row>
    <row r="74" spans="1:19" x14ac:dyDescent="0.25">
      <c r="A74" t="s">
        <v>326</v>
      </c>
      <c r="C74" s="12">
        <f>INDEX(LINEST($N$6:$N$58,$O$6:$S$58,TRUE,TRUE),1,3)</f>
        <v>-3.5893287233159247E-3</v>
      </c>
      <c r="D74" s="19" t="s">
        <v>349</v>
      </c>
    </row>
    <row r="75" spans="1:19" x14ac:dyDescent="0.25">
      <c r="A75" t="s">
        <v>176</v>
      </c>
      <c r="C75" s="12">
        <f>INDEX(LINEST($N$6:$N$58,$O$6:$S$58,TRUE,TRUE),1,2)</f>
        <v>-3.9145979518410431E-4</v>
      </c>
      <c r="D75" s="19" t="s">
        <v>350</v>
      </c>
    </row>
    <row r="76" spans="1:19" x14ac:dyDescent="0.25">
      <c r="A76" t="s">
        <v>327</v>
      </c>
      <c r="C76" s="12">
        <f>INDEX(LINEST($N$6:$N$58,$O$6:$S$58,TRUE,TRUE),1,1)</f>
        <v>1.3441771007919305E-4</v>
      </c>
      <c r="D76" s="19" t="s">
        <v>351</v>
      </c>
    </row>
    <row r="79" spans="1:19" x14ac:dyDescent="0.25">
      <c r="A79" s="14" t="s">
        <v>352</v>
      </c>
    </row>
    <row r="80" spans="1:19" ht="32.1" customHeight="1" x14ac:dyDescent="0.25">
      <c r="A80" s="3" t="s">
        <v>52</v>
      </c>
      <c r="B80" s="3" t="s">
        <v>353</v>
      </c>
      <c r="C80" s="3" t="s">
        <v>354</v>
      </c>
      <c r="D80" s="3" t="s">
        <v>317</v>
      </c>
      <c r="E80" s="3" t="s">
        <v>318</v>
      </c>
      <c r="F80" s="3" t="s">
        <v>319</v>
      </c>
      <c r="G80" s="3" t="s">
        <v>320</v>
      </c>
      <c r="H80" s="3" t="s">
        <v>355</v>
      </c>
      <c r="I80" s="3" t="s">
        <v>356</v>
      </c>
      <c r="J80" s="3" t="s">
        <v>357</v>
      </c>
      <c r="K80" s="3" t="s">
        <v>358</v>
      </c>
      <c r="N80" s="3" t="s">
        <v>325</v>
      </c>
      <c r="O80" s="3" t="s">
        <v>317</v>
      </c>
      <c r="P80" s="3" t="s">
        <v>74</v>
      </c>
      <c r="Q80" s="3" t="s">
        <v>326</v>
      </c>
      <c r="R80" s="3" t="s">
        <v>176</v>
      </c>
      <c r="S80" s="3" t="s">
        <v>327</v>
      </c>
    </row>
    <row r="81" spans="1:19" x14ac:dyDescent="0.25">
      <c r="A81" t="s">
        <v>85</v>
      </c>
      <c r="B81" s="6">
        <f>'1_Du_lieu'!E257</f>
        <v>5.44</v>
      </c>
      <c r="C81" s="6">
        <f>'1_Du_lieu'!E446</f>
        <v>16</v>
      </c>
      <c r="D81" s="7">
        <f t="shared" ref="D81:D112" si="18">LN(B81)</f>
        <v>1.6937790608678513</v>
      </c>
      <c r="E81" s="7">
        <f t="shared" ref="E81:E112" si="19">LN(C81)</f>
        <v>2.7725887222397811</v>
      </c>
      <c r="F81" s="7">
        <f t="shared" ref="F81:F112" si="20">(E81-D81)/3</f>
        <v>0.35960322045730991</v>
      </c>
      <c r="G81">
        <v>1</v>
      </c>
      <c r="H81" s="9">
        <f>'1_Du_lieu'!W257</f>
        <v>3.8649313978942956</v>
      </c>
      <c r="I81" s="9">
        <f>'1_Du_lieu'!L257</f>
        <v>2.5430000000000001</v>
      </c>
      <c r="J81" s="9">
        <f>'1_Du_lieu'!M257</f>
        <v>33.83</v>
      </c>
      <c r="K81" s="9">
        <f>'1_Du_lieu'!N257</f>
        <v>13.4</v>
      </c>
      <c r="N81" s="7">
        <f t="shared" ref="N81:N112" si="21">F81</f>
        <v>0.35960322045730991</v>
      </c>
      <c r="O81" s="7">
        <f t="shared" ref="O81:O112" si="22">D81</f>
        <v>1.6937790608678513</v>
      </c>
      <c r="P81" s="9">
        <f t="shared" ref="P81:P112" si="23">H81</f>
        <v>3.8649313978942956</v>
      </c>
      <c r="Q81" s="9">
        <f t="shared" ref="Q81:Q112" si="24">I81</f>
        <v>2.5430000000000001</v>
      </c>
      <c r="R81" s="9">
        <f t="shared" ref="R81:R112" si="25">J81</f>
        <v>33.83</v>
      </c>
      <c r="S81" s="9">
        <f t="shared" ref="S81:S112" si="26">K81</f>
        <v>13.4</v>
      </c>
    </row>
    <row r="82" spans="1:19" x14ac:dyDescent="0.25">
      <c r="A82" t="s">
        <v>87</v>
      </c>
      <c r="B82" s="6">
        <f>'1_Du_lieu'!E258</f>
        <v>9.99</v>
      </c>
      <c r="C82" s="6">
        <f>'1_Du_lieu'!E447</f>
        <v>28</v>
      </c>
      <c r="D82" s="7">
        <f t="shared" si="18"/>
        <v>2.3015845926604621</v>
      </c>
      <c r="E82" s="7">
        <f t="shared" si="19"/>
        <v>3.3322045101752038</v>
      </c>
      <c r="F82" s="7">
        <f t="shared" si="20"/>
        <v>0.34353997250491392</v>
      </c>
      <c r="G82">
        <v>1</v>
      </c>
      <c r="H82" s="9">
        <f>'1_Du_lieu'!W258</f>
        <v>5.6957503029589365</v>
      </c>
      <c r="I82" s="9">
        <f>'1_Du_lieu'!L258</f>
        <v>9.6869999999999994</v>
      </c>
      <c r="J82" s="9">
        <f>'1_Du_lieu'!M258</f>
        <v>58.4</v>
      </c>
      <c r="K82" s="9">
        <f>'1_Du_lieu'!N258</f>
        <v>29.9</v>
      </c>
      <c r="N82" s="7">
        <f t="shared" si="21"/>
        <v>0.34353997250491392</v>
      </c>
      <c r="O82" s="7">
        <f t="shared" si="22"/>
        <v>2.3015845926604621</v>
      </c>
      <c r="P82" s="9">
        <f t="shared" si="23"/>
        <v>5.6957503029589365</v>
      </c>
      <c r="Q82" s="9">
        <f t="shared" si="24"/>
        <v>9.6869999999999994</v>
      </c>
      <c r="R82" s="9">
        <f t="shared" si="25"/>
        <v>58.4</v>
      </c>
      <c r="S82" s="9">
        <f t="shared" si="26"/>
        <v>29.9</v>
      </c>
    </row>
    <row r="83" spans="1:19" x14ac:dyDescent="0.25">
      <c r="A83" t="s">
        <v>89</v>
      </c>
      <c r="B83" s="6">
        <f>'1_Du_lieu'!E259</f>
        <v>14.76</v>
      </c>
      <c r="C83" s="6">
        <f>'1_Du_lieu'!E448</f>
        <v>51</v>
      </c>
      <c r="D83" s="7">
        <f t="shared" si="18"/>
        <v>2.6919208191723265</v>
      </c>
      <c r="E83" s="7">
        <f t="shared" si="19"/>
        <v>3.9318256327243257</v>
      </c>
      <c r="F83" s="7">
        <f t="shared" si="20"/>
        <v>0.41330160451733305</v>
      </c>
      <c r="G83">
        <v>1</v>
      </c>
      <c r="H83" s="9">
        <f>'1_Du_lieu'!W259</f>
        <v>5.0587903359833026</v>
      </c>
      <c r="I83" s="9">
        <f>'1_Du_lieu'!L259</f>
        <v>14.506</v>
      </c>
      <c r="J83" s="9">
        <f>'1_Du_lieu'!M259</f>
        <v>84.32</v>
      </c>
      <c r="K83" s="9">
        <f>'1_Du_lieu'!N259</f>
        <v>21</v>
      </c>
      <c r="N83" s="7">
        <f t="shared" si="21"/>
        <v>0.41330160451733305</v>
      </c>
      <c r="O83" s="7">
        <f t="shared" si="22"/>
        <v>2.6919208191723265</v>
      </c>
      <c r="P83" s="9">
        <f t="shared" si="23"/>
        <v>5.0587903359833026</v>
      </c>
      <c r="Q83" s="9">
        <f t="shared" si="24"/>
        <v>14.506</v>
      </c>
      <c r="R83" s="9">
        <f t="shared" si="25"/>
        <v>84.32</v>
      </c>
      <c r="S83" s="9">
        <f t="shared" si="26"/>
        <v>21</v>
      </c>
    </row>
    <row r="84" spans="1:19" x14ac:dyDescent="0.25">
      <c r="A84" t="s">
        <v>90</v>
      </c>
      <c r="B84" s="6">
        <f>'1_Du_lieu'!E260</f>
        <v>5.09</v>
      </c>
      <c r="C84" s="6">
        <f>'1_Du_lieu'!E449</f>
        <v>16</v>
      </c>
      <c r="D84" s="7">
        <f t="shared" si="18"/>
        <v>1.6272778305624314</v>
      </c>
      <c r="E84" s="7">
        <f t="shared" si="19"/>
        <v>2.7725887222397811</v>
      </c>
      <c r="F84" s="7">
        <f t="shared" si="20"/>
        <v>0.38177029722578326</v>
      </c>
      <c r="G84">
        <v>1</v>
      </c>
      <c r="H84" s="9">
        <f>'1_Du_lieu'!W260</f>
        <v>4.3320482648676402</v>
      </c>
      <c r="I84" s="9">
        <f>'1_Du_lieu'!L260</f>
        <v>6.069</v>
      </c>
      <c r="J84" s="9">
        <f>'1_Du_lieu'!M260</f>
        <v>24.16</v>
      </c>
      <c r="K84" s="9">
        <f>'1_Du_lieu'!N260</f>
        <v>19.2</v>
      </c>
      <c r="N84" s="7">
        <f t="shared" si="21"/>
        <v>0.38177029722578326</v>
      </c>
      <c r="O84" s="7">
        <f t="shared" si="22"/>
        <v>1.6272778305624314</v>
      </c>
      <c r="P84" s="9">
        <f t="shared" si="23"/>
        <v>4.3320482648676402</v>
      </c>
      <c r="Q84" s="9">
        <f t="shared" si="24"/>
        <v>6.069</v>
      </c>
      <c r="R84" s="9">
        <f t="shared" si="25"/>
        <v>24.16</v>
      </c>
      <c r="S84" s="9">
        <f t="shared" si="26"/>
        <v>19.2</v>
      </c>
    </row>
    <row r="85" spans="1:19" x14ac:dyDescent="0.25">
      <c r="A85" t="s">
        <v>91</v>
      </c>
      <c r="B85" s="6">
        <f>'1_Du_lieu'!E261</f>
        <v>5.82</v>
      </c>
      <c r="C85" s="6">
        <f>'1_Du_lieu'!E450</f>
        <v>20</v>
      </c>
      <c r="D85" s="7">
        <f t="shared" si="18"/>
        <v>1.7613002617433464</v>
      </c>
      <c r="E85" s="7">
        <f t="shared" si="19"/>
        <v>2.9957322735539909</v>
      </c>
      <c r="F85" s="7">
        <f t="shared" si="20"/>
        <v>0.41147733727021479</v>
      </c>
      <c r="G85">
        <v>1</v>
      </c>
      <c r="H85" s="9">
        <f>'1_Du_lieu'!W261</f>
        <v>4.2959239356204701</v>
      </c>
      <c r="I85" s="9">
        <f>'1_Du_lieu'!L261</f>
        <v>4.3860000000000001</v>
      </c>
      <c r="J85" s="9">
        <f>'1_Du_lieu'!M261</f>
        <v>38.5</v>
      </c>
      <c r="K85" s="9">
        <f>'1_Du_lieu'!N261</f>
        <v>18.3</v>
      </c>
      <c r="N85" s="7">
        <f t="shared" si="21"/>
        <v>0.41147733727021479</v>
      </c>
      <c r="O85" s="7">
        <f t="shared" si="22"/>
        <v>1.7613002617433464</v>
      </c>
      <c r="P85" s="9">
        <f t="shared" si="23"/>
        <v>4.2959239356204701</v>
      </c>
      <c r="Q85" s="9">
        <f t="shared" si="24"/>
        <v>4.3860000000000001</v>
      </c>
      <c r="R85" s="9">
        <f t="shared" si="25"/>
        <v>38.5</v>
      </c>
      <c r="S85" s="9">
        <f t="shared" si="26"/>
        <v>18.3</v>
      </c>
    </row>
    <row r="86" spans="1:19" x14ac:dyDescent="0.25">
      <c r="A86" t="s">
        <v>93</v>
      </c>
      <c r="B86" s="6">
        <f>'1_Du_lieu'!E262</f>
        <v>6.33</v>
      </c>
      <c r="C86" s="6">
        <f>'1_Du_lieu'!E451</f>
        <v>21</v>
      </c>
      <c r="D86" s="7">
        <f t="shared" si="18"/>
        <v>1.8453002361560848</v>
      </c>
      <c r="E86" s="7">
        <f t="shared" si="19"/>
        <v>3.044522437723423</v>
      </c>
      <c r="F86" s="7">
        <f t="shared" si="20"/>
        <v>0.39974073385577941</v>
      </c>
      <c r="G86">
        <v>1</v>
      </c>
      <c r="H86" s="9">
        <f>'1_Du_lieu'!W262</f>
        <v>4.1541845625781173</v>
      </c>
      <c r="I86" s="9">
        <f>'1_Du_lieu'!L262</f>
        <v>4.6790000000000003</v>
      </c>
      <c r="J86" s="9">
        <f>'1_Du_lieu'!M262</f>
        <v>41.16</v>
      </c>
      <c r="K86" s="9">
        <f>'1_Du_lieu'!N262</f>
        <v>25</v>
      </c>
      <c r="N86" s="7">
        <f t="shared" si="21"/>
        <v>0.39974073385577941</v>
      </c>
      <c r="O86" s="7">
        <f t="shared" si="22"/>
        <v>1.8453002361560848</v>
      </c>
      <c r="P86" s="9">
        <f t="shared" si="23"/>
        <v>4.1541845625781173</v>
      </c>
      <c r="Q86" s="9">
        <f t="shared" si="24"/>
        <v>4.6790000000000003</v>
      </c>
      <c r="R86" s="9">
        <f t="shared" si="25"/>
        <v>41.16</v>
      </c>
      <c r="S86" s="9">
        <f t="shared" si="26"/>
        <v>25</v>
      </c>
    </row>
    <row r="87" spans="1:19" x14ac:dyDescent="0.25">
      <c r="A87" t="s">
        <v>95</v>
      </c>
      <c r="B87" s="6">
        <f>'1_Du_lieu'!E264</f>
        <v>6.41</v>
      </c>
      <c r="C87" s="6">
        <f>'1_Du_lieu'!E453</f>
        <v>22</v>
      </c>
      <c r="D87" s="7">
        <f t="shared" si="18"/>
        <v>1.8578592709325787</v>
      </c>
      <c r="E87" s="7">
        <f t="shared" si="19"/>
        <v>3.0910424533583161</v>
      </c>
      <c r="F87" s="7">
        <f t="shared" si="20"/>
        <v>0.41106106080857913</v>
      </c>
      <c r="G87">
        <v>1</v>
      </c>
      <c r="H87" s="9">
        <f>'1_Du_lieu'!W264</f>
        <v>4.2527717988166192</v>
      </c>
      <c r="I87" s="9">
        <f>'1_Du_lieu'!L264</f>
        <v>3.7949999999999999</v>
      </c>
      <c r="J87" s="9">
        <f>'1_Du_lieu'!M264</f>
        <v>18.22</v>
      </c>
      <c r="K87" s="9">
        <f>'1_Du_lieu'!N264</f>
        <v>26.7</v>
      </c>
      <c r="N87" s="7">
        <f t="shared" si="21"/>
        <v>0.41106106080857913</v>
      </c>
      <c r="O87" s="7">
        <f t="shared" si="22"/>
        <v>1.8578592709325787</v>
      </c>
      <c r="P87" s="9">
        <f t="shared" si="23"/>
        <v>4.2527717988166192</v>
      </c>
      <c r="Q87" s="9">
        <f t="shared" si="24"/>
        <v>3.7949999999999999</v>
      </c>
      <c r="R87" s="9">
        <f t="shared" si="25"/>
        <v>18.22</v>
      </c>
      <c r="S87" s="9">
        <f t="shared" si="26"/>
        <v>26.7</v>
      </c>
    </row>
    <row r="88" spans="1:19" x14ac:dyDescent="0.25">
      <c r="A88" t="s">
        <v>97</v>
      </c>
      <c r="B88" s="6">
        <f>'1_Du_lieu'!E265</f>
        <v>3.98</v>
      </c>
      <c r="C88" s="6">
        <f>'1_Du_lieu'!E454</f>
        <v>11</v>
      </c>
      <c r="D88" s="7">
        <f t="shared" si="18"/>
        <v>1.3812818192963463</v>
      </c>
      <c r="E88" s="7">
        <f t="shared" si="19"/>
        <v>2.3978952727983707</v>
      </c>
      <c r="F88" s="7">
        <f t="shared" si="20"/>
        <v>0.33887115116734146</v>
      </c>
      <c r="G88">
        <v>1</v>
      </c>
      <c r="H88" s="9">
        <f>'1_Du_lieu'!W265</f>
        <v>3.7495040759303713</v>
      </c>
      <c r="I88" s="9">
        <f>'1_Du_lieu'!L265</f>
        <v>2.0230000000000001</v>
      </c>
      <c r="J88" s="9">
        <f>'1_Du_lieu'!M265</f>
        <v>22.58</v>
      </c>
      <c r="K88" s="9">
        <f>'1_Du_lieu'!N265</f>
        <v>27</v>
      </c>
      <c r="N88" s="7">
        <f t="shared" si="21"/>
        <v>0.33887115116734146</v>
      </c>
      <c r="O88" s="7">
        <f t="shared" si="22"/>
        <v>1.3812818192963463</v>
      </c>
      <c r="P88" s="9">
        <f t="shared" si="23"/>
        <v>3.7495040759303713</v>
      </c>
      <c r="Q88" s="9">
        <f t="shared" si="24"/>
        <v>2.0230000000000001</v>
      </c>
      <c r="R88" s="9">
        <f t="shared" si="25"/>
        <v>22.58</v>
      </c>
      <c r="S88" s="9">
        <f t="shared" si="26"/>
        <v>27</v>
      </c>
    </row>
    <row r="89" spans="1:19" x14ac:dyDescent="0.25">
      <c r="A89" t="s">
        <v>98</v>
      </c>
      <c r="B89" s="6">
        <f>'1_Du_lieu'!E266</f>
        <v>9.41</v>
      </c>
      <c r="C89" s="6">
        <f>'1_Du_lieu'!E455</f>
        <v>30</v>
      </c>
      <c r="D89" s="7">
        <f t="shared" si="18"/>
        <v>2.2417729535972883</v>
      </c>
      <c r="E89" s="7">
        <f t="shared" si="19"/>
        <v>3.4011973816621555</v>
      </c>
      <c r="F89" s="7">
        <f t="shared" si="20"/>
        <v>0.38647480935495571</v>
      </c>
      <c r="G89">
        <v>1</v>
      </c>
      <c r="H89" s="9">
        <f>'1_Du_lieu'!W266</f>
        <v>5.0606944939689926</v>
      </c>
      <c r="I89" s="9">
        <f>'1_Du_lieu'!L266</f>
        <v>9.532</v>
      </c>
      <c r="J89" s="9">
        <f>'1_Du_lieu'!M266</f>
        <v>36.65</v>
      </c>
      <c r="K89" s="9">
        <f>'1_Du_lieu'!N266</f>
        <v>33.5</v>
      </c>
      <c r="N89" s="7">
        <f t="shared" si="21"/>
        <v>0.38647480935495571</v>
      </c>
      <c r="O89" s="7">
        <f t="shared" si="22"/>
        <v>2.2417729535972883</v>
      </c>
      <c r="P89" s="9">
        <f t="shared" si="23"/>
        <v>5.0606944939689926</v>
      </c>
      <c r="Q89" s="9">
        <f t="shared" si="24"/>
        <v>9.532</v>
      </c>
      <c r="R89" s="9">
        <f t="shared" si="25"/>
        <v>36.65</v>
      </c>
      <c r="S89" s="9">
        <f t="shared" si="26"/>
        <v>33.5</v>
      </c>
    </row>
    <row r="90" spans="1:19" x14ac:dyDescent="0.25">
      <c r="A90" t="s">
        <v>100</v>
      </c>
      <c r="B90" s="6">
        <f>'1_Du_lieu'!E267</f>
        <v>6.66</v>
      </c>
      <c r="C90" s="6">
        <f>'1_Du_lieu'!E456</f>
        <v>19</v>
      </c>
      <c r="D90" s="7">
        <f t="shared" si="18"/>
        <v>1.8961194845522977</v>
      </c>
      <c r="E90" s="7">
        <f t="shared" si="19"/>
        <v>2.9444389791664403</v>
      </c>
      <c r="F90" s="7">
        <f t="shared" si="20"/>
        <v>0.34943983153804753</v>
      </c>
      <c r="G90">
        <v>1</v>
      </c>
      <c r="H90" s="9">
        <f>'1_Du_lieu'!W267</f>
        <v>3.7977338590260183</v>
      </c>
      <c r="I90" s="9">
        <f>'1_Du_lieu'!L267</f>
        <v>2.68</v>
      </c>
      <c r="J90" s="9">
        <f>'1_Du_lieu'!M267</f>
        <v>9.9</v>
      </c>
      <c r="K90" s="9">
        <f>'1_Du_lieu'!N267</f>
        <v>12.9</v>
      </c>
      <c r="N90" s="7">
        <f t="shared" si="21"/>
        <v>0.34943983153804753</v>
      </c>
      <c r="O90" s="7">
        <f t="shared" si="22"/>
        <v>1.8961194845522977</v>
      </c>
      <c r="P90" s="9">
        <f t="shared" si="23"/>
        <v>3.7977338590260183</v>
      </c>
      <c r="Q90" s="9">
        <f t="shared" si="24"/>
        <v>2.68</v>
      </c>
      <c r="R90" s="9">
        <f t="shared" si="25"/>
        <v>9.9</v>
      </c>
      <c r="S90" s="9">
        <f t="shared" si="26"/>
        <v>12.9</v>
      </c>
    </row>
    <row r="91" spans="1:19" x14ac:dyDescent="0.25">
      <c r="A91" t="s">
        <v>102</v>
      </c>
      <c r="B91" s="6">
        <f>'1_Du_lieu'!E269</f>
        <v>4.68</v>
      </c>
      <c r="C91" s="6">
        <f>'1_Du_lieu'!E458</f>
        <v>16</v>
      </c>
      <c r="D91" s="7">
        <f t="shared" si="18"/>
        <v>1.5432981099295553</v>
      </c>
      <c r="E91" s="7">
        <f t="shared" si="19"/>
        <v>2.7725887222397811</v>
      </c>
      <c r="F91" s="7">
        <f t="shared" si="20"/>
        <v>0.40976353743674193</v>
      </c>
      <c r="G91">
        <v>1</v>
      </c>
      <c r="H91" s="9">
        <f>'1_Du_lieu'!W269</f>
        <v>3.9473901492654373</v>
      </c>
      <c r="I91" s="9">
        <f>'1_Du_lieu'!L269</f>
        <v>3.0270000000000001</v>
      </c>
      <c r="J91" s="9">
        <f>'1_Du_lieu'!M269</f>
        <v>22.77</v>
      </c>
      <c r="K91" s="9">
        <f>'1_Du_lieu'!N269</f>
        <v>14.1</v>
      </c>
      <c r="N91" s="7">
        <f t="shared" si="21"/>
        <v>0.40976353743674193</v>
      </c>
      <c r="O91" s="7">
        <f t="shared" si="22"/>
        <v>1.5432981099295553</v>
      </c>
      <c r="P91" s="9">
        <f t="shared" si="23"/>
        <v>3.9473901492654373</v>
      </c>
      <c r="Q91" s="9">
        <f t="shared" si="24"/>
        <v>3.0270000000000001</v>
      </c>
      <c r="R91" s="9">
        <f t="shared" si="25"/>
        <v>22.77</v>
      </c>
      <c r="S91" s="9">
        <f t="shared" si="26"/>
        <v>14.1</v>
      </c>
    </row>
    <row r="92" spans="1:19" x14ac:dyDescent="0.25">
      <c r="A92" t="s">
        <v>103</v>
      </c>
      <c r="B92" s="6">
        <f>'1_Du_lieu'!E270</f>
        <v>8.59</v>
      </c>
      <c r="C92" s="6">
        <f>'1_Du_lieu'!E459</f>
        <v>28</v>
      </c>
      <c r="D92" s="7">
        <f t="shared" si="18"/>
        <v>2.150598735996164</v>
      </c>
      <c r="E92" s="7">
        <f t="shared" si="19"/>
        <v>3.3322045101752038</v>
      </c>
      <c r="F92" s="7">
        <f t="shared" si="20"/>
        <v>0.39386859139301328</v>
      </c>
      <c r="G92">
        <v>1</v>
      </c>
      <c r="H92" s="9">
        <f>'1_Du_lieu'!W270</f>
        <v>4.3027128279541564</v>
      </c>
      <c r="I92" s="9">
        <f>'1_Du_lieu'!L270</f>
        <v>7.7160000000000002</v>
      </c>
      <c r="J92" s="9">
        <f>'1_Du_lieu'!M270</f>
        <v>70.319999999999993</v>
      </c>
      <c r="K92" s="9">
        <f>'1_Du_lieu'!N270</f>
        <v>24.2</v>
      </c>
      <c r="N92" s="7">
        <f t="shared" si="21"/>
        <v>0.39386859139301328</v>
      </c>
      <c r="O92" s="7">
        <f t="shared" si="22"/>
        <v>2.150598735996164</v>
      </c>
      <c r="P92" s="9">
        <f t="shared" si="23"/>
        <v>4.3027128279541564</v>
      </c>
      <c r="Q92" s="9">
        <f t="shared" si="24"/>
        <v>7.7160000000000002</v>
      </c>
      <c r="R92" s="9">
        <f t="shared" si="25"/>
        <v>70.319999999999993</v>
      </c>
      <c r="S92" s="9">
        <f t="shared" si="26"/>
        <v>24.2</v>
      </c>
    </row>
    <row r="93" spans="1:19" x14ac:dyDescent="0.25">
      <c r="A93" t="s">
        <v>104</v>
      </c>
      <c r="B93" s="6">
        <f>'1_Du_lieu'!E271</f>
        <v>5.04</v>
      </c>
      <c r="C93" s="6">
        <f>'1_Du_lieu'!E460</f>
        <v>15</v>
      </c>
      <c r="D93" s="7">
        <f t="shared" si="18"/>
        <v>1.6174060820832772</v>
      </c>
      <c r="E93" s="7">
        <f t="shared" si="19"/>
        <v>2.7080502011022101</v>
      </c>
      <c r="F93" s="7">
        <f t="shared" si="20"/>
        <v>0.36354803967297761</v>
      </c>
      <c r="G93">
        <v>1</v>
      </c>
      <c r="H93" s="9">
        <f>'1_Du_lieu'!W271</f>
        <v>3.8753590210565547</v>
      </c>
      <c r="I93" s="9">
        <f>'1_Du_lieu'!L271</f>
        <v>3.081</v>
      </c>
      <c r="J93" s="9">
        <f>'1_Du_lieu'!M271</f>
        <v>29.23</v>
      </c>
      <c r="K93" s="9">
        <f>'1_Du_lieu'!N271</f>
        <v>15.9</v>
      </c>
      <c r="N93" s="7">
        <f t="shared" si="21"/>
        <v>0.36354803967297761</v>
      </c>
      <c r="O93" s="7">
        <f t="shared" si="22"/>
        <v>1.6174060820832772</v>
      </c>
      <c r="P93" s="9">
        <f t="shared" si="23"/>
        <v>3.8753590210565547</v>
      </c>
      <c r="Q93" s="9">
        <f t="shared" si="24"/>
        <v>3.081</v>
      </c>
      <c r="R93" s="9">
        <f t="shared" si="25"/>
        <v>29.23</v>
      </c>
      <c r="S93" s="9">
        <f t="shared" si="26"/>
        <v>15.9</v>
      </c>
    </row>
    <row r="94" spans="1:19" x14ac:dyDescent="0.25">
      <c r="A94" t="s">
        <v>107</v>
      </c>
      <c r="B94" s="6">
        <f>'1_Du_lieu'!E273</f>
        <v>6.51</v>
      </c>
      <c r="C94" s="6">
        <f>'1_Du_lieu'!E462</f>
        <v>23</v>
      </c>
      <c r="D94" s="7">
        <f t="shared" si="18"/>
        <v>1.8733394562204779</v>
      </c>
      <c r="E94" s="7">
        <f t="shared" si="19"/>
        <v>3.1354942159291497</v>
      </c>
      <c r="F94" s="7">
        <f t="shared" si="20"/>
        <v>0.42071825323622392</v>
      </c>
      <c r="G94">
        <v>1</v>
      </c>
      <c r="H94" s="9">
        <f>'1_Du_lieu'!W273</f>
        <v>4.3307333402863311</v>
      </c>
      <c r="I94" s="9">
        <f>'1_Du_lieu'!L273</f>
        <v>5.484</v>
      </c>
      <c r="J94" s="9">
        <f>'1_Du_lieu'!M273</f>
        <v>27.98</v>
      </c>
      <c r="K94" s="9">
        <f>'1_Du_lieu'!N273</f>
        <v>27.6</v>
      </c>
      <c r="N94" s="7">
        <f t="shared" si="21"/>
        <v>0.42071825323622392</v>
      </c>
      <c r="O94" s="7">
        <f t="shared" si="22"/>
        <v>1.8733394562204779</v>
      </c>
      <c r="P94" s="9">
        <f t="shared" si="23"/>
        <v>4.3307333402863311</v>
      </c>
      <c r="Q94" s="9">
        <f t="shared" si="24"/>
        <v>5.484</v>
      </c>
      <c r="R94" s="9">
        <f t="shared" si="25"/>
        <v>27.98</v>
      </c>
      <c r="S94" s="9">
        <f t="shared" si="26"/>
        <v>27.6</v>
      </c>
    </row>
    <row r="95" spans="1:19" x14ac:dyDescent="0.25">
      <c r="A95" t="s">
        <v>108</v>
      </c>
      <c r="B95" s="6">
        <f>'1_Du_lieu'!E274</f>
        <v>55.66</v>
      </c>
      <c r="C95" s="6">
        <f>'1_Du_lieu'!E463</f>
        <v>84</v>
      </c>
      <c r="D95" s="7">
        <f t="shared" si="18"/>
        <v>4.0192617560977446</v>
      </c>
      <c r="E95" s="7">
        <f t="shared" si="19"/>
        <v>4.4308167988433134</v>
      </c>
      <c r="F95" s="7">
        <f t="shared" si="20"/>
        <v>0.13718501424852292</v>
      </c>
      <c r="G95">
        <v>1</v>
      </c>
      <c r="H95" s="9">
        <f>'1_Du_lieu'!W274</f>
        <v>4.8543712716215905</v>
      </c>
      <c r="I95" s="9">
        <f>'1_Du_lieu'!L274</f>
        <v>21.425999999999998</v>
      </c>
      <c r="J95" s="9">
        <f>'1_Du_lieu'!M274</f>
        <v>49.16</v>
      </c>
      <c r="K95" s="9">
        <f>'1_Du_lieu'!N274</f>
        <v>50.3</v>
      </c>
      <c r="N95" s="7">
        <f t="shared" si="21"/>
        <v>0.13718501424852292</v>
      </c>
      <c r="O95" s="7">
        <f t="shared" si="22"/>
        <v>4.0192617560977446</v>
      </c>
      <c r="P95" s="9">
        <f t="shared" si="23"/>
        <v>4.8543712716215905</v>
      </c>
      <c r="Q95" s="9">
        <f t="shared" si="24"/>
        <v>21.425999999999998</v>
      </c>
      <c r="R95" s="9">
        <f t="shared" si="25"/>
        <v>49.16</v>
      </c>
      <c r="S95" s="9">
        <f t="shared" si="26"/>
        <v>50.3</v>
      </c>
    </row>
    <row r="96" spans="1:19" x14ac:dyDescent="0.25">
      <c r="A96" t="s">
        <v>109</v>
      </c>
      <c r="B96" s="6">
        <f>'1_Du_lieu'!E275</f>
        <v>5.76</v>
      </c>
      <c r="C96" s="6">
        <f>'1_Du_lieu'!E464</f>
        <v>18</v>
      </c>
      <c r="D96" s="7">
        <f t="shared" si="18"/>
        <v>1.7509374747077999</v>
      </c>
      <c r="E96" s="7">
        <f t="shared" si="19"/>
        <v>2.8903717578961645</v>
      </c>
      <c r="F96" s="7">
        <f t="shared" si="20"/>
        <v>0.37981142772945486</v>
      </c>
      <c r="G96">
        <v>1</v>
      </c>
      <c r="H96" s="9">
        <f>'1_Du_lieu'!W275</f>
        <v>4.2326561780196128</v>
      </c>
      <c r="I96" s="9">
        <f>'1_Du_lieu'!L275</f>
        <v>3.956</v>
      </c>
      <c r="J96" s="9">
        <f>'1_Du_lieu'!M275</f>
        <v>22.3</v>
      </c>
      <c r="K96" s="9">
        <f>'1_Du_lieu'!N275</f>
        <v>30.5</v>
      </c>
      <c r="N96" s="7">
        <f t="shared" si="21"/>
        <v>0.37981142772945486</v>
      </c>
      <c r="O96" s="7">
        <f t="shared" si="22"/>
        <v>1.7509374747077999</v>
      </c>
      <c r="P96" s="9">
        <f t="shared" si="23"/>
        <v>4.2326561780196128</v>
      </c>
      <c r="Q96" s="9">
        <f t="shared" si="24"/>
        <v>3.956</v>
      </c>
      <c r="R96" s="9">
        <f t="shared" si="25"/>
        <v>22.3</v>
      </c>
      <c r="S96" s="9">
        <f t="shared" si="26"/>
        <v>30.5</v>
      </c>
    </row>
    <row r="97" spans="1:19" x14ac:dyDescent="0.25">
      <c r="A97" t="s">
        <v>110</v>
      </c>
      <c r="B97" s="6">
        <f>'1_Du_lieu'!E276</f>
        <v>4.5999999999999996</v>
      </c>
      <c r="C97" s="6">
        <f>'1_Du_lieu'!E465</f>
        <v>14</v>
      </c>
      <c r="D97" s="7">
        <f t="shared" si="18"/>
        <v>1.5260563034950492</v>
      </c>
      <c r="E97" s="7">
        <f t="shared" si="19"/>
        <v>2.6390573296152584</v>
      </c>
      <c r="F97" s="7">
        <f t="shared" si="20"/>
        <v>0.37100034204006976</v>
      </c>
      <c r="G97">
        <v>1</v>
      </c>
      <c r="H97" s="9">
        <f>'1_Du_lieu'!W276</f>
        <v>4.0809215418899605</v>
      </c>
      <c r="I97" s="9">
        <f>'1_Du_lieu'!L276</f>
        <v>3.05</v>
      </c>
      <c r="J97" s="9">
        <f>'1_Du_lieu'!M276</f>
        <v>23.95</v>
      </c>
      <c r="K97" s="9">
        <f>'1_Du_lieu'!N276</f>
        <v>23.6</v>
      </c>
      <c r="N97" s="7">
        <f t="shared" si="21"/>
        <v>0.37100034204006976</v>
      </c>
      <c r="O97" s="7">
        <f t="shared" si="22"/>
        <v>1.5260563034950492</v>
      </c>
      <c r="P97" s="9">
        <f t="shared" si="23"/>
        <v>4.0809215418899605</v>
      </c>
      <c r="Q97" s="9">
        <f t="shared" si="24"/>
        <v>3.05</v>
      </c>
      <c r="R97" s="9">
        <f t="shared" si="25"/>
        <v>23.95</v>
      </c>
      <c r="S97" s="9">
        <f t="shared" si="26"/>
        <v>23.6</v>
      </c>
    </row>
    <row r="98" spans="1:19" x14ac:dyDescent="0.25">
      <c r="A98" t="s">
        <v>111</v>
      </c>
      <c r="B98" s="6">
        <f>'1_Du_lieu'!E277</f>
        <v>7.36</v>
      </c>
      <c r="C98" s="6">
        <f>'1_Du_lieu'!E466</f>
        <v>27</v>
      </c>
      <c r="D98" s="7">
        <f t="shared" si="18"/>
        <v>1.9960599327407849</v>
      </c>
      <c r="E98" s="7">
        <f t="shared" si="19"/>
        <v>3.2958368660043291</v>
      </c>
      <c r="F98" s="7">
        <f t="shared" si="20"/>
        <v>0.43325897775451477</v>
      </c>
      <c r="G98">
        <v>1</v>
      </c>
      <c r="H98" s="9">
        <f>'1_Du_lieu'!W277</f>
        <v>4.4773368144782069</v>
      </c>
      <c r="I98" s="9">
        <f>'1_Du_lieu'!L277</f>
        <v>6.48</v>
      </c>
      <c r="J98" s="9">
        <f>'1_Du_lieu'!M277</f>
        <v>16.63</v>
      </c>
      <c r="K98" s="9">
        <f>'1_Du_lieu'!N277</f>
        <v>26.7</v>
      </c>
      <c r="N98" s="7">
        <f t="shared" si="21"/>
        <v>0.43325897775451477</v>
      </c>
      <c r="O98" s="7">
        <f t="shared" si="22"/>
        <v>1.9960599327407849</v>
      </c>
      <c r="P98" s="9">
        <f t="shared" si="23"/>
        <v>4.4773368144782069</v>
      </c>
      <c r="Q98" s="9">
        <f t="shared" si="24"/>
        <v>6.48</v>
      </c>
      <c r="R98" s="9">
        <f t="shared" si="25"/>
        <v>16.63</v>
      </c>
      <c r="S98" s="9">
        <f t="shared" si="26"/>
        <v>26.7</v>
      </c>
    </row>
    <row r="99" spans="1:19" x14ac:dyDescent="0.25">
      <c r="A99" t="s">
        <v>112</v>
      </c>
      <c r="B99" s="6">
        <f>'1_Du_lieu'!E278</f>
        <v>6.8</v>
      </c>
      <c r="C99" s="6">
        <f>'1_Du_lieu'!E467</f>
        <v>21</v>
      </c>
      <c r="D99" s="7">
        <f t="shared" si="18"/>
        <v>1.9169226121820611</v>
      </c>
      <c r="E99" s="7">
        <f t="shared" si="19"/>
        <v>3.044522437723423</v>
      </c>
      <c r="F99" s="7">
        <f t="shared" si="20"/>
        <v>0.37586660851378734</v>
      </c>
      <c r="G99">
        <v>1</v>
      </c>
      <c r="H99" s="9">
        <f>'1_Du_lieu'!W278</f>
        <v>4.3476939555933765</v>
      </c>
      <c r="I99" s="9">
        <f>'1_Du_lieu'!L278</f>
        <v>5.2279999999999998</v>
      </c>
      <c r="J99" s="9">
        <f>'1_Du_lieu'!M278</f>
        <v>31.66</v>
      </c>
      <c r="K99" s="9">
        <f>'1_Du_lieu'!N278</f>
        <v>30.4</v>
      </c>
      <c r="N99" s="7">
        <f t="shared" si="21"/>
        <v>0.37586660851378734</v>
      </c>
      <c r="O99" s="7">
        <f t="shared" si="22"/>
        <v>1.9169226121820611</v>
      </c>
      <c r="P99" s="9">
        <f t="shared" si="23"/>
        <v>4.3476939555933765</v>
      </c>
      <c r="Q99" s="9">
        <f t="shared" si="24"/>
        <v>5.2279999999999998</v>
      </c>
      <c r="R99" s="9">
        <f t="shared" si="25"/>
        <v>31.66</v>
      </c>
      <c r="S99" s="9">
        <f t="shared" si="26"/>
        <v>30.4</v>
      </c>
    </row>
    <row r="100" spans="1:19" x14ac:dyDescent="0.25">
      <c r="A100" t="s">
        <v>113</v>
      </c>
      <c r="B100" s="6">
        <f>'1_Du_lieu'!E279</f>
        <v>11.11</v>
      </c>
      <c r="C100" s="6">
        <f>'1_Du_lieu'!E468</f>
        <v>36</v>
      </c>
      <c r="D100" s="7">
        <f t="shared" si="18"/>
        <v>2.4078456036515385</v>
      </c>
      <c r="E100" s="7">
        <f t="shared" si="19"/>
        <v>3.5835189384561099</v>
      </c>
      <c r="F100" s="7">
        <f t="shared" si="20"/>
        <v>0.39189111160152379</v>
      </c>
      <c r="G100">
        <v>1</v>
      </c>
      <c r="H100" s="9">
        <f>'1_Du_lieu'!W279</f>
        <v>5.0179418692786939</v>
      </c>
      <c r="I100" s="9">
        <f>'1_Du_lieu'!L279</f>
        <v>9.5570000000000004</v>
      </c>
      <c r="J100" s="9">
        <f>'1_Du_lieu'!M279</f>
        <v>45.51</v>
      </c>
      <c r="K100" s="9">
        <f>'1_Du_lieu'!N279</f>
        <v>36</v>
      </c>
      <c r="N100" s="7">
        <f t="shared" si="21"/>
        <v>0.39189111160152379</v>
      </c>
      <c r="O100" s="7">
        <f t="shared" si="22"/>
        <v>2.4078456036515385</v>
      </c>
      <c r="P100" s="9">
        <f t="shared" si="23"/>
        <v>5.0179418692786939</v>
      </c>
      <c r="Q100" s="9">
        <f t="shared" si="24"/>
        <v>9.5570000000000004</v>
      </c>
      <c r="R100" s="9">
        <f t="shared" si="25"/>
        <v>45.51</v>
      </c>
      <c r="S100" s="9">
        <f t="shared" si="26"/>
        <v>36</v>
      </c>
    </row>
    <row r="101" spans="1:19" x14ac:dyDescent="0.25">
      <c r="A101" t="s">
        <v>114</v>
      </c>
      <c r="B101" s="6">
        <f>'1_Du_lieu'!E280</f>
        <v>4.45</v>
      </c>
      <c r="C101" s="6">
        <f>'1_Du_lieu'!E469</f>
        <v>15</v>
      </c>
      <c r="D101" s="7">
        <f t="shared" si="18"/>
        <v>1.4929040961781488</v>
      </c>
      <c r="E101" s="7">
        <f t="shared" si="19"/>
        <v>2.7080502011022101</v>
      </c>
      <c r="F101" s="7">
        <f t="shared" si="20"/>
        <v>0.40504870164135376</v>
      </c>
      <c r="G101">
        <v>1</v>
      </c>
      <c r="H101" s="9">
        <f>'1_Du_lieu'!W280</f>
        <v>3.9963641538618968</v>
      </c>
      <c r="I101" s="9">
        <f>'1_Du_lieu'!L280</f>
        <v>3.218</v>
      </c>
      <c r="J101" s="9">
        <f>'1_Du_lieu'!M280</f>
        <v>29.14</v>
      </c>
      <c r="K101" s="9">
        <f>'1_Du_lieu'!N280</f>
        <v>13.5</v>
      </c>
      <c r="N101" s="7">
        <f t="shared" si="21"/>
        <v>0.40504870164135376</v>
      </c>
      <c r="O101" s="7">
        <f t="shared" si="22"/>
        <v>1.4929040961781488</v>
      </c>
      <c r="P101" s="9">
        <f t="shared" si="23"/>
        <v>3.9963641538618968</v>
      </c>
      <c r="Q101" s="9">
        <f t="shared" si="24"/>
        <v>3.218</v>
      </c>
      <c r="R101" s="9">
        <f t="shared" si="25"/>
        <v>29.14</v>
      </c>
      <c r="S101" s="9">
        <f t="shared" si="26"/>
        <v>13.5</v>
      </c>
    </row>
    <row r="102" spans="1:19" x14ac:dyDescent="0.25">
      <c r="A102" t="s">
        <v>115</v>
      </c>
      <c r="B102" s="6">
        <f>'1_Du_lieu'!E281</f>
        <v>9.7100000000000009</v>
      </c>
      <c r="C102" s="6">
        <f>'1_Du_lieu'!E470</f>
        <v>25</v>
      </c>
      <c r="D102" s="7">
        <f t="shared" si="18"/>
        <v>2.2731562823032334</v>
      </c>
      <c r="E102" s="7">
        <f t="shared" si="19"/>
        <v>3.2188758248682006</v>
      </c>
      <c r="F102" s="7">
        <f t="shared" si="20"/>
        <v>0.31523984752165574</v>
      </c>
      <c r="G102">
        <v>1</v>
      </c>
      <c r="H102" s="9">
        <f>'1_Du_lieu'!W281</f>
        <v>4.1510399058986458</v>
      </c>
      <c r="I102" s="9">
        <f>'1_Du_lieu'!L281</f>
        <v>8.9290000000000003</v>
      </c>
      <c r="J102" s="9">
        <f>'1_Du_lieu'!M281</f>
        <v>42.36</v>
      </c>
      <c r="K102" s="9">
        <f>'1_Du_lieu'!N281</f>
        <v>25.6</v>
      </c>
      <c r="N102" s="7">
        <f t="shared" si="21"/>
        <v>0.31523984752165574</v>
      </c>
      <c r="O102" s="7">
        <f t="shared" si="22"/>
        <v>2.2731562823032334</v>
      </c>
      <c r="P102" s="9">
        <f t="shared" si="23"/>
        <v>4.1510399058986458</v>
      </c>
      <c r="Q102" s="9">
        <f t="shared" si="24"/>
        <v>8.9290000000000003</v>
      </c>
      <c r="R102" s="9">
        <f t="shared" si="25"/>
        <v>42.36</v>
      </c>
      <c r="S102" s="9">
        <f t="shared" si="26"/>
        <v>25.6</v>
      </c>
    </row>
    <row r="103" spans="1:19" x14ac:dyDescent="0.25">
      <c r="A103" t="s">
        <v>116</v>
      </c>
      <c r="B103" s="6">
        <f>'1_Du_lieu'!E282</f>
        <v>5.69</v>
      </c>
      <c r="C103" s="6">
        <f>'1_Du_lieu'!E471</f>
        <v>17</v>
      </c>
      <c r="D103" s="7">
        <f t="shared" si="18"/>
        <v>1.7387102481382397</v>
      </c>
      <c r="E103" s="7">
        <f t="shared" si="19"/>
        <v>2.8332133440562162</v>
      </c>
      <c r="F103" s="7">
        <f t="shared" si="20"/>
        <v>0.36483436530599217</v>
      </c>
      <c r="G103">
        <v>1</v>
      </c>
      <c r="H103" s="9">
        <f>'1_Du_lieu'!W282</f>
        <v>4.0775374439057197</v>
      </c>
      <c r="I103" s="9">
        <f>'1_Du_lieu'!L282</f>
        <v>4.6059999999999999</v>
      </c>
      <c r="J103" s="9">
        <f>'1_Du_lieu'!M282</f>
        <v>28.79</v>
      </c>
      <c r="K103" s="9">
        <f>'1_Du_lieu'!N282</f>
        <v>15.7</v>
      </c>
      <c r="N103" s="7">
        <f t="shared" si="21"/>
        <v>0.36483436530599217</v>
      </c>
      <c r="O103" s="7">
        <f t="shared" si="22"/>
        <v>1.7387102481382397</v>
      </c>
      <c r="P103" s="9">
        <f t="shared" si="23"/>
        <v>4.0775374439057197</v>
      </c>
      <c r="Q103" s="9">
        <f t="shared" si="24"/>
        <v>4.6059999999999999</v>
      </c>
      <c r="R103" s="9">
        <f t="shared" si="25"/>
        <v>28.79</v>
      </c>
      <c r="S103" s="9">
        <f t="shared" si="26"/>
        <v>15.7</v>
      </c>
    </row>
    <row r="104" spans="1:19" x14ac:dyDescent="0.25">
      <c r="A104" t="s">
        <v>117</v>
      </c>
      <c r="B104" s="6">
        <f>'1_Du_lieu'!E283</f>
        <v>4.5</v>
      </c>
      <c r="C104" s="6">
        <f>'1_Du_lieu'!E472</f>
        <v>13</v>
      </c>
      <c r="D104" s="7">
        <f t="shared" si="18"/>
        <v>1.5040773967762742</v>
      </c>
      <c r="E104" s="7">
        <f t="shared" si="19"/>
        <v>2.5649493574615367</v>
      </c>
      <c r="F104" s="7">
        <f t="shared" si="20"/>
        <v>0.35362398689508751</v>
      </c>
      <c r="G104">
        <v>1</v>
      </c>
      <c r="H104" s="9">
        <f>'1_Du_lieu'!W283</f>
        <v>3.8649313978942956</v>
      </c>
      <c r="I104" s="9">
        <f>'1_Du_lieu'!L283</f>
        <v>3.4670000000000001</v>
      </c>
      <c r="J104" s="9">
        <f>'1_Du_lieu'!M283</f>
        <v>32.58</v>
      </c>
      <c r="K104" s="9">
        <f>'1_Du_lieu'!N283</f>
        <v>18.2</v>
      </c>
      <c r="N104" s="7">
        <f t="shared" si="21"/>
        <v>0.35362398689508751</v>
      </c>
      <c r="O104" s="7">
        <f t="shared" si="22"/>
        <v>1.5040773967762742</v>
      </c>
      <c r="P104" s="9">
        <f t="shared" si="23"/>
        <v>3.8649313978942956</v>
      </c>
      <c r="Q104" s="9">
        <f t="shared" si="24"/>
        <v>3.4670000000000001</v>
      </c>
      <c r="R104" s="9">
        <f t="shared" si="25"/>
        <v>32.58</v>
      </c>
      <c r="S104" s="9">
        <f t="shared" si="26"/>
        <v>18.2</v>
      </c>
    </row>
    <row r="105" spans="1:19" x14ac:dyDescent="0.25">
      <c r="A105" t="s">
        <v>119</v>
      </c>
      <c r="B105" s="6">
        <f>'1_Du_lieu'!E285</f>
        <v>7.32</v>
      </c>
      <c r="C105" s="6">
        <f>'1_Du_lieu'!E474</f>
        <v>22</v>
      </c>
      <c r="D105" s="7">
        <f t="shared" si="18"/>
        <v>1.9906103279732201</v>
      </c>
      <c r="E105" s="7">
        <f t="shared" si="19"/>
        <v>3.0910424533583161</v>
      </c>
      <c r="F105" s="7">
        <f t="shared" si="20"/>
        <v>0.36681070846169866</v>
      </c>
      <c r="G105">
        <v>1</v>
      </c>
      <c r="H105" s="9">
        <f>'1_Du_lieu'!W285</f>
        <v>4.3807758527722287</v>
      </c>
      <c r="I105" s="9">
        <f>'1_Du_lieu'!L285</f>
        <v>6.4249999999999998</v>
      </c>
      <c r="J105" s="9">
        <f>'1_Du_lieu'!M285</f>
        <v>18.34</v>
      </c>
      <c r="K105" s="9">
        <f>'1_Du_lieu'!N285</f>
        <v>15.1</v>
      </c>
      <c r="N105" s="7">
        <f t="shared" si="21"/>
        <v>0.36681070846169866</v>
      </c>
      <c r="O105" s="7">
        <f t="shared" si="22"/>
        <v>1.9906103279732201</v>
      </c>
      <c r="P105" s="9">
        <f t="shared" si="23"/>
        <v>4.3807758527722287</v>
      </c>
      <c r="Q105" s="9">
        <f t="shared" si="24"/>
        <v>6.4249999999999998</v>
      </c>
      <c r="R105" s="9">
        <f t="shared" si="25"/>
        <v>18.34</v>
      </c>
      <c r="S105" s="9">
        <f t="shared" si="26"/>
        <v>15.1</v>
      </c>
    </row>
    <row r="106" spans="1:19" x14ac:dyDescent="0.25">
      <c r="A106" t="s">
        <v>120</v>
      </c>
      <c r="B106" s="6">
        <f>'1_Du_lieu'!E286</f>
        <v>4.96</v>
      </c>
      <c r="C106" s="6">
        <f>'1_Du_lieu'!E475</f>
        <v>20</v>
      </c>
      <c r="D106" s="7">
        <f t="shared" si="18"/>
        <v>1.6014057407368361</v>
      </c>
      <c r="E106" s="7">
        <f t="shared" si="19"/>
        <v>2.9957322735539909</v>
      </c>
      <c r="F106" s="7">
        <f t="shared" si="20"/>
        <v>0.46477551093905162</v>
      </c>
      <c r="G106">
        <v>1</v>
      </c>
      <c r="H106" s="9">
        <f>'1_Du_lieu'!W286</f>
        <v>4.3094559418390466</v>
      </c>
      <c r="I106" s="9">
        <f>'1_Du_lieu'!L286</f>
        <v>4.0060000000000002</v>
      </c>
      <c r="J106" s="9">
        <f>'1_Du_lieu'!M286</f>
        <v>26.5</v>
      </c>
      <c r="K106" s="9">
        <f>'1_Du_lieu'!N286</f>
        <v>24.6</v>
      </c>
      <c r="N106" s="7">
        <f t="shared" si="21"/>
        <v>0.46477551093905162</v>
      </c>
      <c r="O106" s="7">
        <f t="shared" si="22"/>
        <v>1.6014057407368361</v>
      </c>
      <c r="P106" s="9">
        <f t="shared" si="23"/>
        <v>4.3094559418390466</v>
      </c>
      <c r="Q106" s="9">
        <f t="shared" si="24"/>
        <v>4.0060000000000002</v>
      </c>
      <c r="R106" s="9">
        <f t="shared" si="25"/>
        <v>26.5</v>
      </c>
      <c r="S106" s="9">
        <f t="shared" si="26"/>
        <v>24.6</v>
      </c>
    </row>
    <row r="107" spans="1:19" x14ac:dyDescent="0.25">
      <c r="A107" t="s">
        <v>121</v>
      </c>
      <c r="B107" s="6">
        <f>'1_Du_lieu'!E287</f>
        <v>6.65</v>
      </c>
      <c r="C107" s="6">
        <f>'1_Du_lieu'!E476</f>
        <v>26</v>
      </c>
      <c r="D107" s="7">
        <f t="shared" si="18"/>
        <v>1.8946168546677629</v>
      </c>
      <c r="E107" s="7">
        <f t="shared" si="19"/>
        <v>3.2580965380214821</v>
      </c>
      <c r="F107" s="7">
        <f t="shared" si="20"/>
        <v>0.45449322778457307</v>
      </c>
      <c r="G107">
        <v>1</v>
      </c>
      <c r="H107" s="9">
        <f>'1_Du_lieu'!W287</f>
        <v>4.2046926193909657</v>
      </c>
      <c r="I107" s="9">
        <f>'1_Du_lieu'!L287</f>
        <v>5.5830000000000002</v>
      </c>
      <c r="J107" s="9">
        <f>'1_Du_lieu'!M287</f>
        <v>39.270000000000003</v>
      </c>
      <c r="K107" s="9">
        <f>'1_Du_lieu'!N287</f>
        <v>20.5</v>
      </c>
      <c r="N107" s="7">
        <f t="shared" si="21"/>
        <v>0.45449322778457307</v>
      </c>
      <c r="O107" s="7">
        <f t="shared" si="22"/>
        <v>1.8946168546677629</v>
      </c>
      <c r="P107" s="9">
        <f t="shared" si="23"/>
        <v>4.2046926193909657</v>
      </c>
      <c r="Q107" s="9">
        <f t="shared" si="24"/>
        <v>5.5830000000000002</v>
      </c>
      <c r="R107" s="9">
        <f t="shared" si="25"/>
        <v>39.270000000000003</v>
      </c>
      <c r="S107" s="9">
        <f t="shared" si="26"/>
        <v>20.5</v>
      </c>
    </row>
    <row r="108" spans="1:19" x14ac:dyDescent="0.25">
      <c r="A108" t="s">
        <v>122</v>
      </c>
      <c r="B108" s="6">
        <f>'1_Du_lieu'!E288</f>
        <v>4.21</v>
      </c>
      <c r="C108" s="6">
        <f>'1_Du_lieu'!E477</f>
        <v>13</v>
      </c>
      <c r="D108" s="7">
        <f t="shared" si="18"/>
        <v>1.43746264769429</v>
      </c>
      <c r="E108" s="7">
        <f t="shared" si="19"/>
        <v>2.5649493574615367</v>
      </c>
      <c r="F108" s="7">
        <f t="shared" si="20"/>
        <v>0.37582890325574891</v>
      </c>
      <c r="G108">
        <v>1</v>
      </c>
      <c r="H108" s="9">
        <f>'1_Du_lieu'!W288</f>
        <v>3.8543938925915096</v>
      </c>
      <c r="I108" s="9">
        <f>'1_Du_lieu'!L288</f>
        <v>2.786</v>
      </c>
      <c r="J108" s="9">
        <f>'1_Du_lieu'!M288</f>
        <v>23.08</v>
      </c>
      <c r="K108" s="9">
        <f>'1_Du_lieu'!N288</f>
        <v>27.8</v>
      </c>
      <c r="N108" s="7">
        <f t="shared" si="21"/>
        <v>0.37582890325574891</v>
      </c>
      <c r="O108" s="7">
        <f t="shared" si="22"/>
        <v>1.43746264769429</v>
      </c>
      <c r="P108" s="9">
        <f t="shared" si="23"/>
        <v>3.8543938925915096</v>
      </c>
      <c r="Q108" s="9">
        <f t="shared" si="24"/>
        <v>2.786</v>
      </c>
      <c r="R108" s="9">
        <f t="shared" si="25"/>
        <v>23.08</v>
      </c>
      <c r="S108" s="9">
        <f t="shared" si="26"/>
        <v>27.8</v>
      </c>
    </row>
    <row r="109" spans="1:19" x14ac:dyDescent="0.25">
      <c r="A109" t="s">
        <v>123</v>
      </c>
      <c r="B109" s="6">
        <f>'1_Du_lieu'!E289</f>
        <v>6.73</v>
      </c>
      <c r="C109" s="6">
        <f>'1_Du_lieu'!E478</f>
        <v>26</v>
      </c>
      <c r="D109" s="7">
        <f t="shared" si="18"/>
        <v>1.9065751436566365</v>
      </c>
      <c r="E109" s="7">
        <f t="shared" si="19"/>
        <v>3.2580965380214821</v>
      </c>
      <c r="F109" s="7">
        <f t="shared" si="20"/>
        <v>0.45050713145494853</v>
      </c>
      <c r="G109">
        <v>1</v>
      </c>
      <c r="H109" s="9">
        <f>'1_Du_lieu'!W289</f>
        <v>3.7954891891721947</v>
      </c>
      <c r="I109" s="9">
        <f>'1_Du_lieu'!L289</f>
        <v>3.5150000000000001</v>
      </c>
      <c r="J109" s="9">
        <f>'1_Du_lieu'!M289</f>
        <v>20.239999999999998</v>
      </c>
      <c r="K109" s="9">
        <f>'1_Du_lieu'!N289</f>
        <v>22</v>
      </c>
      <c r="N109" s="7">
        <f t="shared" si="21"/>
        <v>0.45050713145494853</v>
      </c>
      <c r="O109" s="7">
        <f t="shared" si="22"/>
        <v>1.9065751436566365</v>
      </c>
      <c r="P109" s="9">
        <f t="shared" si="23"/>
        <v>3.7954891891721947</v>
      </c>
      <c r="Q109" s="9">
        <f t="shared" si="24"/>
        <v>3.5150000000000001</v>
      </c>
      <c r="R109" s="9">
        <f t="shared" si="25"/>
        <v>20.239999999999998</v>
      </c>
      <c r="S109" s="9">
        <f t="shared" si="26"/>
        <v>22</v>
      </c>
    </row>
    <row r="110" spans="1:19" x14ac:dyDescent="0.25">
      <c r="A110" t="s">
        <v>124</v>
      </c>
      <c r="B110" s="6">
        <f>'1_Du_lieu'!E290</f>
        <v>6.7</v>
      </c>
      <c r="C110" s="6">
        <f>'1_Du_lieu'!E479</f>
        <v>22</v>
      </c>
      <c r="D110" s="7">
        <f t="shared" si="18"/>
        <v>1.9021075263969205</v>
      </c>
      <c r="E110" s="7">
        <f t="shared" si="19"/>
        <v>3.0910424533583161</v>
      </c>
      <c r="F110" s="7">
        <f t="shared" si="20"/>
        <v>0.39631164232046517</v>
      </c>
      <c r="G110">
        <v>1</v>
      </c>
      <c r="H110" s="9">
        <f>'1_Du_lieu'!W290</f>
        <v>3.8329797980876932</v>
      </c>
      <c r="I110" s="9">
        <f>'1_Du_lieu'!L290</f>
        <v>3.641</v>
      </c>
      <c r="J110" s="9">
        <f>'1_Du_lieu'!M290</f>
        <v>15.53</v>
      </c>
      <c r="K110" s="9">
        <f>'1_Du_lieu'!N290</f>
        <v>23.4</v>
      </c>
      <c r="N110" s="7">
        <f t="shared" si="21"/>
        <v>0.39631164232046517</v>
      </c>
      <c r="O110" s="7">
        <f t="shared" si="22"/>
        <v>1.9021075263969205</v>
      </c>
      <c r="P110" s="9">
        <f t="shared" si="23"/>
        <v>3.8329797980876932</v>
      </c>
      <c r="Q110" s="9">
        <f t="shared" si="24"/>
        <v>3.641</v>
      </c>
      <c r="R110" s="9">
        <f t="shared" si="25"/>
        <v>15.53</v>
      </c>
      <c r="S110" s="9">
        <f t="shared" si="26"/>
        <v>23.4</v>
      </c>
    </row>
    <row r="111" spans="1:19" x14ac:dyDescent="0.25">
      <c r="A111" t="s">
        <v>125</v>
      </c>
      <c r="B111" s="6">
        <f>'1_Du_lieu'!E291</f>
        <v>6.31</v>
      </c>
      <c r="C111" s="6">
        <f>'1_Du_lieu'!E480</f>
        <v>24</v>
      </c>
      <c r="D111" s="7">
        <f t="shared" si="18"/>
        <v>1.8421356765531218</v>
      </c>
      <c r="E111" s="7">
        <f t="shared" si="19"/>
        <v>3.1780538303479458</v>
      </c>
      <c r="F111" s="7">
        <f t="shared" si="20"/>
        <v>0.44530605126494133</v>
      </c>
      <c r="G111">
        <v>1</v>
      </c>
      <c r="H111" s="9">
        <f>'1_Du_lieu'!W291</f>
        <v>4.2584455729025272</v>
      </c>
      <c r="I111" s="9">
        <f>'1_Du_lieu'!L291</f>
        <v>4.7089999999999996</v>
      </c>
      <c r="J111" s="9">
        <f>'1_Du_lieu'!M291</f>
        <v>21.49</v>
      </c>
      <c r="K111" s="9">
        <f>'1_Du_lieu'!N291</f>
        <v>31.7</v>
      </c>
      <c r="N111" s="7">
        <f t="shared" si="21"/>
        <v>0.44530605126494133</v>
      </c>
      <c r="O111" s="7">
        <f t="shared" si="22"/>
        <v>1.8421356765531218</v>
      </c>
      <c r="P111" s="9">
        <f t="shared" si="23"/>
        <v>4.2584455729025272</v>
      </c>
      <c r="Q111" s="9">
        <f t="shared" si="24"/>
        <v>4.7089999999999996</v>
      </c>
      <c r="R111" s="9">
        <f t="shared" si="25"/>
        <v>21.49</v>
      </c>
      <c r="S111" s="9">
        <f t="shared" si="26"/>
        <v>31.7</v>
      </c>
    </row>
    <row r="112" spans="1:19" x14ac:dyDescent="0.25">
      <c r="A112" t="s">
        <v>126</v>
      </c>
      <c r="B112" s="6">
        <f>'1_Du_lieu'!E292</f>
        <v>5.26</v>
      </c>
      <c r="C112" s="6">
        <f>'1_Du_lieu'!E481</f>
        <v>17</v>
      </c>
      <c r="D112" s="7">
        <f t="shared" si="18"/>
        <v>1.6601310267496185</v>
      </c>
      <c r="E112" s="7">
        <f t="shared" si="19"/>
        <v>2.8332133440562162</v>
      </c>
      <c r="F112" s="7">
        <f t="shared" si="20"/>
        <v>0.39102743910219923</v>
      </c>
      <c r="G112">
        <v>1</v>
      </c>
      <c r="H112" s="9">
        <f>'1_Du_lieu'!W292</f>
        <v>4.2442003177664782</v>
      </c>
      <c r="I112" s="9">
        <f>'1_Du_lieu'!L292</f>
        <v>4.72</v>
      </c>
      <c r="J112" s="9">
        <f>'1_Du_lieu'!M292</f>
        <v>35.4</v>
      </c>
      <c r="K112" s="9">
        <f>'1_Du_lieu'!N292</f>
        <v>18.8</v>
      </c>
      <c r="N112" s="7">
        <f t="shared" si="21"/>
        <v>0.39102743910219923</v>
      </c>
      <c r="O112" s="7">
        <f t="shared" si="22"/>
        <v>1.6601310267496185</v>
      </c>
      <c r="P112" s="9">
        <f t="shared" si="23"/>
        <v>4.2442003177664782</v>
      </c>
      <c r="Q112" s="9">
        <f t="shared" si="24"/>
        <v>4.72</v>
      </c>
      <c r="R112" s="9">
        <f t="shared" si="25"/>
        <v>35.4</v>
      </c>
      <c r="S112" s="9">
        <f t="shared" si="26"/>
        <v>18.8</v>
      </c>
    </row>
    <row r="113" spans="1:19" x14ac:dyDescent="0.25">
      <c r="A113" t="s">
        <v>127</v>
      </c>
      <c r="B113" s="6">
        <f>'1_Du_lieu'!E293</f>
        <v>5.28</v>
      </c>
      <c r="C113" s="6">
        <f>'1_Du_lieu'!E482</f>
        <v>21</v>
      </c>
      <c r="D113" s="7">
        <f t="shared" ref="D113:D136" si="27">LN(B113)</f>
        <v>1.6639260977181702</v>
      </c>
      <c r="E113" s="7">
        <f t="shared" ref="E113:E136" si="28">LN(C113)</f>
        <v>3.044522437723423</v>
      </c>
      <c r="F113" s="7">
        <f t="shared" ref="F113:F144" si="29">(E113-D113)/3</f>
        <v>0.46019878000175091</v>
      </c>
      <c r="G113">
        <v>1</v>
      </c>
      <c r="H113" s="9">
        <f>'1_Du_lieu'!W293</f>
        <v>3.9889840465642745</v>
      </c>
      <c r="I113" s="9">
        <f>'1_Du_lieu'!L293</f>
        <v>3.706</v>
      </c>
      <c r="J113" s="9">
        <f>'1_Du_lieu'!M293</f>
        <v>19.100000000000001</v>
      </c>
      <c r="K113" s="9">
        <f>'1_Du_lieu'!N293</f>
        <v>34.6</v>
      </c>
      <c r="N113" s="7">
        <f t="shared" ref="N113:N136" si="30">F113</f>
        <v>0.46019878000175091</v>
      </c>
      <c r="O113" s="7">
        <f t="shared" ref="O113:O136" si="31">D113</f>
        <v>1.6639260977181702</v>
      </c>
      <c r="P113" s="9">
        <f t="shared" ref="P113:P136" si="32">H113</f>
        <v>3.9889840465642745</v>
      </c>
      <c r="Q113" s="9">
        <f t="shared" ref="Q113:Q136" si="33">I113</f>
        <v>3.706</v>
      </c>
      <c r="R113" s="9">
        <f t="shared" ref="R113:R136" si="34">J113</f>
        <v>19.100000000000001</v>
      </c>
      <c r="S113" s="9">
        <f t="shared" ref="S113:S136" si="35">K113</f>
        <v>34.6</v>
      </c>
    </row>
    <row r="114" spans="1:19" x14ac:dyDescent="0.25">
      <c r="A114" t="s">
        <v>128</v>
      </c>
      <c r="B114" s="6">
        <f>'1_Du_lieu'!E294</f>
        <v>5</v>
      </c>
      <c r="C114" s="6">
        <f>'1_Du_lieu'!E483</f>
        <v>16</v>
      </c>
      <c r="D114" s="7">
        <f t="shared" si="27"/>
        <v>1.6094379124341003</v>
      </c>
      <c r="E114" s="7">
        <f t="shared" si="28"/>
        <v>2.7725887222397811</v>
      </c>
      <c r="F114" s="7">
        <f t="shared" si="29"/>
        <v>0.3877169366018936</v>
      </c>
      <c r="G114">
        <v>1</v>
      </c>
      <c r="H114" s="9">
        <f>'1_Du_lieu'!W294</f>
        <v>3.9415818076696905</v>
      </c>
      <c r="I114" s="9">
        <f>'1_Du_lieu'!L294</f>
        <v>3.5270000000000001</v>
      </c>
      <c r="J114" s="9">
        <f>'1_Du_lieu'!M294</f>
        <v>32.700000000000003</v>
      </c>
      <c r="K114" s="9">
        <f>'1_Du_lieu'!N294</f>
        <v>21.6</v>
      </c>
      <c r="N114" s="7">
        <f t="shared" si="30"/>
        <v>0.3877169366018936</v>
      </c>
      <c r="O114" s="7">
        <f t="shared" si="31"/>
        <v>1.6094379124341003</v>
      </c>
      <c r="P114" s="9">
        <f t="shared" si="32"/>
        <v>3.9415818076696905</v>
      </c>
      <c r="Q114" s="9">
        <f t="shared" si="33"/>
        <v>3.5270000000000001</v>
      </c>
      <c r="R114" s="9">
        <f t="shared" si="34"/>
        <v>32.700000000000003</v>
      </c>
      <c r="S114" s="9">
        <f t="shared" si="35"/>
        <v>21.6</v>
      </c>
    </row>
    <row r="115" spans="1:19" x14ac:dyDescent="0.25">
      <c r="A115" t="s">
        <v>129</v>
      </c>
      <c r="B115" s="6">
        <f>'1_Du_lieu'!E295</f>
        <v>5.32</v>
      </c>
      <c r="C115" s="6">
        <f>'1_Du_lieu'!E484</f>
        <v>17</v>
      </c>
      <c r="D115" s="7">
        <f t="shared" si="27"/>
        <v>1.6714733033535532</v>
      </c>
      <c r="E115" s="7">
        <f t="shared" si="28"/>
        <v>2.8332133440562162</v>
      </c>
      <c r="F115" s="7">
        <f t="shared" si="29"/>
        <v>0.38724668023422099</v>
      </c>
      <c r="G115">
        <v>1</v>
      </c>
      <c r="H115" s="9">
        <f>'1_Du_lieu'!W295</f>
        <v>3.8979240810486444</v>
      </c>
      <c r="I115" s="9">
        <f>'1_Du_lieu'!L295</f>
        <v>5.1980000000000004</v>
      </c>
      <c r="J115" s="9">
        <f>'1_Du_lieu'!M295</f>
        <v>23.07</v>
      </c>
      <c r="K115" s="9">
        <f>'1_Du_lieu'!N295</f>
        <v>26.5</v>
      </c>
      <c r="N115" s="7">
        <f t="shared" si="30"/>
        <v>0.38724668023422099</v>
      </c>
      <c r="O115" s="7">
        <f t="shared" si="31"/>
        <v>1.6714733033535532</v>
      </c>
      <c r="P115" s="9">
        <f t="shared" si="32"/>
        <v>3.8979240810486444</v>
      </c>
      <c r="Q115" s="9">
        <f t="shared" si="33"/>
        <v>5.1980000000000004</v>
      </c>
      <c r="R115" s="9">
        <f t="shared" si="34"/>
        <v>23.07</v>
      </c>
      <c r="S115" s="9">
        <f t="shared" si="35"/>
        <v>26.5</v>
      </c>
    </row>
    <row r="116" spans="1:19" x14ac:dyDescent="0.25">
      <c r="A116" t="s">
        <v>130</v>
      </c>
      <c r="B116" s="6">
        <f>'1_Du_lieu'!E296</f>
        <v>6.25</v>
      </c>
      <c r="C116" s="6">
        <f>'1_Du_lieu'!E485</f>
        <v>20</v>
      </c>
      <c r="D116" s="7">
        <f t="shared" si="27"/>
        <v>1.8325814637483102</v>
      </c>
      <c r="E116" s="7">
        <f t="shared" si="28"/>
        <v>2.9957322735539909</v>
      </c>
      <c r="F116" s="7">
        <f t="shared" si="29"/>
        <v>0.38771693660189355</v>
      </c>
      <c r="G116">
        <v>1</v>
      </c>
      <c r="H116" s="9">
        <f>'1_Du_lieu'!W296</f>
        <v>4.2456340097683265</v>
      </c>
      <c r="I116" s="9">
        <f>'1_Du_lieu'!L296</f>
        <v>5.2060000000000004</v>
      </c>
      <c r="J116" s="9">
        <f>'1_Du_lieu'!M296</f>
        <v>26.43</v>
      </c>
      <c r="K116" s="9">
        <f>'1_Du_lieu'!N296</f>
        <v>26.6</v>
      </c>
      <c r="N116" s="7">
        <f t="shared" si="30"/>
        <v>0.38771693660189355</v>
      </c>
      <c r="O116" s="7">
        <f t="shared" si="31"/>
        <v>1.8325814637483102</v>
      </c>
      <c r="P116" s="9">
        <f t="shared" si="32"/>
        <v>4.2456340097683265</v>
      </c>
      <c r="Q116" s="9">
        <f t="shared" si="33"/>
        <v>5.2060000000000004</v>
      </c>
      <c r="R116" s="9">
        <f t="shared" si="34"/>
        <v>26.43</v>
      </c>
      <c r="S116" s="9">
        <f t="shared" si="35"/>
        <v>26.6</v>
      </c>
    </row>
    <row r="117" spans="1:19" x14ac:dyDescent="0.25">
      <c r="A117" t="s">
        <v>131</v>
      </c>
      <c r="B117" s="6">
        <f>'1_Du_lieu'!E297</f>
        <v>5.53</v>
      </c>
      <c r="C117" s="6">
        <f>'1_Du_lieu'!E486</f>
        <v>17</v>
      </c>
      <c r="D117" s="7">
        <f t="shared" si="27"/>
        <v>1.7101878155342434</v>
      </c>
      <c r="E117" s="7">
        <f t="shared" si="28"/>
        <v>2.8332133440562162</v>
      </c>
      <c r="F117" s="7">
        <f t="shared" si="29"/>
        <v>0.37434184284065758</v>
      </c>
      <c r="G117">
        <v>1</v>
      </c>
      <c r="H117" s="9">
        <f>'1_Du_lieu'!W297</f>
        <v>4.4006030202468169</v>
      </c>
      <c r="I117" s="9">
        <f>'1_Du_lieu'!L297</f>
        <v>4.3529999999999998</v>
      </c>
      <c r="J117" s="9">
        <f>'1_Du_lieu'!M297</f>
        <v>21.12</v>
      </c>
      <c r="K117" s="9">
        <f>'1_Du_lieu'!N297</f>
        <v>26.1</v>
      </c>
      <c r="N117" s="7">
        <f t="shared" si="30"/>
        <v>0.37434184284065758</v>
      </c>
      <c r="O117" s="7">
        <f t="shared" si="31"/>
        <v>1.7101878155342434</v>
      </c>
      <c r="P117" s="9">
        <f t="shared" si="32"/>
        <v>4.4006030202468169</v>
      </c>
      <c r="Q117" s="9">
        <f t="shared" si="33"/>
        <v>4.3529999999999998</v>
      </c>
      <c r="R117" s="9">
        <f t="shared" si="34"/>
        <v>21.12</v>
      </c>
      <c r="S117" s="9">
        <f t="shared" si="35"/>
        <v>26.1</v>
      </c>
    </row>
    <row r="118" spans="1:19" x14ac:dyDescent="0.25">
      <c r="A118" t="s">
        <v>132</v>
      </c>
      <c r="B118" s="6">
        <f>'1_Du_lieu'!E298</f>
        <v>8.02</v>
      </c>
      <c r="C118" s="6">
        <f>'1_Du_lieu'!E487</f>
        <v>26</v>
      </c>
      <c r="D118" s="7">
        <f t="shared" si="27"/>
        <v>2.0819384218784229</v>
      </c>
      <c r="E118" s="7">
        <f t="shared" si="28"/>
        <v>3.2580965380214821</v>
      </c>
      <c r="F118" s="7">
        <f t="shared" si="29"/>
        <v>0.39205270538101972</v>
      </c>
      <c r="G118">
        <v>1</v>
      </c>
      <c r="H118" s="9">
        <f>'1_Du_lieu'!W298</f>
        <v>5.136974216139274</v>
      </c>
      <c r="I118" s="9">
        <f>'1_Du_lieu'!L298</f>
        <v>7.0090000000000003</v>
      </c>
      <c r="J118" s="9">
        <f>'1_Du_lieu'!M298</f>
        <v>67.36</v>
      </c>
      <c r="K118" s="9">
        <f>'1_Du_lieu'!N298</f>
        <v>41.4</v>
      </c>
      <c r="N118" s="7">
        <f t="shared" si="30"/>
        <v>0.39205270538101972</v>
      </c>
      <c r="O118" s="7">
        <f t="shared" si="31"/>
        <v>2.0819384218784229</v>
      </c>
      <c r="P118" s="9">
        <f t="shared" si="32"/>
        <v>5.136974216139274</v>
      </c>
      <c r="Q118" s="9">
        <f t="shared" si="33"/>
        <v>7.0090000000000003</v>
      </c>
      <c r="R118" s="9">
        <f t="shared" si="34"/>
        <v>67.36</v>
      </c>
      <c r="S118" s="9">
        <f t="shared" si="35"/>
        <v>41.4</v>
      </c>
    </row>
    <row r="119" spans="1:19" x14ac:dyDescent="0.25">
      <c r="A119" t="s">
        <v>133</v>
      </c>
      <c r="B119" s="6">
        <f>'1_Du_lieu'!E299</f>
        <v>5.4</v>
      </c>
      <c r="C119" s="6">
        <f>'1_Du_lieu'!E488</f>
        <v>17</v>
      </c>
      <c r="D119" s="7">
        <f t="shared" si="27"/>
        <v>1.6863989535702288</v>
      </c>
      <c r="E119" s="7">
        <f t="shared" si="28"/>
        <v>2.8332133440562162</v>
      </c>
      <c r="F119" s="7">
        <f t="shared" si="29"/>
        <v>0.38227146349532909</v>
      </c>
      <c r="G119">
        <v>1</v>
      </c>
      <c r="H119" s="9">
        <f>'1_Du_lieu'!W299</f>
        <v>4.0587173845789497</v>
      </c>
      <c r="I119" s="9">
        <f>'1_Du_lieu'!L299</f>
        <v>4.7220000000000004</v>
      </c>
      <c r="J119" s="9">
        <f>'1_Du_lieu'!M299</f>
        <v>32.57</v>
      </c>
      <c r="K119" s="9">
        <f>'1_Du_lieu'!N299</f>
        <v>27.7</v>
      </c>
      <c r="N119" s="7">
        <f t="shared" si="30"/>
        <v>0.38227146349532909</v>
      </c>
      <c r="O119" s="7">
        <f t="shared" si="31"/>
        <v>1.6863989535702288</v>
      </c>
      <c r="P119" s="9">
        <f t="shared" si="32"/>
        <v>4.0587173845789497</v>
      </c>
      <c r="Q119" s="9">
        <f t="shared" si="33"/>
        <v>4.7220000000000004</v>
      </c>
      <c r="R119" s="9">
        <f t="shared" si="34"/>
        <v>32.57</v>
      </c>
      <c r="S119" s="9">
        <f t="shared" si="35"/>
        <v>27.7</v>
      </c>
    </row>
    <row r="120" spans="1:19" x14ac:dyDescent="0.25">
      <c r="A120" t="s">
        <v>136</v>
      </c>
      <c r="B120" s="6">
        <f>'1_Du_lieu'!E302</f>
        <v>67.63</v>
      </c>
      <c r="C120" s="6">
        <f>'1_Du_lieu'!E491</f>
        <v>87</v>
      </c>
      <c r="D120" s="7">
        <f t="shared" si="27"/>
        <v>4.2140516715868488</v>
      </c>
      <c r="E120" s="7">
        <f t="shared" si="28"/>
        <v>4.4659081186545837</v>
      </c>
      <c r="F120" s="7">
        <f t="shared" si="29"/>
        <v>8.3952149022578304E-2</v>
      </c>
      <c r="G120">
        <v>1</v>
      </c>
      <c r="H120" s="9">
        <f>'1_Du_lieu'!W302</f>
        <v>4.9836066217083363</v>
      </c>
      <c r="I120" s="9">
        <f>'1_Du_lieu'!L302</f>
        <v>29.286999999999999</v>
      </c>
      <c r="J120" s="9">
        <f>'1_Du_lieu'!M302</f>
        <v>78.98</v>
      </c>
      <c r="K120" s="9">
        <f>'1_Du_lieu'!N302</f>
        <v>35.6</v>
      </c>
      <c r="N120" s="7">
        <f t="shared" si="30"/>
        <v>8.3952149022578304E-2</v>
      </c>
      <c r="O120" s="7">
        <f t="shared" si="31"/>
        <v>4.2140516715868488</v>
      </c>
      <c r="P120" s="9">
        <f t="shared" si="32"/>
        <v>4.9836066217083363</v>
      </c>
      <c r="Q120" s="9">
        <f t="shared" si="33"/>
        <v>29.286999999999999</v>
      </c>
      <c r="R120" s="9">
        <f t="shared" si="34"/>
        <v>78.98</v>
      </c>
      <c r="S120" s="9">
        <f t="shared" si="35"/>
        <v>35.6</v>
      </c>
    </row>
    <row r="121" spans="1:19" x14ac:dyDescent="0.25">
      <c r="A121" t="s">
        <v>137</v>
      </c>
      <c r="B121" s="6">
        <f>'1_Du_lieu'!E303</f>
        <v>6.8</v>
      </c>
      <c r="C121" s="6">
        <f>'1_Du_lieu'!E492</f>
        <v>23</v>
      </c>
      <c r="D121" s="7">
        <f t="shared" si="27"/>
        <v>1.9169226121820611</v>
      </c>
      <c r="E121" s="7">
        <f t="shared" si="28"/>
        <v>3.1354942159291497</v>
      </c>
      <c r="F121" s="7">
        <f t="shared" si="29"/>
        <v>0.40619053458236287</v>
      </c>
      <c r="G121">
        <v>1</v>
      </c>
      <c r="H121" s="9">
        <f>'1_Du_lieu'!W303</f>
        <v>4.0535225677018456</v>
      </c>
      <c r="I121" s="9">
        <f>'1_Du_lieu'!L303</f>
        <v>3.7909999999999999</v>
      </c>
      <c r="J121" s="9">
        <f>'1_Du_lieu'!M303</f>
        <v>26.73</v>
      </c>
      <c r="K121" s="9">
        <f>'1_Du_lieu'!N303</f>
        <v>25.1</v>
      </c>
      <c r="N121" s="7">
        <f t="shared" si="30"/>
        <v>0.40619053458236287</v>
      </c>
      <c r="O121" s="7">
        <f t="shared" si="31"/>
        <v>1.9169226121820611</v>
      </c>
      <c r="P121" s="9">
        <f t="shared" si="32"/>
        <v>4.0535225677018456</v>
      </c>
      <c r="Q121" s="9">
        <f t="shared" si="33"/>
        <v>3.7909999999999999</v>
      </c>
      <c r="R121" s="9">
        <f t="shared" si="34"/>
        <v>26.73</v>
      </c>
      <c r="S121" s="9">
        <f t="shared" si="35"/>
        <v>25.1</v>
      </c>
    </row>
    <row r="122" spans="1:19" x14ac:dyDescent="0.25">
      <c r="A122" t="s">
        <v>138</v>
      </c>
      <c r="B122" s="6">
        <f>'1_Du_lieu'!E304</f>
        <v>5.48</v>
      </c>
      <c r="C122" s="6">
        <f>'1_Du_lieu'!E493</f>
        <v>22</v>
      </c>
      <c r="D122" s="7">
        <f t="shared" si="27"/>
        <v>1.7011051009599243</v>
      </c>
      <c r="E122" s="7">
        <f t="shared" si="28"/>
        <v>3.0910424533583161</v>
      </c>
      <c r="F122" s="7">
        <f t="shared" si="29"/>
        <v>0.46331245079946393</v>
      </c>
      <c r="G122">
        <v>1</v>
      </c>
      <c r="H122" s="9">
        <f>'1_Du_lieu'!W304</f>
        <v>3.9435216724875173</v>
      </c>
      <c r="I122" s="9">
        <f>'1_Du_lieu'!L304</f>
        <v>2.9249999999999998</v>
      </c>
      <c r="J122" s="9">
        <f>'1_Du_lieu'!M304</f>
        <v>11.75</v>
      </c>
      <c r="K122" s="9">
        <f>'1_Du_lieu'!N304</f>
        <v>19.3</v>
      </c>
      <c r="N122" s="7">
        <f t="shared" si="30"/>
        <v>0.46331245079946393</v>
      </c>
      <c r="O122" s="7">
        <f t="shared" si="31"/>
        <v>1.7011051009599243</v>
      </c>
      <c r="P122" s="9">
        <f t="shared" si="32"/>
        <v>3.9435216724875173</v>
      </c>
      <c r="Q122" s="9">
        <f t="shared" si="33"/>
        <v>2.9249999999999998</v>
      </c>
      <c r="R122" s="9">
        <f t="shared" si="34"/>
        <v>11.75</v>
      </c>
      <c r="S122" s="9">
        <f t="shared" si="35"/>
        <v>19.3</v>
      </c>
    </row>
    <row r="123" spans="1:19" x14ac:dyDescent="0.25">
      <c r="A123" t="s">
        <v>139</v>
      </c>
      <c r="B123" s="6">
        <f>'1_Du_lieu'!E305</f>
        <v>6.38</v>
      </c>
      <c r="C123" s="6">
        <f>'1_Du_lieu'!E494</f>
        <v>20</v>
      </c>
      <c r="D123" s="7">
        <f t="shared" si="27"/>
        <v>1.8531680973566984</v>
      </c>
      <c r="E123" s="7">
        <f t="shared" si="28"/>
        <v>2.9957322735539909</v>
      </c>
      <c r="F123" s="7">
        <f t="shared" si="29"/>
        <v>0.38085472539909748</v>
      </c>
      <c r="G123">
        <v>1</v>
      </c>
      <c r="H123" s="9">
        <f>'1_Du_lieu'!W305</f>
        <v>4.6051701859880918</v>
      </c>
      <c r="I123" s="9">
        <f>'1_Du_lieu'!L305</f>
        <v>3.9049999999999998</v>
      </c>
      <c r="J123" s="9">
        <f>'1_Du_lieu'!M305</f>
        <v>32.14</v>
      </c>
      <c r="K123" s="9">
        <f>'1_Du_lieu'!N305</f>
        <v>35.4</v>
      </c>
      <c r="N123" s="7">
        <f t="shared" si="30"/>
        <v>0.38085472539909748</v>
      </c>
      <c r="O123" s="7">
        <f t="shared" si="31"/>
        <v>1.8531680973566984</v>
      </c>
      <c r="P123" s="9">
        <f t="shared" si="32"/>
        <v>4.6051701859880918</v>
      </c>
      <c r="Q123" s="9">
        <f t="shared" si="33"/>
        <v>3.9049999999999998</v>
      </c>
      <c r="R123" s="9">
        <f t="shared" si="34"/>
        <v>32.14</v>
      </c>
      <c r="S123" s="9">
        <f t="shared" si="35"/>
        <v>35.4</v>
      </c>
    </row>
    <row r="124" spans="1:19" x14ac:dyDescent="0.25">
      <c r="A124" t="s">
        <v>140</v>
      </c>
      <c r="B124" s="6">
        <f>'1_Du_lieu'!E306</f>
        <v>6.15</v>
      </c>
      <c r="C124" s="6">
        <f>'1_Du_lieu'!E495</f>
        <v>22</v>
      </c>
      <c r="D124" s="7">
        <f t="shared" si="27"/>
        <v>1.8164520818184267</v>
      </c>
      <c r="E124" s="7">
        <f t="shared" si="28"/>
        <v>3.0910424533583161</v>
      </c>
      <c r="F124" s="7">
        <f t="shared" si="29"/>
        <v>0.42486345717996316</v>
      </c>
      <c r="G124">
        <v>1</v>
      </c>
      <c r="H124" s="9">
        <f>'1_Du_lieu'!W306</f>
        <v>3.9278963545844361</v>
      </c>
      <c r="I124" s="9">
        <f>'1_Du_lieu'!L306</f>
        <v>4.1280000000000001</v>
      </c>
      <c r="J124" s="9">
        <f>'1_Du_lieu'!M306</f>
        <v>52.82</v>
      </c>
      <c r="K124" s="9">
        <f>'1_Du_lieu'!N306</f>
        <v>28.7</v>
      </c>
      <c r="N124" s="7">
        <f t="shared" si="30"/>
        <v>0.42486345717996316</v>
      </c>
      <c r="O124" s="7">
        <f t="shared" si="31"/>
        <v>1.8164520818184267</v>
      </c>
      <c r="P124" s="9">
        <f t="shared" si="32"/>
        <v>3.9278963545844361</v>
      </c>
      <c r="Q124" s="9">
        <f t="shared" si="33"/>
        <v>4.1280000000000001</v>
      </c>
      <c r="R124" s="9">
        <f t="shared" si="34"/>
        <v>52.82</v>
      </c>
      <c r="S124" s="9">
        <f t="shared" si="35"/>
        <v>28.7</v>
      </c>
    </row>
    <row r="125" spans="1:19" x14ac:dyDescent="0.25">
      <c r="A125" t="s">
        <v>141</v>
      </c>
      <c r="B125" s="6">
        <f>'1_Du_lieu'!E307</f>
        <v>5.36</v>
      </c>
      <c r="C125" s="6">
        <f>'1_Du_lieu'!E496</f>
        <v>17</v>
      </c>
      <c r="D125" s="7">
        <f t="shared" si="27"/>
        <v>1.6789639750827108</v>
      </c>
      <c r="E125" s="7">
        <f t="shared" si="28"/>
        <v>2.8332133440562162</v>
      </c>
      <c r="F125" s="7">
        <f t="shared" si="29"/>
        <v>0.38474978965783513</v>
      </c>
      <c r="G125">
        <v>1</v>
      </c>
      <c r="H125" s="9">
        <f>'1_Du_lieu'!W307</f>
        <v>4.0217738693872649</v>
      </c>
      <c r="I125" s="9">
        <f>'1_Du_lieu'!L307</f>
        <v>2.8439999999999999</v>
      </c>
      <c r="J125" s="9">
        <f>'1_Du_lieu'!M307</f>
        <v>14.25</v>
      </c>
      <c r="K125" s="9">
        <f>'1_Du_lieu'!N307</f>
        <v>13.8</v>
      </c>
      <c r="N125" s="7">
        <f t="shared" si="30"/>
        <v>0.38474978965783513</v>
      </c>
      <c r="O125" s="7">
        <f t="shared" si="31"/>
        <v>1.6789639750827108</v>
      </c>
      <c r="P125" s="9">
        <f t="shared" si="32"/>
        <v>4.0217738693872649</v>
      </c>
      <c r="Q125" s="9">
        <f t="shared" si="33"/>
        <v>2.8439999999999999</v>
      </c>
      <c r="R125" s="9">
        <f t="shared" si="34"/>
        <v>14.25</v>
      </c>
      <c r="S125" s="9">
        <f t="shared" si="35"/>
        <v>13.8</v>
      </c>
    </row>
    <row r="126" spans="1:19" x14ac:dyDescent="0.25">
      <c r="A126" t="s">
        <v>142</v>
      </c>
      <c r="B126" s="6">
        <f>'1_Du_lieu'!E308</f>
        <v>4.38</v>
      </c>
      <c r="C126" s="6">
        <f>'1_Du_lieu'!E497</f>
        <v>14</v>
      </c>
      <c r="D126" s="7">
        <f t="shared" si="27"/>
        <v>1.4770487243883548</v>
      </c>
      <c r="E126" s="7">
        <f t="shared" si="28"/>
        <v>2.6390573296152584</v>
      </c>
      <c r="F126" s="7">
        <f t="shared" si="29"/>
        <v>0.38733620174230121</v>
      </c>
      <c r="G126">
        <v>1</v>
      </c>
      <c r="H126" s="9">
        <f>'1_Du_lieu'!W308</f>
        <v>4.1447207695471677</v>
      </c>
      <c r="I126" s="9">
        <f>'1_Du_lieu'!L308</f>
        <v>2.3919999999999999</v>
      </c>
      <c r="J126" s="9">
        <f>'1_Du_lieu'!M308</f>
        <v>17.510000000000002</v>
      </c>
      <c r="K126" s="9">
        <f>'1_Du_lieu'!N308</f>
        <v>10.8</v>
      </c>
      <c r="N126" s="7">
        <f t="shared" si="30"/>
        <v>0.38733620174230121</v>
      </c>
      <c r="O126" s="7">
        <f t="shared" si="31"/>
        <v>1.4770487243883548</v>
      </c>
      <c r="P126" s="9">
        <f t="shared" si="32"/>
        <v>4.1447207695471677</v>
      </c>
      <c r="Q126" s="9">
        <f t="shared" si="33"/>
        <v>2.3919999999999999</v>
      </c>
      <c r="R126" s="9">
        <f t="shared" si="34"/>
        <v>17.510000000000002</v>
      </c>
      <c r="S126" s="9">
        <f t="shared" si="35"/>
        <v>10.8</v>
      </c>
    </row>
    <row r="127" spans="1:19" x14ac:dyDescent="0.25">
      <c r="A127" t="s">
        <v>143</v>
      </c>
      <c r="B127" s="6">
        <f>'1_Du_lieu'!E309</f>
        <v>4</v>
      </c>
      <c r="C127" s="6">
        <f>'1_Du_lieu'!E498</f>
        <v>13</v>
      </c>
      <c r="D127" s="7">
        <f t="shared" si="27"/>
        <v>1.3862943611198906</v>
      </c>
      <c r="E127" s="7">
        <f t="shared" si="28"/>
        <v>2.5649493574615367</v>
      </c>
      <c r="F127" s="7">
        <f t="shared" si="29"/>
        <v>0.39288499878054872</v>
      </c>
      <c r="G127">
        <v>1</v>
      </c>
      <c r="H127" s="9">
        <f>'1_Du_lieu'!W309</f>
        <v>3.8110970868381857</v>
      </c>
      <c r="I127" s="9">
        <f>'1_Du_lieu'!L309</f>
        <v>1.9830000000000001</v>
      </c>
      <c r="J127" s="9">
        <f>'1_Du_lieu'!M309</f>
        <v>13.88</v>
      </c>
      <c r="K127" s="9">
        <f>'1_Du_lieu'!N309</f>
        <v>23.1</v>
      </c>
      <c r="N127" s="7">
        <f t="shared" si="30"/>
        <v>0.39288499878054872</v>
      </c>
      <c r="O127" s="7">
        <f t="shared" si="31"/>
        <v>1.3862943611198906</v>
      </c>
      <c r="P127" s="9">
        <f t="shared" si="32"/>
        <v>3.8110970868381857</v>
      </c>
      <c r="Q127" s="9">
        <f t="shared" si="33"/>
        <v>1.9830000000000001</v>
      </c>
      <c r="R127" s="9">
        <f t="shared" si="34"/>
        <v>13.88</v>
      </c>
      <c r="S127" s="9">
        <f t="shared" si="35"/>
        <v>23.1</v>
      </c>
    </row>
    <row r="128" spans="1:19" x14ac:dyDescent="0.25">
      <c r="A128" t="s">
        <v>144</v>
      </c>
      <c r="B128" s="6">
        <f>'1_Du_lieu'!E310</f>
        <v>5.56</v>
      </c>
      <c r="C128" s="6">
        <f>'1_Du_lieu'!E499</f>
        <v>19</v>
      </c>
      <c r="D128" s="7">
        <f t="shared" si="27"/>
        <v>1.7155981082624909</v>
      </c>
      <c r="E128" s="7">
        <f t="shared" si="28"/>
        <v>2.9444389791664403</v>
      </c>
      <c r="F128" s="7">
        <f t="shared" si="29"/>
        <v>0.40961362363464976</v>
      </c>
      <c r="G128">
        <v>1</v>
      </c>
      <c r="H128" s="9">
        <f>'1_Du_lieu'!W310</f>
        <v>4.3385970767465452</v>
      </c>
      <c r="I128" s="9">
        <f>'1_Du_lieu'!L310</f>
        <v>3.8580000000000001</v>
      </c>
      <c r="J128" s="9">
        <f>'1_Du_lieu'!M310</f>
        <v>32.380000000000003</v>
      </c>
      <c r="K128" s="9">
        <f>'1_Du_lieu'!N310</f>
        <v>16</v>
      </c>
      <c r="N128" s="7">
        <f t="shared" si="30"/>
        <v>0.40961362363464976</v>
      </c>
      <c r="O128" s="7">
        <f t="shared" si="31"/>
        <v>1.7155981082624909</v>
      </c>
      <c r="P128" s="9">
        <f t="shared" si="32"/>
        <v>4.3385970767465452</v>
      </c>
      <c r="Q128" s="9">
        <f t="shared" si="33"/>
        <v>3.8580000000000001</v>
      </c>
      <c r="R128" s="9">
        <f t="shared" si="34"/>
        <v>32.380000000000003</v>
      </c>
      <c r="S128" s="9">
        <f t="shared" si="35"/>
        <v>16</v>
      </c>
    </row>
    <row r="129" spans="1:19" x14ac:dyDescent="0.25">
      <c r="A129" t="s">
        <v>145</v>
      </c>
      <c r="B129" s="6">
        <f>'1_Du_lieu'!E311</f>
        <v>4.5999999999999996</v>
      </c>
      <c r="C129" s="6">
        <f>'1_Du_lieu'!E500</f>
        <v>14</v>
      </c>
      <c r="D129" s="7">
        <f t="shared" si="27"/>
        <v>1.5260563034950492</v>
      </c>
      <c r="E129" s="7">
        <f t="shared" si="28"/>
        <v>2.6390573296152584</v>
      </c>
      <c r="F129" s="7">
        <f t="shared" si="29"/>
        <v>0.37100034204006976</v>
      </c>
      <c r="G129">
        <v>1</v>
      </c>
      <c r="H129" s="9">
        <f>'1_Du_lieu'!W311</f>
        <v>4.0517849478033048</v>
      </c>
      <c r="I129" s="9">
        <f>'1_Du_lieu'!L311</f>
        <v>2.7130000000000001</v>
      </c>
      <c r="J129" s="9">
        <f>'1_Du_lieu'!M311</f>
        <v>22.71</v>
      </c>
      <c r="K129" s="9">
        <f>'1_Du_lieu'!N311</f>
        <v>15.6</v>
      </c>
      <c r="N129" s="7">
        <f t="shared" si="30"/>
        <v>0.37100034204006976</v>
      </c>
      <c r="O129" s="7">
        <f t="shared" si="31"/>
        <v>1.5260563034950492</v>
      </c>
      <c r="P129" s="9">
        <f t="shared" si="32"/>
        <v>4.0517849478033048</v>
      </c>
      <c r="Q129" s="9">
        <f t="shared" si="33"/>
        <v>2.7130000000000001</v>
      </c>
      <c r="R129" s="9">
        <f t="shared" si="34"/>
        <v>22.71</v>
      </c>
      <c r="S129" s="9">
        <f t="shared" si="35"/>
        <v>15.6</v>
      </c>
    </row>
    <row r="130" spans="1:19" x14ac:dyDescent="0.25">
      <c r="A130" t="s">
        <v>146</v>
      </c>
      <c r="B130" s="6">
        <f>'1_Du_lieu'!E312</f>
        <v>7.19</v>
      </c>
      <c r="C130" s="6">
        <f>'1_Du_lieu'!E501</f>
        <v>24</v>
      </c>
      <c r="D130" s="7">
        <f t="shared" si="27"/>
        <v>1.9726911717329554</v>
      </c>
      <c r="E130" s="7">
        <f t="shared" si="28"/>
        <v>3.1780538303479458</v>
      </c>
      <c r="F130" s="7">
        <f t="shared" si="29"/>
        <v>0.40178755287166346</v>
      </c>
      <c r="G130">
        <v>1</v>
      </c>
      <c r="H130" s="9">
        <f>'1_Du_lieu'!W312</f>
        <v>4.7397010789456973</v>
      </c>
      <c r="I130" s="9">
        <f>'1_Du_lieu'!L312</f>
        <v>6.9829999999999997</v>
      </c>
      <c r="J130" s="9">
        <f>'1_Du_lieu'!M312</f>
        <v>30.06</v>
      </c>
      <c r="K130" s="9">
        <f>'1_Du_lieu'!N312</f>
        <v>34.700000000000003</v>
      </c>
      <c r="N130" s="7">
        <f t="shared" si="30"/>
        <v>0.40178755287166346</v>
      </c>
      <c r="O130" s="7">
        <f t="shared" si="31"/>
        <v>1.9726911717329554</v>
      </c>
      <c r="P130" s="9">
        <f t="shared" si="32"/>
        <v>4.7397010789456973</v>
      </c>
      <c r="Q130" s="9">
        <f t="shared" si="33"/>
        <v>6.9829999999999997</v>
      </c>
      <c r="R130" s="9">
        <f t="shared" si="34"/>
        <v>30.06</v>
      </c>
      <c r="S130" s="9">
        <f t="shared" si="35"/>
        <v>34.700000000000003</v>
      </c>
    </row>
    <row r="131" spans="1:19" x14ac:dyDescent="0.25">
      <c r="A131" t="s">
        <v>147</v>
      </c>
      <c r="B131" s="6">
        <f>'1_Du_lieu'!E313</f>
        <v>5.26</v>
      </c>
      <c r="C131" s="6">
        <f>'1_Du_lieu'!E502</f>
        <v>14</v>
      </c>
      <c r="D131" s="7">
        <f t="shared" si="27"/>
        <v>1.6601310267496185</v>
      </c>
      <c r="E131" s="7">
        <f t="shared" si="28"/>
        <v>2.6390573296152584</v>
      </c>
      <c r="F131" s="7">
        <f t="shared" si="29"/>
        <v>0.32630876762187994</v>
      </c>
      <c r="G131">
        <v>1</v>
      </c>
      <c r="H131" s="9">
        <f>'1_Du_lieu'!W313</f>
        <v>3.751854253275325</v>
      </c>
      <c r="I131" s="9">
        <f>'1_Du_lieu'!L313</f>
        <v>2.2389999999999999</v>
      </c>
      <c r="J131" s="9">
        <f>'1_Du_lieu'!M313</f>
        <v>20.73</v>
      </c>
      <c r="K131" s="9">
        <f>'1_Du_lieu'!N313</f>
        <v>22.2</v>
      </c>
      <c r="N131" s="7">
        <f t="shared" si="30"/>
        <v>0.32630876762187994</v>
      </c>
      <c r="O131" s="7">
        <f t="shared" si="31"/>
        <v>1.6601310267496185</v>
      </c>
      <c r="P131" s="9">
        <f t="shared" si="32"/>
        <v>3.751854253275325</v>
      </c>
      <c r="Q131" s="9">
        <f t="shared" si="33"/>
        <v>2.2389999999999999</v>
      </c>
      <c r="R131" s="9">
        <f t="shared" si="34"/>
        <v>20.73</v>
      </c>
      <c r="S131" s="9">
        <f t="shared" si="35"/>
        <v>22.2</v>
      </c>
    </row>
    <row r="132" spans="1:19" x14ac:dyDescent="0.25">
      <c r="A132" t="s">
        <v>149</v>
      </c>
      <c r="B132" s="6">
        <f>'1_Du_lieu'!E315</f>
        <v>19.04</v>
      </c>
      <c r="C132" s="6">
        <f>'1_Du_lieu'!E504</f>
        <v>47</v>
      </c>
      <c r="D132" s="7">
        <f t="shared" si="27"/>
        <v>2.9465420293632194</v>
      </c>
      <c r="E132" s="7">
        <f t="shared" si="28"/>
        <v>3.8501476017100584</v>
      </c>
      <c r="F132" s="7">
        <f t="shared" si="29"/>
        <v>0.30120185744894634</v>
      </c>
      <c r="G132">
        <v>1</v>
      </c>
      <c r="H132" s="9">
        <f>'1_Du_lieu'!W315</f>
        <v>4.5042442673981311</v>
      </c>
      <c r="I132" s="9">
        <f>'1_Du_lieu'!L315</f>
        <v>20.663</v>
      </c>
      <c r="J132" s="9">
        <f>'1_Du_lieu'!M315</f>
        <v>87.35</v>
      </c>
      <c r="K132" s="9">
        <f>'1_Du_lieu'!N315</f>
        <v>48.1</v>
      </c>
      <c r="N132" s="7">
        <f t="shared" si="30"/>
        <v>0.30120185744894634</v>
      </c>
      <c r="O132" s="7">
        <f t="shared" si="31"/>
        <v>2.9465420293632194</v>
      </c>
      <c r="P132" s="9">
        <f t="shared" si="32"/>
        <v>4.5042442673981311</v>
      </c>
      <c r="Q132" s="9">
        <f t="shared" si="33"/>
        <v>20.663</v>
      </c>
      <c r="R132" s="9">
        <f t="shared" si="34"/>
        <v>87.35</v>
      </c>
      <c r="S132" s="9">
        <f t="shared" si="35"/>
        <v>48.1</v>
      </c>
    </row>
    <row r="133" spans="1:19" x14ac:dyDescent="0.25">
      <c r="A133" t="s">
        <v>150</v>
      </c>
      <c r="B133" s="6">
        <f>'1_Du_lieu'!E316</f>
        <v>5.6</v>
      </c>
      <c r="C133" s="6">
        <f>'1_Du_lieu'!E505</f>
        <v>23</v>
      </c>
      <c r="D133" s="7">
        <f t="shared" si="27"/>
        <v>1.7227665977411035</v>
      </c>
      <c r="E133" s="7">
        <f t="shared" si="28"/>
        <v>3.1354942159291497</v>
      </c>
      <c r="F133" s="7">
        <f t="shared" si="29"/>
        <v>0.47090920606268205</v>
      </c>
      <c r="G133">
        <v>1</v>
      </c>
      <c r="H133" s="9">
        <f>'1_Du_lieu'!W316</f>
        <v>3.9318256327243257</v>
      </c>
      <c r="I133" s="9">
        <f>'1_Du_lieu'!L316</f>
        <v>3.7120000000000002</v>
      </c>
      <c r="J133" s="9">
        <f>'1_Du_lieu'!M316</f>
        <v>24.82</v>
      </c>
      <c r="K133" s="9">
        <f>'1_Du_lieu'!N316</f>
        <v>18.3</v>
      </c>
      <c r="N133" s="7">
        <f t="shared" si="30"/>
        <v>0.47090920606268205</v>
      </c>
      <c r="O133" s="7">
        <f t="shared" si="31"/>
        <v>1.7227665977411035</v>
      </c>
      <c r="P133" s="9">
        <f t="shared" si="32"/>
        <v>3.9318256327243257</v>
      </c>
      <c r="Q133" s="9">
        <f t="shared" si="33"/>
        <v>3.7120000000000002</v>
      </c>
      <c r="R133" s="9">
        <f t="shared" si="34"/>
        <v>24.82</v>
      </c>
      <c r="S133" s="9">
        <f t="shared" si="35"/>
        <v>18.3</v>
      </c>
    </row>
    <row r="134" spans="1:19" x14ac:dyDescent="0.25">
      <c r="A134" t="s">
        <v>151</v>
      </c>
      <c r="B134" s="6">
        <f>'1_Du_lieu'!E317</f>
        <v>4.67</v>
      </c>
      <c r="C134" s="6">
        <f>'1_Du_lieu'!E506</f>
        <v>13</v>
      </c>
      <c r="D134" s="7">
        <f t="shared" si="27"/>
        <v>1.5411590716808059</v>
      </c>
      <c r="E134" s="7">
        <f t="shared" si="28"/>
        <v>2.5649493574615367</v>
      </c>
      <c r="F134" s="7">
        <f t="shared" si="29"/>
        <v>0.34126342859357695</v>
      </c>
      <c r="G134">
        <v>1</v>
      </c>
      <c r="H134" s="9">
        <f>'1_Du_lieu'!W317</f>
        <v>3.9740583963475986</v>
      </c>
      <c r="I134" s="9">
        <f>'1_Du_lieu'!L317</f>
        <v>3.5539999999999998</v>
      </c>
      <c r="J134" s="9">
        <f>'1_Du_lieu'!M317</f>
        <v>16.260000000000002</v>
      </c>
      <c r="K134" s="9">
        <f>'1_Du_lieu'!N317</f>
        <v>15.4</v>
      </c>
      <c r="N134" s="7">
        <f t="shared" si="30"/>
        <v>0.34126342859357695</v>
      </c>
      <c r="O134" s="7">
        <f t="shared" si="31"/>
        <v>1.5411590716808059</v>
      </c>
      <c r="P134" s="9">
        <f t="shared" si="32"/>
        <v>3.9740583963475986</v>
      </c>
      <c r="Q134" s="9">
        <f t="shared" si="33"/>
        <v>3.5539999999999998</v>
      </c>
      <c r="R134" s="9">
        <f t="shared" si="34"/>
        <v>16.260000000000002</v>
      </c>
      <c r="S134" s="9">
        <f t="shared" si="35"/>
        <v>15.4</v>
      </c>
    </row>
    <row r="135" spans="1:19" x14ac:dyDescent="0.25">
      <c r="A135" t="s">
        <v>152</v>
      </c>
      <c r="B135" s="6">
        <f>'1_Du_lieu'!E318</f>
        <v>11.14</v>
      </c>
      <c r="C135" s="6">
        <f>'1_Du_lieu'!E507</f>
        <v>30</v>
      </c>
      <c r="D135" s="7">
        <f t="shared" si="27"/>
        <v>2.4105422344991378</v>
      </c>
      <c r="E135" s="7">
        <f t="shared" si="28"/>
        <v>3.4011973816621555</v>
      </c>
      <c r="F135" s="7">
        <f t="shared" si="29"/>
        <v>0.33021838238767254</v>
      </c>
      <c r="G135">
        <v>1</v>
      </c>
      <c r="H135" s="9">
        <f>'1_Du_lieu'!W318</f>
        <v>4.779963476361254</v>
      </c>
      <c r="I135" s="9">
        <f>'1_Du_lieu'!L318</f>
        <v>7.9059999999999997</v>
      </c>
      <c r="J135" s="9">
        <f>'1_Du_lieu'!M318</f>
        <v>44.76</v>
      </c>
      <c r="K135" s="9">
        <f>'1_Du_lieu'!N318</f>
        <v>21.9</v>
      </c>
      <c r="N135" s="7">
        <f t="shared" si="30"/>
        <v>0.33021838238767254</v>
      </c>
      <c r="O135" s="7">
        <f t="shared" si="31"/>
        <v>2.4105422344991378</v>
      </c>
      <c r="P135" s="9">
        <f t="shared" si="32"/>
        <v>4.779963476361254</v>
      </c>
      <c r="Q135" s="9">
        <f t="shared" si="33"/>
        <v>7.9059999999999997</v>
      </c>
      <c r="R135" s="9">
        <f t="shared" si="34"/>
        <v>44.76</v>
      </c>
      <c r="S135" s="9">
        <f t="shared" si="35"/>
        <v>21.9</v>
      </c>
    </row>
    <row r="136" spans="1:19" x14ac:dyDescent="0.25">
      <c r="A136" t="s">
        <v>153</v>
      </c>
      <c r="B136" s="6">
        <f>'1_Du_lieu'!E319</f>
        <v>5.58</v>
      </c>
      <c r="C136" s="6">
        <f>'1_Du_lieu'!E508</f>
        <v>19</v>
      </c>
      <c r="D136" s="7">
        <f t="shared" si="27"/>
        <v>1.7191887763932197</v>
      </c>
      <c r="E136" s="7">
        <f t="shared" si="28"/>
        <v>2.9444389791664403</v>
      </c>
      <c r="F136" s="7">
        <f t="shared" si="29"/>
        <v>0.40841673425774022</v>
      </c>
      <c r="G136">
        <v>1</v>
      </c>
      <c r="H136" s="9">
        <f>'1_Du_lieu'!W319</f>
        <v>3.9963641538618968</v>
      </c>
      <c r="I136" s="9">
        <f>'1_Du_lieu'!L319</f>
        <v>2.3210000000000002</v>
      </c>
      <c r="J136" s="9">
        <f>'1_Du_lieu'!M319</f>
        <v>20.18</v>
      </c>
      <c r="K136" s="9">
        <f>'1_Du_lieu'!N319</f>
        <v>14.3</v>
      </c>
      <c r="N136" s="7">
        <f t="shared" si="30"/>
        <v>0.40841673425774022</v>
      </c>
      <c r="O136" s="7">
        <f t="shared" si="31"/>
        <v>1.7191887763932197</v>
      </c>
      <c r="P136" s="9">
        <f t="shared" si="32"/>
        <v>3.9963641538618968</v>
      </c>
      <c r="Q136" s="9">
        <f t="shared" si="33"/>
        <v>2.3210000000000002</v>
      </c>
      <c r="R136" s="9">
        <f t="shared" si="34"/>
        <v>20.18</v>
      </c>
      <c r="S136" s="9">
        <f t="shared" si="35"/>
        <v>14.3</v>
      </c>
    </row>
    <row r="138" spans="1:19" x14ac:dyDescent="0.25">
      <c r="A138" s="14" t="s">
        <v>328</v>
      </c>
      <c r="B138" s="14" t="s">
        <v>329</v>
      </c>
      <c r="C138" s="14" t="s">
        <v>330</v>
      </c>
      <c r="D138" s="14" t="s">
        <v>331</v>
      </c>
    </row>
    <row r="139" spans="1:19" x14ac:dyDescent="0.25">
      <c r="A139" s="10" t="s">
        <v>157</v>
      </c>
      <c r="B139" s="7">
        <f>COUNT($F$81:$F$136)</f>
        <v>56</v>
      </c>
      <c r="C139" s="7">
        <f>COUNT($N$81:$N$136)</f>
        <v>56</v>
      </c>
    </row>
    <row r="140" spans="1:19" x14ac:dyDescent="0.25">
      <c r="A140" s="10" t="s">
        <v>332</v>
      </c>
      <c r="B140" s="12">
        <f>SLOPE($F$81:$F$136,$D$81:$D$136)</f>
        <v>-8.877375699458076E-2</v>
      </c>
      <c r="C140" s="12">
        <f>INDEX(LINEST($N$81:$N$136,$O$81:$S$136,TRUE,TRUE),1,5)</f>
        <v>-4.9195778752916905E-2</v>
      </c>
      <c r="D140" t="s">
        <v>333</v>
      </c>
    </row>
    <row r="141" spans="1:19" x14ac:dyDescent="0.25">
      <c r="A141" s="10" t="s">
        <v>334</v>
      </c>
      <c r="B141" s="7">
        <f>INTERCEPT($F$81:$F$136,$D$81:$D$136)</f>
        <v>0.54997561221909419</v>
      </c>
      <c r="C141" s="7">
        <f>INDEX(LINEST($N$81:$N$136,$O$81:$S$136,TRUE,TRUE),1,6)</f>
        <v>0.34232037374006241</v>
      </c>
    </row>
    <row r="142" spans="1:19" x14ac:dyDescent="0.25">
      <c r="A142" s="10" t="s">
        <v>335</v>
      </c>
      <c r="B142" s="7">
        <f>INDEX(LINEST($F$81:$F$136,$D$81:$D$136,TRUE,TRUE),2,1)</f>
        <v>1.1416138374312903E-2</v>
      </c>
      <c r="C142" s="7">
        <f>INDEX(LINEST($N$81:$N$136,$O$81:$S$136,TRUE,TRUE),2,5)</f>
        <v>3.7993953673119363E-2</v>
      </c>
      <c r="D142" t="s">
        <v>336</v>
      </c>
    </row>
    <row r="143" spans="1:19" x14ac:dyDescent="0.25">
      <c r="A143" s="10" t="s">
        <v>337</v>
      </c>
      <c r="B143" s="18">
        <v>1.7974636553545201E-2</v>
      </c>
      <c r="C143" s="18">
        <v>3.6664466648394303E-2</v>
      </c>
      <c r="D143" t="s">
        <v>338</v>
      </c>
    </row>
    <row r="144" spans="1:19" x14ac:dyDescent="0.25">
      <c r="A144" s="10" t="s">
        <v>339</v>
      </c>
      <c r="B144" s="18">
        <v>7.8590834056020243E-7</v>
      </c>
      <c r="C144" s="18">
        <v>0.17966618272618359</v>
      </c>
      <c r="D144" t="s">
        <v>340</v>
      </c>
    </row>
    <row r="145" spans="1:19" x14ac:dyDescent="0.25">
      <c r="A145" s="10" t="s">
        <v>341</v>
      </c>
      <c r="B145" s="12">
        <f>RSQ($F$81:$F$136,$D$81:$D$136)</f>
        <v>0.52825539092633689</v>
      </c>
      <c r="C145" s="12">
        <f>INDEX(LINEST($N$81:$N$136,$O$81:$S$136,TRUE,TRUE),3,1)</f>
        <v>0.6091376701947665</v>
      </c>
    </row>
    <row r="146" spans="1:19" x14ac:dyDescent="0.25">
      <c r="A146" s="10" t="s">
        <v>342</v>
      </c>
      <c r="B146" s="12">
        <f>IF(1+B140*3&gt;0,IF(-LN(1+B140*3)/3&gt;0,-LN(1+B140*3)/3,"—"),"—")</f>
        <v>0.10322801502455754</v>
      </c>
      <c r="C146" s="12">
        <f>IF(1+C140*3&gt;0,IF(-LN(1+C140*3)/3&gt;0,-LN(1+C140*3)/3,"—"),"—")</f>
        <v>5.322817409896053E-2</v>
      </c>
      <c r="D146" t="s">
        <v>343</v>
      </c>
    </row>
    <row r="147" spans="1:19" x14ac:dyDescent="0.25">
      <c r="A147" s="10" t="s">
        <v>344</v>
      </c>
      <c r="B147" s="13">
        <f>IF(ISNUMBER(B146),B146*100,"—")</f>
        <v>10.322801502455754</v>
      </c>
      <c r="C147" s="13">
        <f>IF(ISNUMBER(C146),C146*100,"—")</f>
        <v>5.3228174098960528</v>
      </c>
    </row>
    <row r="148" spans="1:19" x14ac:dyDescent="0.25">
      <c r="A148" s="10" t="s">
        <v>345</v>
      </c>
      <c r="B148" s="13">
        <f>IF(ISNUMBER(B146),LN(2)/B146,"—")</f>
        <v>6.7147196465518419</v>
      </c>
      <c r="C148" s="13">
        <f>IF(ISNUMBER(C146),LN(2)/C146,"—")</f>
        <v>13.022185943693332</v>
      </c>
      <c r="D148" t="s">
        <v>346</v>
      </c>
    </row>
    <row r="149" spans="1:19" x14ac:dyDescent="0.25">
      <c r="A149" s="10" t="s">
        <v>347</v>
      </c>
    </row>
    <row r="150" spans="1:19" x14ac:dyDescent="0.25">
      <c r="A150" t="s">
        <v>74</v>
      </c>
      <c r="C150" s="12">
        <f>INDEX(LINEST($N$81:$N$136,$O$81:$S$136,TRUE,TRUE),1,4)</f>
        <v>3.3574756365389841E-2</v>
      </c>
      <c r="D150" s="19" t="s">
        <v>359</v>
      </c>
    </row>
    <row r="151" spans="1:19" x14ac:dyDescent="0.25">
      <c r="A151" t="s">
        <v>326</v>
      </c>
      <c r="C151" s="12">
        <f>INDEX(LINEST($N$81:$N$136,$O$81:$S$136,TRUE,TRUE),1,3)</f>
        <v>-8.8384094621882167E-3</v>
      </c>
      <c r="D151" s="19" t="s">
        <v>360</v>
      </c>
    </row>
    <row r="152" spans="1:19" x14ac:dyDescent="0.25">
      <c r="A152" t="s">
        <v>176</v>
      </c>
      <c r="C152" s="12">
        <f>INDEX(LINEST($N$81:$N$136,$O$81:$S$136,TRUE,TRUE),1,2)</f>
        <v>7.4635787752595014E-4</v>
      </c>
      <c r="D152" s="19" t="s">
        <v>361</v>
      </c>
    </row>
    <row r="153" spans="1:19" x14ac:dyDescent="0.25">
      <c r="A153" t="s">
        <v>327</v>
      </c>
      <c r="C153" s="12">
        <f>INDEX(LINEST($N$81:$N$136,$O$81:$S$136,TRUE,TRUE),1,1)</f>
        <v>6.7285227491635578E-4</v>
      </c>
      <c r="D153" s="19" t="s">
        <v>362</v>
      </c>
    </row>
    <row r="156" spans="1:19" x14ac:dyDescent="0.25">
      <c r="A156" s="14" t="s">
        <v>363</v>
      </c>
    </row>
    <row r="157" spans="1:19" ht="32.1" customHeight="1" x14ac:dyDescent="0.25">
      <c r="A157" s="3" t="s">
        <v>52</v>
      </c>
      <c r="B157" s="3" t="s">
        <v>364</v>
      </c>
      <c r="C157" s="3" t="s">
        <v>365</v>
      </c>
      <c r="D157" s="3" t="s">
        <v>317</v>
      </c>
      <c r="E157" s="3" t="s">
        <v>318</v>
      </c>
      <c r="F157" s="3" t="s">
        <v>319</v>
      </c>
      <c r="G157" s="3" t="s">
        <v>320</v>
      </c>
      <c r="H157" s="3" t="s">
        <v>321</v>
      </c>
      <c r="I157" s="3" t="s">
        <v>322</v>
      </c>
      <c r="J157" s="3" t="s">
        <v>323</v>
      </c>
      <c r="K157" s="3" t="s">
        <v>324</v>
      </c>
      <c r="N157" s="3" t="s">
        <v>325</v>
      </c>
      <c r="O157" s="3" t="s">
        <v>317</v>
      </c>
      <c r="P157" s="3" t="s">
        <v>74</v>
      </c>
      <c r="Q157" s="3" t="s">
        <v>326</v>
      </c>
      <c r="R157" s="3" t="s">
        <v>176</v>
      </c>
      <c r="S157" s="3" t="s">
        <v>327</v>
      </c>
    </row>
    <row r="158" spans="1:19" x14ac:dyDescent="0.25">
      <c r="A158" t="s">
        <v>85</v>
      </c>
      <c r="B158" s="6">
        <f>'3_Bang2_EBI_tuong_doi'!G5</f>
        <v>87.298662704309052</v>
      </c>
      <c r="C158" s="6">
        <f>'3_Bang2_EBI_tuong_doi'!G392</f>
        <v>69.30545182972368</v>
      </c>
      <c r="D158" s="7">
        <f t="shared" ref="D158:D189" si="36">LN(B158)</f>
        <v>4.4693351443354343</v>
      </c>
      <c r="E158" s="7">
        <f t="shared" ref="E158:E189" si="37">LN(C158)</f>
        <v>4.2385235730831194</v>
      </c>
      <c r="F158" s="7">
        <f t="shared" ref="F158:F189" si="38">(E158-D158)/7</f>
        <v>-3.2973081607473552E-2</v>
      </c>
      <c r="G158">
        <v>1</v>
      </c>
      <c r="H158" s="9">
        <f>'1_Du_lieu'!W68</f>
        <v>3.6988297849671046</v>
      </c>
      <c r="I158" s="9">
        <f>'1_Du_lieu'!L68</f>
        <v>2.3149999999999999</v>
      </c>
      <c r="J158" s="9">
        <f>'1_Du_lieu'!M68</f>
        <v>31.33</v>
      </c>
      <c r="K158" s="9">
        <f>'1_Du_lieu'!N68</f>
        <v>13.6</v>
      </c>
      <c r="N158" s="7">
        <f t="shared" ref="N158:N167" si="39">F158</f>
        <v>-3.2973081607473552E-2</v>
      </c>
      <c r="O158" s="7">
        <f t="shared" ref="O158:O167" si="40">D158</f>
        <v>4.4693351443354343</v>
      </c>
      <c r="P158" s="9">
        <f t="shared" ref="P158:P167" si="41">H158</f>
        <v>3.6988297849671046</v>
      </c>
      <c r="Q158" s="9">
        <f t="shared" ref="Q158:Q167" si="42">I158</f>
        <v>2.3149999999999999</v>
      </c>
      <c r="R158" s="9">
        <f t="shared" ref="R158:R167" si="43">J158</f>
        <v>31.33</v>
      </c>
      <c r="S158" s="9">
        <f t="shared" ref="S158:S167" si="44">K158</f>
        <v>13.6</v>
      </c>
    </row>
    <row r="159" spans="1:19" x14ac:dyDescent="0.25">
      <c r="A159" t="s">
        <v>87</v>
      </c>
      <c r="B159" s="6">
        <f>'3_Bang2_EBI_tuong_doi'!G6</f>
        <v>121.31946508172359</v>
      </c>
      <c r="C159" s="6">
        <f>'3_Bang2_EBI_tuong_doi'!G393</f>
        <v>121.28454070201644</v>
      </c>
      <c r="D159" s="7">
        <f t="shared" si="36"/>
        <v>4.7984272736590246</v>
      </c>
      <c r="E159" s="7">
        <f t="shared" si="37"/>
        <v>4.7981393610185421</v>
      </c>
      <c r="F159" s="7">
        <f t="shared" si="38"/>
        <v>-4.1130377211778022E-5</v>
      </c>
      <c r="G159">
        <v>1</v>
      </c>
      <c r="H159" s="9">
        <f>'1_Du_lieu'!W69</f>
        <v>5.7352811417155722</v>
      </c>
      <c r="I159" s="9">
        <f>'1_Du_lieu'!L69</f>
        <v>8.4429999999999996</v>
      </c>
      <c r="J159" s="9">
        <f>'1_Du_lieu'!M69</f>
        <v>57.69</v>
      </c>
      <c r="K159" s="9">
        <f>'1_Du_lieu'!N69</f>
        <v>25.9</v>
      </c>
      <c r="N159" s="7">
        <f t="shared" si="39"/>
        <v>-4.1130377211778022E-5</v>
      </c>
      <c r="O159" s="7">
        <f t="shared" si="40"/>
        <v>4.7984272736590246</v>
      </c>
      <c r="P159" s="9">
        <f t="shared" si="41"/>
        <v>5.7352811417155722</v>
      </c>
      <c r="Q159" s="9">
        <f t="shared" si="42"/>
        <v>8.4429999999999996</v>
      </c>
      <c r="R159" s="9">
        <f t="shared" si="43"/>
        <v>57.69</v>
      </c>
      <c r="S159" s="9">
        <f t="shared" si="44"/>
        <v>25.9</v>
      </c>
    </row>
    <row r="160" spans="1:19" x14ac:dyDescent="0.25">
      <c r="A160" t="s">
        <v>89</v>
      </c>
      <c r="B160" s="6">
        <f>'3_Bang2_EBI_tuong_doi'!G7</f>
        <v>138.00891530460621</v>
      </c>
      <c r="C160" s="6">
        <f>'3_Bang2_EBI_tuong_doi'!G394</f>
        <v>220.91112770724425</v>
      </c>
      <c r="D160" s="7">
        <f t="shared" si="36"/>
        <v>4.9273182867270453</v>
      </c>
      <c r="E160" s="7">
        <f t="shared" si="37"/>
        <v>5.397760483567664</v>
      </c>
      <c r="F160" s="7">
        <f t="shared" si="38"/>
        <v>6.7206028120088385E-2</v>
      </c>
      <c r="G160">
        <v>1</v>
      </c>
      <c r="H160" s="9">
        <f>'1_Du_lieu'!W70</f>
        <v>4.9250774057346094</v>
      </c>
      <c r="I160" s="9">
        <f>'1_Du_lieu'!L70</f>
        <v>11.754</v>
      </c>
      <c r="J160" s="9">
        <f>'1_Du_lieu'!M70</f>
        <v>79.98</v>
      </c>
      <c r="K160" s="9">
        <f>'1_Du_lieu'!N70</f>
        <v>20.6</v>
      </c>
      <c r="N160" s="7">
        <f t="shared" si="39"/>
        <v>6.7206028120088385E-2</v>
      </c>
      <c r="O160" s="7">
        <f t="shared" si="40"/>
        <v>4.9273182867270453</v>
      </c>
      <c r="P160" s="9">
        <f t="shared" si="41"/>
        <v>4.9250774057346094</v>
      </c>
      <c r="Q160" s="9">
        <f t="shared" si="42"/>
        <v>11.754</v>
      </c>
      <c r="R160" s="9">
        <f t="shared" si="43"/>
        <v>79.98</v>
      </c>
      <c r="S160" s="9">
        <f t="shared" si="44"/>
        <v>20.6</v>
      </c>
    </row>
    <row r="161" spans="1:19" x14ac:dyDescent="0.25">
      <c r="A161" t="s">
        <v>90</v>
      </c>
      <c r="B161" s="6">
        <f>'3_Bang2_EBI_tuong_doi'!G8</f>
        <v>77.028231797919759</v>
      </c>
      <c r="C161" s="6">
        <f>'3_Bang2_EBI_tuong_doi'!G395</f>
        <v>69.30545182972368</v>
      </c>
      <c r="D161" s="7">
        <f t="shared" si="36"/>
        <v>4.3441720013814287</v>
      </c>
      <c r="E161" s="7">
        <f t="shared" si="37"/>
        <v>4.2385235730831194</v>
      </c>
      <c r="F161" s="7">
        <f t="shared" si="38"/>
        <v>-1.5092632614044175E-2</v>
      </c>
      <c r="G161">
        <v>1</v>
      </c>
      <c r="H161" s="9">
        <f>'1_Du_lieu'!W71</f>
        <v>4.0271358125286509</v>
      </c>
      <c r="I161" s="9">
        <f>'1_Du_lieu'!L71</f>
        <v>4.54</v>
      </c>
      <c r="J161" s="9">
        <f>'1_Du_lieu'!M71</f>
        <v>23.08</v>
      </c>
      <c r="K161" s="9">
        <f>'1_Du_lieu'!N71</f>
        <v>16.8</v>
      </c>
      <c r="N161" s="7">
        <f t="shared" si="39"/>
        <v>-1.5092632614044175E-2</v>
      </c>
      <c r="O161" s="7">
        <f t="shared" si="40"/>
        <v>4.3441720013814287</v>
      </c>
      <c r="P161" s="9">
        <f t="shared" si="41"/>
        <v>4.0271358125286509</v>
      </c>
      <c r="Q161" s="9">
        <f t="shared" si="42"/>
        <v>4.54</v>
      </c>
      <c r="R161" s="9">
        <f t="shared" si="43"/>
        <v>23.08</v>
      </c>
      <c r="S161" s="9">
        <f t="shared" si="44"/>
        <v>16.8</v>
      </c>
    </row>
    <row r="162" spans="1:19" x14ac:dyDescent="0.25">
      <c r="A162" t="s">
        <v>91</v>
      </c>
      <c r="B162" s="6">
        <f>'3_Bang2_EBI_tuong_doi'!G9</f>
        <v>94.680534918276365</v>
      </c>
      <c r="C162" s="6">
        <f>'3_Bang2_EBI_tuong_doi'!G396</f>
        <v>86.63181478715461</v>
      </c>
      <c r="D162" s="7">
        <f t="shared" si="36"/>
        <v>4.5505084343792568</v>
      </c>
      <c r="E162" s="7">
        <f t="shared" si="37"/>
        <v>4.4616671243973292</v>
      </c>
      <c r="F162" s="7">
        <f t="shared" si="38"/>
        <v>-1.2691615711703947E-2</v>
      </c>
      <c r="G162">
        <v>1</v>
      </c>
      <c r="H162" s="9">
        <f>'1_Du_lieu'!W72</f>
        <v>3.9778107459661491</v>
      </c>
      <c r="I162" s="9">
        <f>'1_Du_lieu'!L72</f>
        <v>3.63</v>
      </c>
      <c r="J162" s="9">
        <f>'1_Du_lieu'!M72</f>
        <v>38.200000000000003</v>
      </c>
      <c r="K162" s="9">
        <f>'1_Du_lieu'!N72</f>
        <v>14</v>
      </c>
      <c r="N162" s="7">
        <f t="shared" si="39"/>
        <v>-1.2691615711703947E-2</v>
      </c>
      <c r="O162" s="7">
        <f t="shared" si="40"/>
        <v>4.5505084343792568</v>
      </c>
      <c r="P162" s="9">
        <f t="shared" si="41"/>
        <v>3.9778107459661491</v>
      </c>
      <c r="Q162" s="9">
        <f t="shared" si="42"/>
        <v>3.63</v>
      </c>
      <c r="R162" s="9">
        <f t="shared" si="43"/>
        <v>38.200000000000003</v>
      </c>
      <c r="S162" s="9">
        <f t="shared" si="44"/>
        <v>14</v>
      </c>
    </row>
    <row r="163" spans="1:19" x14ac:dyDescent="0.25">
      <c r="A163" t="s">
        <v>93</v>
      </c>
      <c r="B163" s="6">
        <f>'3_Bang2_EBI_tuong_doi'!G10</f>
        <v>95.964338781575023</v>
      </c>
      <c r="C163" s="6">
        <f>'3_Bang2_EBI_tuong_doi'!G397</f>
        <v>90.963405526512332</v>
      </c>
      <c r="D163" s="7">
        <f t="shared" si="36"/>
        <v>4.5639766514301234</v>
      </c>
      <c r="E163" s="7">
        <f t="shared" si="37"/>
        <v>4.5104572885667613</v>
      </c>
      <c r="F163" s="7">
        <f t="shared" si="38"/>
        <v>-7.6456232661945888E-3</v>
      </c>
      <c r="G163">
        <v>1</v>
      </c>
      <c r="H163" s="9">
        <f>'1_Du_lieu'!W73</f>
        <v>3.9160150266976834</v>
      </c>
      <c r="I163" s="9">
        <f>'1_Du_lieu'!L73</f>
        <v>4.1669999999999998</v>
      </c>
      <c r="J163" s="9">
        <f>'1_Du_lieu'!M73</f>
        <v>31.96</v>
      </c>
      <c r="K163" s="9">
        <f>'1_Du_lieu'!N73</f>
        <v>21.2</v>
      </c>
      <c r="N163" s="7">
        <f t="shared" si="39"/>
        <v>-7.6456232661945888E-3</v>
      </c>
      <c r="O163" s="7">
        <f t="shared" si="40"/>
        <v>4.5639766514301234</v>
      </c>
      <c r="P163" s="9">
        <f t="shared" si="41"/>
        <v>3.9160150266976834</v>
      </c>
      <c r="Q163" s="9">
        <f t="shared" si="42"/>
        <v>4.1669999999999998</v>
      </c>
      <c r="R163" s="9">
        <f t="shared" si="43"/>
        <v>31.96</v>
      </c>
      <c r="S163" s="9">
        <f t="shared" si="44"/>
        <v>21.2</v>
      </c>
    </row>
    <row r="164" spans="1:19" x14ac:dyDescent="0.25">
      <c r="A164" t="s">
        <v>95</v>
      </c>
      <c r="B164" s="6">
        <f>'3_Bang2_EBI_tuong_doi'!G11</f>
        <v>96.285289747399688</v>
      </c>
      <c r="C164" s="6">
        <f>'3_Bang2_EBI_tuong_doi'!G399</f>
        <v>95.294996265870054</v>
      </c>
      <c r="D164" s="7">
        <f t="shared" si="36"/>
        <v>4.5673155526956384</v>
      </c>
      <c r="E164" s="7">
        <f t="shared" si="37"/>
        <v>4.5569773042016539</v>
      </c>
      <c r="F164" s="7">
        <f t="shared" si="38"/>
        <v>-1.4768926419977799E-3</v>
      </c>
      <c r="G164">
        <v>1</v>
      </c>
      <c r="H164" s="9">
        <f>'1_Du_lieu'!W75</f>
        <v>3.9278963545844361</v>
      </c>
      <c r="I164" s="9">
        <f>'1_Du_lieu'!L75</f>
        <v>3.0670000000000002</v>
      </c>
      <c r="J164" s="9">
        <f>'1_Du_lieu'!M75</f>
        <v>11.41</v>
      </c>
      <c r="K164" s="9">
        <f>'1_Du_lieu'!N75</f>
        <v>16.7</v>
      </c>
      <c r="N164" s="7">
        <f t="shared" si="39"/>
        <v>-1.4768926419977799E-3</v>
      </c>
      <c r="O164" s="7">
        <f t="shared" si="40"/>
        <v>4.5673155526956384</v>
      </c>
      <c r="P164" s="9">
        <f t="shared" si="41"/>
        <v>3.9278963545844361</v>
      </c>
      <c r="Q164" s="9">
        <f t="shared" si="42"/>
        <v>3.0670000000000002</v>
      </c>
      <c r="R164" s="9">
        <f t="shared" si="43"/>
        <v>11.41</v>
      </c>
      <c r="S164" s="9">
        <f t="shared" si="44"/>
        <v>16.7</v>
      </c>
    </row>
    <row r="165" spans="1:19" x14ac:dyDescent="0.25">
      <c r="A165" t="s">
        <v>97</v>
      </c>
      <c r="B165" s="6">
        <f>'3_Bang2_EBI_tuong_doi'!G12</f>
        <v>72.534918276374441</v>
      </c>
      <c r="C165" s="6">
        <f>'3_Bang2_EBI_tuong_doi'!G400</f>
        <v>47.647498132935027</v>
      </c>
      <c r="D165" s="7">
        <f t="shared" si="36"/>
        <v>4.2840680773117228</v>
      </c>
      <c r="E165" s="7">
        <f t="shared" si="37"/>
        <v>3.863830123641709</v>
      </c>
      <c r="F165" s="7">
        <f t="shared" si="38"/>
        <v>-6.0033993381430548E-2</v>
      </c>
      <c r="G165">
        <v>1</v>
      </c>
      <c r="H165" s="9">
        <f>'1_Du_lieu'!W76</f>
        <v>3.5667118201397288</v>
      </c>
      <c r="I165" s="9">
        <f>'1_Du_lieu'!L76</f>
        <v>2.1219999999999999</v>
      </c>
      <c r="J165" s="9">
        <f>'1_Du_lieu'!M76</f>
        <v>20.350000000000001</v>
      </c>
      <c r="K165" s="9">
        <f>'1_Du_lieu'!N76</f>
        <v>17.7</v>
      </c>
      <c r="N165" s="7">
        <f t="shared" si="39"/>
        <v>-6.0033993381430548E-2</v>
      </c>
      <c r="O165" s="7">
        <f t="shared" si="40"/>
        <v>4.2840680773117228</v>
      </c>
      <c r="P165" s="9">
        <f t="shared" si="41"/>
        <v>3.5667118201397288</v>
      </c>
      <c r="Q165" s="9">
        <f t="shared" si="42"/>
        <v>2.1219999999999999</v>
      </c>
      <c r="R165" s="9">
        <f t="shared" si="43"/>
        <v>20.350000000000001</v>
      </c>
      <c r="S165" s="9">
        <f t="shared" si="44"/>
        <v>17.7</v>
      </c>
    </row>
    <row r="166" spans="1:19" x14ac:dyDescent="0.25">
      <c r="A166" t="s">
        <v>98</v>
      </c>
      <c r="B166" s="6">
        <f>'3_Bang2_EBI_tuong_doi'!G13</f>
        <v>124.84992570579492</v>
      </c>
      <c r="C166" s="6">
        <f>'3_Bang2_EBI_tuong_doi'!G401</f>
        <v>129.94772218073189</v>
      </c>
      <c r="D166" s="7">
        <f t="shared" si="36"/>
        <v>4.8271124216578833</v>
      </c>
      <c r="E166" s="7">
        <f t="shared" si="37"/>
        <v>4.8671322325054938</v>
      </c>
      <c r="F166" s="7">
        <f t="shared" si="38"/>
        <v>5.7171158353729167E-3</v>
      </c>
      <c r="G166">
        <v>1</v>
      </c>
      <c r="H166" s="9">
        <f>'1_Du_lieu'!W77</f>
        <v>4.9760438493266363</v>
      </c>
      <c r="I166" s="9">
        <f>'1_Du_lieu'!L77</f>
        <v>7.4139999999999997</v>
      </c>
      <c r="J166" s="9">
        <f>'1_Du_lieu'!M77</f>
        <v>27.34</v>
      </c>
      <c r="K166" s="9">
        <f>'1_Du_lieu'!N77</f>
        <v>28</v>
      </c>
      <c r="N166" s="7">
        <f t="shared" si="39"/>
        <v>5.7171158353729167E-3</v>
      </c>
      <c r="O166" s="7">
        <f t="shared" si="40"/>
        <v>4.8271124216578833</v>
      </c>
      <c r="P166" s="9">
        <f t="shared" si="41"/>
        <v>4.9760438493266363</v>
      </c>
      <c r="Q166" s="9">
        <f t="shared" si="42"/>
        <v>7.4139999999999997</v>
      </c>
      <c r="R166" s="9">
        <f t="shared" si="43"/>
        <v>27.34</v>
      </c>
      <c r="S166" s="9">
        <f t="shared" si="44"/>
        <v>28</v>
      </c>
    </row>
    <row r="167" spans="1:19" x14ac:dyDescent="0.25">
      <c r="A167" t="s">
        <v>100</v>
      </c>
      <c r="B167" s="6">
        <f>'3_Bang2_EBI_tuong_doi'!G14</f>
        <v>90.187221396731047</v>
      </c>
      <c r="C167" s="6">
        <f>'3_Bang2_EBI_tuong_doi'!G402</f>
        <v>82.30022404779686</v>
      </c>
      <c r="D167" s="7">
        <f t="shared" si="36"/>
        <v>4.5018877473731829</v>
      </c>
      <c r="E167" s="7">
        <f t="shared" si="37"/>
        <v>4.410373830009779</v>
      </c>
      <c r="F167" s="7">
        <f t="shared" si="38"/>
        <v>-1.3073416766200552E-2</v>
      </c>
      <c r="G167">
        <v>1</v>
      </c>
      <c r="H167" s="9">
        <f>'1_Du_lieu'!W78</f>
        <v>3.6054978451748854</v>
      </c>
      <c r="I167" s="9">
        <f>'1_Du_lieu'!L78</f>
        <v>2.464</v>
      </c>
      <c r="J167" s="9">
        <f>'1_Du_lieu'!M78</f>
        <v>9.82</v>
      </c>
      <c r="K167" s="9">
        <f>'1_Du_lieu'!N78</f>
        <v>9.1999999999999993</v>
      </c>
      <c r="N167" s="7">
        <f t="shared" si="39"/>
        <v>-1.3073416766200552E-2</v>
      </c>
      <c r="O167" s="7">
        <f t="shared" si="40"/>
        <v>4.5018877473731829</v>
      </c>
      <c r="P167" s="9">
        <f t="shared" si="41"/>
        <v>3.6054978451748854</v>
      </c>
      <c r="Q167" s="9">
        <f t="shared" si="42"/>
        <v>2.464</v>
      </c>
      <c r="R167" s="9">
        <f t="shared" si="43"/>
        <v>9.82</v>
      </c>
      <c r="S167" s="9">
        <f t="shared" si="44"/>
        <v>9.1999999999999993</v>
      </c>
    </row>
    <row r="168" spans="1:19" x14ac:dyDescent="0.25">
      <c r="A168" t="s">
        <v>102</v>
      </c>
      <c r="B168" s="6">
        <f>'3_Bang2_EBI_tuong_doi'!G15</f>
        <v>68.041604754829109</v>
      </c>
      <c r="C168" s="6">
        <f>'3_Bang2_EBI_tuong_doi'!G403</f>
        <v>69.30545182972368</v>
      </c>
      <c r="D168" s="7">
        <f t="shared" si="36"/>
        <v>4.2201193527114498</v>
      </c>
      <c r="E168" s="7">
        <f t="shared" si="37"/>
        <v>4.2385235730831194</v>
      </c>
      <c r="F168" s="7">
        <f t="shared" si="38"/>
        <v>2.6291743388099525E-3</v>
      </c>
      <c r="G168">
        <v>0</v>
      </c>
      <c r="H168" s="9">
        <f>'1_Du_lieu'!W80</f>
        <v>3.8753590210565547</v>
      </c>
      <c r="I168" s="9">
        <f>'1_Du_lieu'!L80</f>
        <v>2.8490000000000002</v>
      </c>
      <c r="J168" s="9">
        <f>'1_Du_lieu'!M80</f>
        <v>22.61</v>
      </c>
      <c r="K168" s="9">
        <f>'1_Du_lieu'!N80</f>
        <v>12.5</v>
      </c>
      <c r="N168" s="7">
        <f t="shared" ref="N168:N210" si="45">F169</f>
        <v>2.2446326722797799E-3</v>
      </c>
      <c r="O168" s="7">
        <f t="shared" ref="O168:O210" si="46">D169</f>
        <v>4.7824269323125836</v>
      </c>
      <c r="P168" s="9">
        <f t="shared" ref="P168:P210" si="47">H169</f>
        <v>4.2165621949463494</v>
      </c>
      <c r="Q168" s="9">
        <f t="shared" ref="Q168:Q210" si="48">I169</f>
        <v>6.3730000000000002</v>
      </c>
      <c r="R168" s="9">
        <f t="shared" ref="R168:R210" si="49">J169</f>
        <v>69.28</v>
      </c>
      <c r="S168" s="9">
        <f t="shared" ref="S168:S210" si="50">K169</f>
        <v>24.2</v>
      </c>
    </row>
    <row r="169" spans="1:19" x14ac:dyDescent="0.25">
      <c r="A169" t="s">
        <v>103</v>
      </c>
      <c r="B169" s="6">
        <f>'3_Bang2_EBI_tuong_doi'!G16</f>
        <v>119.39375928677562</v>
      </c>
      <c r="C169" s="6">
        <f>'3_Bang2_EBI_tuong_doi'!G404</f>
        <v>121.28454070201644</v>
      </c>
      <c r="D169" s="7">
        <f t="shared" si="36"/>
        <v>4.7824269323125836</v>
      </c>
      <c r="E169" s="7">
        <f t="shared" si="37"/>
        <v>4.7981393610185421</v>
      </c>
      <c r="F169" s="7">
        <f t="shared" si="38"/>
        <v>2.2446326722797799E-3</v>
      </c>
      <c r="G169">
        <v>1</v>
      </c>
      <c r="H169" s="9">
        <f>'1_Du_lieu'!W81</f>
        <v>4.2165621949463494</v>
      </c>
      <c r="I169" s="9">
        <f>'1_Du_lieu'!L81</f>
        <v>6.3730000000000002</v>
      </c>
      <c r="J169" s="9">
        <f>'1_Du_lieu'!M81</f>
        <v>69.28</v>
      </c>
      <c r="K169" s="9">
        <f>'1_Du_lieu'!N81</f>
        <v>24.2</v>
      </c>
      <c r="N169" s="7">
        <f t="shared" si="45"/>
        <v>-2.251545246128853E-2</v>
      </c>
      <c r="O169" s="7">
        <f t="shared" si="46"/>
        <v>4.3315932191745681</v>
      </c>
      <c r="P169" s="9">
        <f t="shared" si="47"/>
        <v>3.6712245188752153</v>
      </c>
      <c r="Q169" s="9">
        <f t="shared" si="48"/>
        <v>2.4140000000000001</v>
      </c>
      <c r="R169" s="9">
        <f t="shared" si="49"/>
        <v>28.92</v>
      </c>
      <c r="S169" s="9">
        <f t="shared" si="50"/>
        <v>10.4</v>
      </c>
    </row>
    <row r="170" spans="1:19" x14ac:dyDescent="0.25">
      <c r="A170" t="s">
        <v>104</v>
      </c>
      <c r="B170" s="6">
        <f>'3_Bang2_EBI_tuong_doi'!G17</f>
        <v>76.065378900445751</v>
      </c>
      <c r="C170" s="6">
        <f>'3_Bang2_EBI_tuong_doi'!G405</f>
        <v>64.973861090365943</v>
      </c>
      <c r="D170" s="7">
        <f t="shared" si="36"/>
        <v>4.3315932191745681</v>
      </c>
      <c r="E170" s="7">
        <f t="shared" si="37"/>
        <v>4.1739850519455484</v>
      </c>
      <c r="F170" s="7">
        <f t="shared" si="38"/>
        <v>-2.251545246128853E-2</v>
      </c>
      <c r="G170">
        <v>1</v>
      </c>
      <c r="H170" s="9">
        <f>'1_Du_lieu'!W82</f>
        <v>3.6712245188752153</v>
      </c>
      <c r="I170" s="9">
        <f>'1_Du_lieu'!L82</f>
        <v>2.4140000000000001</v>
      </c>
      <c r="J170" s="9">
        <f>'1_Du_lieu'!M82</f>
        <v>28.92</v>
      </c>
      <c r="K170" s="9">
        <f>'1_Du_lieu'!N82</f>
        <v>10.4</v>
      </c>
      <c r="N170" s="7">
        <f t="shared" si="45"/>
        <v>8.2461971022833279E-3</v>
      </c>
      <c r="O170" s="7">
        <f t="shared" si="46"/>
        <v>4.5437056870565042</v>
      </c>
      <c r="P170" s="9">
        <f t="shared" si="47"/>
        <v>4.0306945351456447</v>
      </c>
      <c r="Q170" s="9">
        <f t="shared" si="48"/>
        <v>4.4279999999999999</v>
      </c>
      <c r="R170" s="9">
        <f t="shared" si="49"/>
        <v>16.62</v>
      </c>
      <c r="S170" s="9">
        <f t="shared" si="50"/>
        <v>20.8</v>
      </c>
    </row>
    <row r="171" spans="1:19" x14ac:dyDescent="0.25">
      <c r="A171" t="s">
        <v>107</v>
      </c>
      <c r="B171" s="6">
        <f>'3_Bang2_EBI_tuong_doi'!G18</f>
        <v>94.038632986627036</v>
      </c>
      <c r="C171" s="6">
        <f>'3_Bang2_EBI_tuong_doi'!G406</f>
        <v>99.62658700522779</v>
      </c>
      <c r="D171" s="7">
        <f t="shared" si="36"/>
        <v>4.5437056870565042</v>
      </c>
      <c r="E171" s="7">
        <f t="shared" si="37"/>
        <v>4.6014290667724875</v>
      </c>
      <c r="F171" s="7">
        <f t="shared" si="38"/>
        <v>8.2461971022833279E-3</v>
      </c>
      <c r="G171">
        <v>1</v>
      </c>
      <c r="H171" s="9">
        <f>'1_Du_lieu'!W84</f>
        <v>4.0306945351456447</v>
      </c>
      <c r="I171" s="9">
        <f>'1_Du_lieu'!L84</f>
        <v>4.4279999999999999</v>
      </c>
      <c r="J171" s="9">
        <f>'1_Du_lieu'!M84</f>
        <v>16.62</v>
      </c>
      <c r="K171" s="9">
        <f>'1_Du_lieu'!N84</f>
        <v>20.8</v>
      </c>
      <c r="N171" s="7">
        <f t="shared" si="45"/>
        <v>5.7505026572120546E-2</v>
      </c>
      <c r="O171" s="7">
        <f t="shared" si="46"/>
        <v>5.4942164636818083</v>
      </c>
      <c r="P171" s="9">
        <f t="shared" si="47"/>
        <v>4.7149210499472103</v>
      </c>
      <c r="Q171" s="9">
        <f t="shared" si="48"/>
        <v>18.082999999999998</v>
      </c>
      <c r="R171" s="9">
        <f t="shared" si="49"/>
        <v>49.34</v>
      </c>
      <c r="S171" s="9">
        <f t="shared" si="50"/>
        <v>42</v>
      </c>
    </row>
    <row r="172" spans="1:19" x14ac:dyDescent="0.25">
      <c r="A172" t="s">
        <v>108</v>
      </c>
      <c r="B172" s="6">
        <f>'3_Bang2_EBI_tuong_doi'!G19</f>
        <v>243.28083209509654</v>
      </c>
      <c r="C172" s="6">
        <f>'3_Bang2_EBI_tuong_doi'!G407</f>
        <v>363.85362210604933</v>
      </c>
      <c r="D172" s="7">
        <f t="shared" si="36"/>
        <v>5.4942164636818083</v>
      </c>
      <c r="E172" s="7">
        <f t="shared" si="37"/>
        <v>5.8967516496866521</v>
      </c>
      <c r="F172" s="7">
        <f t="shared" si="38"/>
        <v>5.7505026572120546E-2</v>
      </c>
      <c r="G172">
        <v>1</v>
      </c>
      <c r="H172" s="9">
        <f>'1_Du_lieu'!W85</f>
        <v>4.7149210499472103</v>
      </c>
      <c r="I172" s="9">
        <f>'1_Du_lieu'!L85</f>
        <v>18.082999999999998</v>
      </c>
      <c r="J172" s="9">
        <f>'1_Du_lieu'!M85</f>
        <v>49.34</v>
      </c>
      <c r="K172" s="9">
        <f>'1_Du_lieu'!N85</f>
        <v>42</v>
      </c>
      <c r="N172" s="7">
        <f t="shared" si="45"/>
        <v>-1.5620755739947765E-2</v>
      </c>
      <c r="O172" s="7">
        <f t="shared" si="46"/>
        <v>4.4656518989191376</v>
      </c>
      <c r="P172" s="9">
        <f t="shared" si="47"/>
        <v>4.0018637094279352</v>
      </c>
      <c r="Q172" s="9">
        <f t="shared" si="48"/>
        <v>3.4740000000000002</v>
      </c>
      <c r="R172" s="9">
        <f t="shared" si="49"/>
        <v>19.14</v>
      </c>
      <c r="S172" s="9">
        <f t="shared" si="50"/>
        <v>24.2</v>
      </c>
    </row>
    <row r="173" spans="1:19" x14ac:dyDescent="0.25">
      <c r="A173" t="s">
        <v>109</v>
      </c>
      <c r="B173" s="6">
        <f>'3_Bang2_EBI_tuong_doi'!G20</f>
        <v>86.977711738484388</v>
      </c>
      <c r="C173" s="6">
        <f>'3_Bang2_EBI_tuong_doi'!G408</f>
        <v>77.968633308439138</v>
      </c>
      <c r="D173" s="7">
        <f t="shared" si="36"/>
        <v>4.4656518989191376</v>
      </c>
      <c r="E173" s="7">
        <f t="shared" si="37"/>
        <v>4.3563066087395033</v>
      </c>
      <c r="F173" s="7">
        <f t="shared" si="38"/>
        <v>-1.5620755739947765E-2</v>
      </c>
      <c r="G173">
        <v>1</v>
      </c>
      <c r="H173" s="9">
        <f>'1_Du_lieu'!W86</f>
        <v>4.0018637094279352</v>
      </c>
      <c r="I173" s="9">
        <f>'1_Du_lieu'!L86</f>
        <v>3.4740000000000002</v>
      </c>
      <c r="J173" s="9">
        <f>'1_Du_lieu'!M86</f>
        <v>19.14</v>
      </c>
      <c r="K173" s="9">
        <f>'1_Du_lieu'!N86</f>
        <v>24.2</v>
      </c>
      <c r="N173" s="7">
        <f t="shared" si="45"/>
        <v>-4.0570548101803459E-2</v>
      </c>
      <c r="O173" s="7">
        <f t="shared" si="46"/>
        <v>4.3889860171712209</v>
      </c>
      <c r="P173" s="9">
        <f t="shared" si="47"/>
        <v>3.9963641538618968</v>
      </c>
      <c r="Q173" s="9">
        <f t="shared" si="48"/>
        <v>2.5510000000000002</v>
      </c>
      <c r="R173" s="9">
        <f t="shared" si="49"/>
        <v>15.66</v>
      </c>
      <c r="S173" s="9">
        <f t="shared" si="50"/>
        <v>17.399999999999999</v>
      </c>
    </row>
    <row r="174" spans="1:19" x14ac:dyDescent="0.25">
      <c r="A174" t="s">
        <v>110</v>
      </c>
      <c r="B174" s="6">
        <f>'3_Bang2_EBI_tuong_doi'!G21</f>
        <v>80.558692421991068</v>
      </c>
      <c r="C174" s="6">
        <f>'3_Bang2_EBI_tuong_doi'!G409</f>
        <v>60.642270351008221</v>
      </c>
      <c r="D174" s="7">
        <f t="shared" si="36"/>
        <v>4.3889860171712209</v>
      </c>
      <c r="E174" s="7">
        <f t="shared" si="37"/>
        <v>4.1049921804585967</v>
      </c>
      <c r="F174" s="7">
        <f t="shared" si="38"/>
        <v>-4.0570548101803459E-2</v>
      </c>
      <c r="G174">
        <v>1</v>
      </c>
      <c r="H174" s="9">
        <f>'1_Du_lieu'!W87</f>
        <v>3.9963641538618968</v>
      </c>
      <c r="I174" s="9">
        <f>'1_Du_lieu'!L87</f>
        <v>2.5510000000000002</v>
      </c>
      <c r="J174" s="9">
        <f>'1_Du_lieu'!M87</f>
        <v>15.66</v>
      </c>
      <c r="K174" s="9">
        <f>'1_Du_lieu'!N87</f>
        <v>17.399999999999999</v>
      </c>
      <c r="N174" s="7">
        <f t="shared" si="45"/>
        <v>3.7635576519854323E-2</v>
      </c>
      <c r="O174" s="7">
        <f t="shared" si="46"/>
        <v>4.4983226812086867</v>
      </c>
      <c r="P174" s="9">
        <f t="shared" si="47"/>
        <v>4.203198967134183</v>
      </c>
      <c r="Q174" s="9">
        <f t="shared" si="48"/>
        <v>5.3140000000000001</v>
      </c>
      <c r="R174" s="9">
        <f t="shared" si="49"/>
        <v>12.19</v>
      </c>
      <c r="S174" s="9">
        <f t="shared" si="50"/>
        <v>20.399999999999999</v>
      </c>
    </row>
    <row r="175" spans="1:19" x14ac:dyDescent="0.25">
      <c r="A175" t="s">
        <v>111</v>
      </c>
      <c r="B175" s="6">
        <f>'3_Bang2_EBI_tuong_doi'!G22</f>
        <v>89.866270430906383</v>
      </c>
      <c r="C175" s="6">
        <f>'3_Bang2_EBI_tuong_doi'!G410</f>
        <v>116.95294996265871</v>
      </c>
      <c r="D175" s="7">
        <f t="shared" si="36"/>
        <v>4.4983226812086867</v>
      </c>
      <c r="E175" s="7">
        <f t="shared" si="37"/>
        <v>4.761771716847667</v>
      </c>
      <c r="F175" s="7">
        <f t="shared" si="38"/>
        <v>3.7635576519854323E-2</v>
      </c>
      <c r="G175">
        <v>1</v>
      </c>
      <c r="H175" s="9">
        <f>'1_Du_lieu'!W88</f>
        <v>4.203198967134183</v>
      </c>
      <c r="I175" s="9">
        <f>'1_Du_lieu'!L88</f>
        <v>5.3140000000000001</v>
      </c>
      <c r="J175" s="9">
        <f>'1_Du_lieu'!M88</f>
        <v>12.19</v>
      </c>
      <c r="K175" s="9">
        <f>'1_Du_lieu'!N88</f>
        <v>20.399999999999999</v>
      </c>
      <c r="N175" s="7">
        <f t="shared" si="45"/>
        <v>-2.8502080647199994E-2</v>
      </c>
      <c r="O175" s="7">
        <f t="shared" si="46"/>
        <v>4.7099718530971613</v>
      </c>
      <c r="P175" s="9">
        <f t="shared" si="47"/>
        <v>4.1141471895182802</v>
      </c>
      <c r="Q175" s="9">
        <f t="shared" si="48"/>
        <v>4.3710000000000004</v>
      </c>
      <c r="R175" s="9">
        <f t="shared" si="49"/>
        <v>24.68</v>
      </c>
      <c r="S175" s="9">
        <f t="shared" si="50"/>
        <v>17.5</v>
      </c>
    </row>
    <row r="176" spans="1:19" x14ac:dyDescent="0.25">
      <c r="A176" t="s">
        <v>112</v>
      </c>
      <c r="B176" s="6">
        <f>'3_Bang2_EBI_tuong_doi'!G23</f>
        <v>111.04903417533431</v>
      </c>
      <c r="C176" s="6">
        <f>'3_Bang2_EBI_tuong_doi'!G411</f>
        <v>90.963405526512332</v>
      </c>
      <c r="D176" s="7">
        <f t="shared" si="36"/>
        <v>4.7099718530971613</v>
      </c>
      <c r="E176" s="7">
        <f t="shared" si="37"/>
        <v>4.5104572885667613</v>
      </c>
      <c r="F176" s="7">
        <f t="shared" si="38"/>
        <v>-2.8502080647199994E-2</v>
      </c>
      <c r="G176">
        <v>1</v>
      </c>
      <c r="H176" s="9">
        <f>'1_Du_lieu'!W89</f>
        <v>4.1141471895182802</v>
      </c>
      <c r="I176" s="9">
        <f>'1_Du_lieu'!L89</f>
        <v>4.3710000000000004</v>
      </c>
      <c r="J176" s="9">
        <f>'1_Du_lieu'!M89</f>
        <v>24.68</v>
      </c>
      <c r="K176" s="9">
        <f>'1_Du_lieu'!N89</f>
        <v>17.5</v>
      </c>
      <c r="N176" s="7">
        <f t="shared" si="45"/>
        <v>2.0130771032000006E-2</v>
      </c>
      <c r="O176" s="7">
        <f t="shared" si="46"/>
        <v>4.9085383920754486</v>
      </c>
      <c r="P176" s="9">
        <f t="shared" si="47"/>
        <v>4.6482296754485386</v>
      </c>
      <c r="Q176" s="9">
        <f t="shared" si="48"/>
        <v>10.718999999999999</v>
      </c>
      <c r="R176" s="9">
        <f t="shared" si="49"/>
        <v>45.64</v>
      </c>
      <c r="S176" s="9">
        <f t="shared" si="50"/>
        <v>31.3</v>
      </c>
    </row>
    <row r="177" spans="1:19" x14ac:dyDescent="0.25">
      <c r="A177" t="s">
        <v>113</v>
      </c>
      <c r="B177" s="6">
        <f>'3_Bang2_EBI_tuong_doi'!G24</f>
        <v>135.44130757800889</v>
      </c>
      <c r="C177" s="6">
        <f>'3_Bang2_EBI_tuong_doi'!G412</f>
        <v>155.93726661687828</v>
      </c>
      <c r="D177" s="7">
        <f t="shared" si="36"/>
        <v>4.9085383920754486</v>
      </c>
      <c r="E177" s="7">
        <f t="shared" si="37"/>
        <v>5.0494537892994487</v>
      </c>
      <c r="F177" s="7">
        <f t="shared" si="38"/>
        <v>2.0130771032000006E-2</v>
      </c>
      <c r="G177">
        <v>1</v>
      </c>
      <c r="H177" s="9">
        <f>'1_Du_lieu'!W90</f>
        <v>4.6482296754485386</v>
      </c>
      <c r="I177" s="9">
        <f>'1_Du_lieu'!L90</f>
        <v>10.718999999999999</v>
      </c>
      <c r="J177" s="9">
        <f>'1_Du_lieu'!M90</f>
        <v>45.64</v>
      </c>
      <c r="K177" s="9">
        <f>'1_Du_lieu'!N90</f>
        <v>31.3</v>
      </c>
      <c r="N177" s="7">
        <f t="shared" si="45"/>
        <v>-3.5944539122317715E-3</v>
      </c>
      <c r="O177" s="7">
        <f t="shared" si="46"/>
        <v>4.7099718530971613</v>
      </c>
      <c r="P177" s="9">
        <f t="shared" si="47"/>
        <v>4.1573193613834887</v>
      </c>
      <c r="Q177" s="9">
        <f t="shared" si="48"/>
        <v>8.4939999999999998</v>
      </c>
      <c r="R177" s="9">
        <f t="shared" si="49"/>
        <v>42.03</v>
      </c>
      <c r="S177" s="9">
        <f t="shared" si="50"/>
        <v>18.8</v>
      </c>
    </row>
    <row r="178" spans="1:19" x14ac:dyDescent="0.25">
      <c r="A178" t="s">
        <v>115</v>
      </c>
      <c r="B178" s="6">
        <f>'3_Bang2_EBI_tuong_doi'!G25</f>
        <v>111.04903417533431</v>
      </c>
      <c r="C178" s="6">
        <f>'3_Bang2_EBI_tuong_doi'!G414</f>
        <v>108.28976848394325</v>
      </c>
      <c r="D178" s="7">
        <f t="shared" si="36"/>
        <v>4.7099718530971613</v>
      </c>
      <c r="E178" s="7">
        <f t="shared" si="37"/>
        <v>4.6848106757115389</v>
      </c>
      <c r="F178" s="7">
        <f t="shared" si="38"/>
        <v>-3.5944539122317715E-3</v>
      </c>
      <c r="G178">
        <v>1</v>
      </c>
      <c r="H178" s="9">
        <f>'1_Du_lieu'!W92</f>
        <v>4.1573193613834887</v>
      </c>
      <c r="I178" s="9">
        <f>'1_Du_lieu'!L92</f>
        <v>8.4939999999999998</v>
      </c>
      <c r="J178" s="9">
        <f>'1_Du_lieu'!M92</f>
        <v>42.03</v>
      </c>
      <c r="K178" s="9">
        <f>'1_Du_lieu'!N92</f>
        <v>18.8</v>
      </c>
      <c r="N178" s="7">
        <f t="shared" si="45"/>
        <v>-2.5879425829493461E-2</v>
      </c>
      <c r="O178" s="7">
        <f t="shared" si="46"/>
        <v>4.4803041757060083</v>
      </c>
      <c r="P178" s="9">
        <f t="shared" si="47"/>
        <v>3.9512437185814275</v>
      </c>
      <c r="Q178" s="9">
        <f t="shared" si="48"/>
        <v>4.2930000000000001</v>
      </c>
      <c r="R178" s="9">
        <f t="shared" si="49"/>
        <v>28.21</v>
      </c>
      <c r="S178" s="9">
        <f t="shared" si="50"/>
        <v>15.4</v>
      </c>
    </row>
    <row r="179" spans="1:19" x14ac:dyDescent="0.25">
      <c r="A179" t="s">
        <v>116</v>
      </c>
      <c r="B179" s="6">
        <f>'3_Bang2_EBI_tuong_doi'!G26</f>
        <v>88.261515601783046</v>
      </c>
      <c r="C179" s="6">
        <f>'3_Bang2_EBI_tuong_doi'!G415</f>
        <v>73.637042569081416</v>
      </c>
      <c r="D179" s="7">
        <f t="shared" si="36"/>
        <v>4.4803041757060083</v>
      </c>
      <c r="E179" s="7">
        <f t="shared" si="37"/>
        <v>4.299148194899554</v>
      </c>
      <c r="F179" s="7">
        <f t="shared" si="38"/>
        <v>-2.5879425829493461E-2</v>
      </c>
      <c r="G179">
        <v>1</v>
      </c>
      <c r="H179" s="9">
        <f>'1_Du_lieu'!W93</f>
        <v>3.9512437185814275</v>
      </c>
      <c r="I179" s="9">
        <f>'1_Du_lieu'!L93</f>
        <v>4.2930000000000001</v>
      </c>
      <c r="J179" s="9">
        <f>'1_Du_lieu'!M93</f>
        <v>28.21</v>
      </c>
      <c r="K179" s="9">
        <f>'1_Du_lieu'!N93</f>
        <v>15.4</v>
      </c>
      <c r="N179" s="7">
        <f t="shared" si="45"/>
        <v>-4.5940942270178323E-2</v>
      </c>
      <c r="O179" s="7">
        <f t="shared" si="46"/>
        <v>4.3524708041961233</v>
      </c>
      <c r="P179" s="9">
        <f t="shared" si="47"/>
        <v>3.6323091026255421</v>
      </c>
      <c r="Q179" s="9">
        <f t="shared" si="48"/>
        <v>2.9510000000000001</v>
      </c>
      <c r="R179" s="9">
        <f t="shared" si="49"/>
        <v>32.119999999999997</v>
      </c>
      <c r="S179" s="9">
        <f t="shared" si="50"/>
        <v>18</v>
      </c>
    </row>
    <row r="180" spans="1:19" x14ac:dyDescent="0.25">
      <c r="A180" t="s">
        <v>117</v>
      </c>
      <c r="B180" s="6">
        <f>'3_Bang2_EBI_tuong_doi'!G27</f>
        <v>77.670133729569073</v>
      </c>
      <c r="C180" s="6">
        <f>'3_Bang2_EBI_tuong_doi'!G416</f>
        <v>56.310679611650492</v>
      </c>
      <c r="D180" s="7">
        <f t="shared" si="36"/>
        <v>4.3524708041961233</v>
      </c>
      <c r="E180" s="7">
        <f t="shared" si="37"/>
        <v>4.030884208304875</v>
      </c>
      <c r="F180" s="7">
        <f t="shared" si="38"/>
        <v>-4.5940942270178323E-2</v>
      </c>
      <c r="G180">
        <v>1</v>
      </c>
      <c r="H180" s="9">
        <f>'1_Du_lieu'!W94</f>
        <v>3.6323091026255421</v>
      </c>
      <c r="I180" s="9">
        <f>'1_Du_lieu'!L94</f>
        <v>2.9510000000000001</v>
      </c>
      <c r="J180" s="9">
        <f>'1_Du_lieu'!M94</f>
        <v>32.119999999999997</v>
      </c>
      <c r="K180" s="9">
        <f>'1_Du_lieu'!N94</f>
        <v>18</v>
      </c>
      <c r="N180" s="7">
        <f t="shared" si="45"/>
        <v>8.890349191550153E-3</v>
      </c>
      <c r="O180" s="7">
        <f t="shared" si="46"/>
        <v>4.4947448598608029</v>
      </c>
      <c r="P180" s="9">
        <f t="shared" si="47"/>
        <v>4.1850989254905651</v>
      </c>
      <c r="Q180" s="9">
        <f t="shared" si="48"/>
        <v>5.2910000000000004</v>
      </c>
      <c r="R180" s="9">
        <f t="shared" si="49"/>
        <v>16.21</v>
      </c>
      <c r="S180" s="9">
        <f t="shared" si="50"/>
        <v>16.100000000000001</v>
      </c>
    </row>
    <row r="181" spans="1:19" x14ac:dyDescent="0.25">
      <c r="A181" t="s">
        <v>119</v>
      </c>
      <c r="B181" s="6">
        <f>'3_Bang2_EBI_tuong_doi'!G28</f>
        <v>89.545319465081704</v>
      </c>
      <c r="C181" s="6">
        <f>'3_Bang2_EBI_tuong_doi'!G417</f>
        <v>95.294996265870054</v>
      </c>
      <c r="D181" s="7">
        <f t="shared" si="36"/>
        <v>4.4947448598608029</v>
      </c>
      <c r="E181" s="7">
        <f t="shared" si="37"/>
        <v>4.5569773042016539</v>
      </c>
      <c r="F181" s="7">
        <f t="shared" si="38"/>
        <v>8.890349191550153E-3</v>
      </c>
      <c r="G181">
        <v>1</v>
      </c>
      <c r="H181" s="9">
        <f>'1_Du_lieu'!W96</f>
        <v>4.1850989254905651</v>
      </c>
      <c r="I181" s="9">
        <f>'1_Du_lieu'!L96</f>
        <v>5.2910000000000004</v>
      </c>
      <c r="J181" s="9">
        <f>'1_Du_lieu'!M96</f>
        <v>16.21</v>
      </c>
      <c r="K181" s="9">
        <f>'1_Du_lieu'!N96</f>
        <v>16.100000000000001</v>
      </c>
      <c r="N181" s="7">
        <f t="shared" si="45"/>
        <v>2.091105368027511E-3</v>
      </c>
      <c r="O181" s="7">
        <f t="shared" si="46"/>
        <v>4.4470293868211366</v>
      </c>
      <c r="P181" s="9">
        <f t="shared" si="47"/>
        <v>4.1303549997451334</v>
      </c>
      <c r="Q181" s="9">
        <f t="shared" si="48"/>
        <v>3.5819999999999999</v>
      </c>
      <c r="R181" s="9">
        <f t="shared" si="49"/>
        <v>23.17</v>
      </c>
      <c r="S181" s="9">
        <f t="shared" si="50"/>
        <v>17.100000000000001</v>
      </c>
    </row>
    <row r="182" spans="1:19" x14ac:dyDescent="0.25">
      <c r="A182" t="s">
        <v>120</v>
      </c>
      <c r="B182" s="6">
        <f>'3_Bang2_EBI_tuong_doi'!G29</f>
        <v>85.372956909361065</v>
      </c>
      <c r="C182" s="6">
        <f>'3_Bang2_EBI_tuong_doi'!G418</f>
        <v>86.63181478715461</v>
      </c>
      <c r="D182" s="7">
        <f t="shared" si="36"/>
        <v>4.4470293868211366</v>
      </c>
      <c r="E182" s="7">
        <f t="shared" si="37"/>
        <v>4.4616671243973292</v>
      </c>
      <c r="F182" s="7">
        <f t="shared" si="38"/>
        <v>2.091105368027511E-3</v>
      </c>
      <c r="G182">
        <v>1</v>
      </c>
      <c r="H182" s="9">
        <f>'1_Du_lieu'!W97</f>
        <v>4.1303549997451334</v>
      </c>
      <c r="I182" s="9">
        <f>'1_Du_lieu'!L97</f>
        <v>3.5819999999999999</v>
      </c>
      <c r="J182" s="9">
        <f>'1_Du_lieu'!M97</f>
        <v>23.17</v>
      </c>
      <c r="K182" s="9">
        <f>'1_Du_lieu'!N97</f>
        <v>17.100000000000001</v>
      </c>
      <c r="N182" s="7">
        <f t="shared" si="45"/>
        <v>3.63851777899123E-2</v>
      </c>
      <c r="O182" s="7">
        <f t="shared" si="46"/>
        <v>4.4693351443354343</v>
      </c>
      <c r="P182" s="9">
        <f t="shared" si="47"/>
        <v>4.0253516907351496</v>
      </c>
      <c r="Q182" s="9">
        <f t="shared" si="48"/>
        <v>4.5519999999999996</v>
      </c>
      <c r="R182" s="9">
        <f t="shared" si="49"/>
        <v>39.07</v>
      </c>
      <c r="S182" s="9">
        <f t="shared" si="50"/>
        <v>16.600000000000001</v>
      </c>
    </row>
    <row r="183" spans="1:19" x14ac:dyDescent="0.25">
      <c r="A183" t="s">
        <v>121</v>
      </c>
      <c r="B183" s="6">
        <f>'3_Bang2_EBI_tuong_doi'!G30</f>
        <v>87.298662704309052</v>
      </c>
      <c r="C183" s="6">
        <f>'3_Bang2_EBI_tuong_doi'!G419</f>
        <v>112.62135922330098</v>
      </c>
      <c r="D183" s="7">
        <f t="shared" si="36"/>
        <v>4.4693351443354343</v>
      </c>
      <c r="E183" s="7">
        <f t="shared" si="37"/>
        <v>4.7240313888648204</v>
      </c>
      <c r="F183" s="7">
        <f t="shared" si="38"/>
        <v>3.63851777899123E-2</v>
      </c>
      <c r="G183">
        <v>1</v>
      </c>
      <c r="H183" s="9">
        <f>'1_Du_lieu'!W98</f>
        <v>4.0253516907351496</v>
      </c>
      <c r="I183" s="9">
        <f>'1_Du_lieu'!L98</f>
        <v>4.5519999999999996</v>
      </c>
      <c r="J183" s="9">
        <f>'1_Du_lieu'!M98</f>
        <v>39.07</v>
      </c>
      <c r="K183" s="9">
        <f>'1_Du_lieu'!N98</f>
        <v>16.600000000000001</v>
      </c>
      <c r="N183" s="7">
        <f t="shared" si="45"/>
        <v>-2.7033592058082107E-2</v>
      </c>
      <c r="O183" s="7">
        <f t="shared" si="46"/>
        <v>4.2201193527114498</v>
      </c>
      <c r="P183" s="9">
        <f t="shared" si="47"/>
        <v>3.6454498961866002</v>
      </c>
      <c r="Q183" s="9">
        <f t="shared" si="48"/>
        <v>2.25</v>
      </c>
      <c r="R183" s="9">
        <f t="shared" si="49"/>
        <v>20.34</v>
      </c>
      <c r="S183" s="9">
        <f t="shared" si="50"/>
        <v>19.8</v>
      </c>
    </row>
    <row r="184" spans="1:19" x14ac:dyDescent="0.25">
      <c r="A184" t="s">
        <v>122</v>
      </c>
      <c r="B184" s="6">
        <f>'3_Bang2_EBI_tuong_doi'!G31</f>
        <v>68.041604754829109</v>
      </c>
      <c r="C184" s="6">
        <f>'3_Bang2_EBI_tuong_doi'!G420</f>
        <v>56.310679611650492</v>
      </c>
      <c r="D184" s="7">
        <f t="shared" si="36"/>
        <v>4.2201193527114498</v>
      </c>
      <c r="E184" s="7">
        <f t="shared" si="37"/>
        <v>4.030884208304875</v>
      </c>
      <c r="F184" s="7">
        <f t="shared" si="38"/>
        <v>-2.7033592058082107E-2</v>
      </c>
      <c r="G184">
        <v>1</v>
      </c>
      <c r="H184" s="9">
        <f>'1_Du_lieu'!W99</f>
        <v>3.6454498961866002</v>
      </c>
      <c r="I184" s="9">
        <f>'1_Du_lieu'!L99</f>
        <v>2.25</v>
      </c>
      <c r="J184" s="9">
        <f>'1_Du_lieu'!M99</f>
        <v>20.34</v>
      </c>
      <c r="K184" s="9">
        <f>'1_Du_lieu'!N99</f>
        <v>19.8</v>
      </c>
      <c r="N184" s="7">
        <f t="shared" si="45"/>
        <v>7.4794029778485639E-3</v>
      </c>
      <c r="O184" s="7">
        <f t="shared" si="46"/>
        <v>4.6716755680198805</v>
      </c>
      <c r="P184" s="9">
        <f t="shared" si="47"/>
        <v>3.5524868292083815</v>
      </c>
      <c r="Q184" s="9">
        <f t="shared" si="48"/>
        <v>3.069</v>
      </c>
      <c r="R184" s="9">
        <f t="shared" si="49"/>
        <v>18.170000000000002</v>
      </c>
      <c r="S184" s="9">
        <f t="shared" si="50"/>
        <v>15.9</v>
      </c>
    </row>
    <row r="185" spans="1:19" x14ac:dyDescent="0.25">
      <c r="A185" t="s">
        <v>123</v>
      </c>
      <c r="B185" s="6">
        <f>'3_Bang2_EBI_tuong_doi'!G32</f>
        <v>106.87667161961365</v>
      </c>
      <c r="C185" s="6">
        <f>'3_Bang2_EBI_tuong_doi'!G421</f>
        <v>112.62135922330098</v>
      </c>
      <c r="D185" s="7">
        <f t="shared" si="36"/>
        <v>4.6716755680198805</v>
      </c>
      <c r="E185" s="7">
        <f t="shared" si="37"/>
        <v>4.7240313888648204</v>
      </c>
      <c r="F185" s="7">
        <f t="shared" si="38"/>
        <v>7.4794029778485639E-3</v>
      </c>
      <c r="G185">
        <v>1</v>
      </c>
      <c r="H185" s="9">
        <f>'1_Du_lieu'!W100</f>
        <v>3.5524868292083815</v>
      </c>
      <c r="I185" s="9">
        <f>'1_Du_lieu'!L100</f>
        <v>3.069</v>
      </c>
      <c r="J185" s="9">
        <f>'1_Du_lieu'!M100</f>
        <v>18.170000000000002</v>
      </c>
      <c r="K185" s="9">
        <f>'1_Du_lieu'!N100</f>
        <v>15.9</v>
      </c>
      <c r="N185" s="7">
        <f t="shared" si="45"/>
        <v>-4.7719316321400539E-3</v>
      </c>
      <c r="O185" s="7">
        <f t="shared" si="46"/>
        <v>4.5903808256266343</v>
      </c>
      <c r="P185" s="9">
        <f t="shared" si="47"/>
        <v>3.597312260588446</v>
      </c>
      <c r="Q185" s="9">
        <f t="shared" si="48"/>
        <v>3.5569999999999999</v>
      </c>
      <c r="R185" s="9">
        <f t="shared" si="49"/>
        <v>14.7</v>
      </c>
      <c r="S185" s="9">
        <f t="shared" si="50"/>
        <v>20.8</v>
      </c>
    </row>
    <row r="186" spans="1:19" x14ac:dyDescent="0.25">
      <c r="A186" t="s">
        <v>124</v>
      </c>
      <c r="B186" s="6">
        <f>'3_Bang2_EBI_tuong_doi'!G33</f>
        <v>98.531946508172339</v>
      </c>
      <c r="C186" s="6">
        <f>'3_Bang2_EBI_tuong_doi'!G422</f>
        <v>95.294996265870054</v>
      </c>
      <c r="D186" s="7">
        <f t="shared" si="36"/>
        <v>4.5903808256266343</v>
      </c>
      <c r="E186" s="7">
        <f t="shared" si="37"/>
        <v>4.5569773042016539</v>
      </c>
      <c r="F186" s="7">
        <f t="shared" si="38"/>
        <v>-4.7719316321400539E-3</v>
      </c>
      <c r="G186">
        <v>1</v>
      </c>
      <c r="H186" s="9">
        <f>'1_Du_lieu'!W101</f>
        <v>3.597312260588446</v>
      </c>
      <c r="I186" s="9">
        <f>'1_Du_lieu'!L101</f>
        <v>3.5569999999999999</v>
      </c>
      <c r="J186" s="9">
        <f>'1_Du_lieu'!M101</f>
        <v>14.7</v>
      </c>
      <c r="K186" s="9">
        <f>'1_Du_lieu'!N101</f>
        <v>20.8</v>
      </c>
      <c r="N186" s="7">
        <f t="shared" si="45"/>
        <v>1.2870878403969499E-2</v>
      </c>
      <c r="O186" s="7">
        <f t="shared" si="46"/>
        <v>4.5538925323634976</v>
      </c>
      <c r="P186" s="9">
        <f t="shared" si="47"/>
        <v>3.9945242269398897</v>
      </c>
      <c r="Q186" s="9">
        <f t="shared" si="48"/>
        <v>4.0529999999999999</v>
      </c>
      <c r="R186" s="9">
        <f t="shared" si="49"/>
        <v>20.64</v>
      </c>
      <c r="S186" s="9">
        <f t="shared" si="50"/>
        <v>27.4</v>
      </c>
    </row>
    <row r="187" spans="1:19" x14ac:dyDescent="0.25">
      <c r="A187" t="s">
        <v>125</v>
      </c>
      <c r="B187" s="6">
        <f>'3_Bang2_EBI_tuong_doi'!G34</f>
        <v>95.001485884101029</v>
      </c>
      <c r="C187" s="6">
        <f>'3_Bang2_EBI_tuong_doi'!G423</f>
        <v>103.95817774458551</v>
      </c>
      <c r="D187" s="7">
        <f t="shared" si="36"/>
        <v>4.5538925323634976</v>
      </c>
      <c r="E187" s="7">
        <f t="shared" si="37"/>
        <v>4.6439886811912841</v>
      </c>
      <c r="F187" s="7">
        <f t="shared" si="38"/>
        <v>1.2870878403969499E-2</v>
      </c>
      <c r="G187">
        <v>1</v>
      </c>
      <c r="H187" s="9">
        <f>'1_Du_lieu'!W102</f>
        <v>3.9945242269398897</v>
      </c>
      <c r="I187" s="9">
        <f>'1_Du_lieu'!L102</f>
        <v>4.0529999999999999</v>
      </c>
      <c r="J187" s="9">
        <f>'1_Du_lieu'!M102</f>
        <v>20.64</v>
      </c>
      <c r="K187" s="9">
        <f>'1_Du_lieu'!N102</f>
        <v>27.4</v>
      </c>
      <c r="N187" s="7">
        <f t="shared" si="45"/>
        <v>-1.3967767409629113E-2</v>
      </c>
      <c r="O187" s="7">
        <f t="shared" si="46"/>
        <v>4.3969225667669578</v>
      </c>
      <c r="P187" s="9">
        <f t="shared" si="47"/>
        <v>3.7773481021015445</v>
      </c>
      <c r="Q187" s="9">
        <f t="shared" si="48"/>
        <v>3.53</v>
      </c>
      <c r="R187" s="9">
        <f t="shared" si="49"/>
        <v>35.78</v>
      </c>
      <c r="S187" s="9">
        <f t="shared" si="50"/>
        <v>19.3</v>
      </c>
    </row>
    <row r="188" spans="1:19" x14ac:dyDescent="0.25">
      <c r="A188" t="s">
        <v>126</v>
      </c>
      <c r="B188" s="6">
        <f>'3_Bang2_EBI_tuong_doi'!G35</f>
        <v>81.200594353640412</v>
      </c>
      <c r="C188" s="6">
        <f>'3_Bang2_EBI_tuong_doi'!G424</f>
        <v>73.637042569081416</v>
      </c>
      <c r="D188" s="7">
        <f t="shared" si="36"/>
        <v>4.3969225667669578</v>
      </c>
      <c r="E188" s="7">
        <f t="shared" si="37"/>
        <v>4.299148194899554</v>
      </c>
      <c r="F188" s="7">
        <f t="shared" si="38"/>
        <v>-1.3967767409629113E-2</v>
      </c>
      <c r="G188">
        <v>1</v>
      </c>
      <c r="H188" s="9">
        <f>'1_Du_lieu'!W103</f>
        <v>3.7773481021015445</v>
      </c>
      <c r="I188" s="9">
        <f>'1_Du_lieu'!L103</f>
        <v>3.53</v>
      </c>
      <c r="J188" s="9">
        <f>'1_Du_lieu'!M103</f>
        <v>35.78</v>
      </c>
      <c r="K188" s="9">
        <f>'1_Du_lieu'!N103</f>
        <v>19.3</v>
      </c>
      <c r="N188" s="7">
        <f t="shared" si="45"/>
        <v>-7.9499567733229014E-4</v>
      </c>
      <c r="O188" s="7">
        <f t="shared" si="46"/>
        <v>4.5160222583080873</v>
      </c>
      <c r="P188" s="9">
        <f t="shared" si="47"/>
        <v>3.7495040759303713</v>
      </c>
      <c r="Q188" s="9">
        <f t="shared" si="48"/>
        <v>3.2570000000000001</v>
      </c>
      <c r="R188" s="9">
        <f t="shared" si="49"/>
        <v>18.309999999999999</v>
      </c>
      <c r="S188" s="9">
        <f t="shared" si="50"/>
        <v>21.8</v>
      </c>
    </row>
    <row r="189" spans="1:19" x14ac:dyDescent="0.25">
      <c r="A189" t="s">
        <v>127</v>
      </c>
      <c r="B189" s="6">
        <f>'3_Bang2_EBI_tuong_doi'!G36</f>
        <v>91.471025260029705</v>
      </c>
      <c r="C189" s="6">
        <f>'3_Bang2_EBI_tuong_doi'!G425</f>
        <v>90.963405526512332</v>
      </c>
      <c r="D189" s="7">
        <f t="shared" si="36"/>
        <v>4.5160222583080873</v>
      </c>
      <c r="E189" s="7">
        <f t="shared" si="37"/>
        <v>4.5104572885667613</v>
      </c>
      <c r="F189" s="7">
        <f t="shared" si="38"/>
        <v>-7.9499567733229014E-4</v>
      </c>
      <c r="G189">
        <v>1</v>
      </c>
      <c r="H189" s="9">
        <f>'1_Du_lieu'!W104</f>
        <v>3.7495040759303713</v>
      </c>
      <c r="I189" s="9">
        <f>'1_Du_lieu'!L104</f>
        <v>3.2570000000000001</v>
      </c>
      <c r="J189" s="9">
        <f>'1_Du_lieu'!M104</f>
        <v>18.309999999999999</v>
      </c>
      <c r="K189" s="9">
        <f>'1_Du_lieu'!N104</f>
        <v>21.8</v>
      </c>
      <c r="N189" s="7">
        <f t="shared" si="45"/>
        <v>-2.3191967424979105E-2</v>
      </c>
      <c r="O189" s="7">
        <f t="shared" si="46"/>
        <v>4.4008673450579732</v>
      </c>
      <c r="P189" s="9">
        <f t="shared" si="47"/>
        <v>3.7909846770510898</v>
      </c>
      <c r="Q189" s="9">
        <f t="shared" si="48"/>
        <v>2.9910000000000001</v>
      </c>
      <c r="R189" s="9">
        <f t="shared" si="49"/>
        <v>28.74</v>
      </c>
      <c r="S189" s="9">
        <f t="shared" si="50"/>
        <v>14.8</v>
      </c>
    </row>
    <row r="190" spans="1:19" x14ac:dyDescent="0.25">
      <c r="A190" t="s">
        <v>128</v>
      </c>
      <c r="B190" s="6">
        <f>'3_Bang2_EBI_tuong_doi'!G37</f>
        <v>81.521545319465062</v>
      </c>
      <c r="C190" s="6">
        <f>'3_Bang2_EBI_tuong_doi'!G426</f>
        <v>69.30545182972368</v>
      </c>
      <c r="D190" s="7">
        <f t="shared" ref="D190:D211" si="51">LN(B190)</f>
        <v>4.4008673450579732</v>
      </c>
      <c r="E190" s="7">
        <f t="shared" ref="E190:E211" si="52">LN(C190)</f>
        <v>4.2385235730831194</v>
      </c>
      <c r="F190" s="7">
        <f t="shared" ref="F190:F221" si="53">(E190-D190)/7</f>
        <v>-2.3191967424979105E-2</v>
      </c>
      <c r="G190">
        <v>1</v>
      </c>
      <c r="H190" s="9">
        <f>'1_Du_lieu'!W105</f>
        <v>3.7909846770510898</v>
      </c>
      <c r="I190" s="9">
        <f>'1_Du_lieu'!L105</f>
        <v>2.9910000000000001</v>
      </c>
      <c r="J190" s="9">
        <f>'1_Du_lieu'!M105</f>
        <v>28.74</v>
      </c>
      <c r="K190" s="9">
        <f>'1_Du_lieu'!N105</f>
        <v>14.8</v>
      </c>
      <c r="N190" s="7">
        <f t="shared" si="45"/>
        <v>-1.3967767409629113E-2</v>
      </c>
      <c r="O190" s="7">
        <f t="shared" si="46"/>
        <v>4.3969225667669578</v>
      </c>
      <c r="P190" s="9">
        <f t="shared" si="47"/>
        <v>3.6813511876931448</v>
      </c>
      <c r="Q190" s="9">
        <f t="shared" si="48"/>
        <v>4.5270000000000001</v>
      </c>
      <c r="R190" s="9">
        <f t="shared" si="49"/>
        <v>20.78</v>
      </c>
      <c r="S190" s="9">
        <f t="shared" si="50"/>
        <v>25.1</v>
      </c>
    </row>
    <row r="191" spans="1:19" x14ac:dyDescent="0.25">
      <c r="A191" t="s">
        <v>129</v>
      </c>
      <c r="B191" s="6">
        <f>'3_Bang2_EBI_tuong_doi'!G38</f>
        <v>81.200594353640412</v>
      </c>
      <c r="C191" s="6">
        <f>'3_Bang2_EBI_tuong_doi'!G427</f>
        <v>73.637042569081416</v>
      </c>
      <c r="D191" s="7">
        <f t="shared" si="51"/>
        <v>4.3969225667669578</v>
      </c>
      <c r="E191" s="7">
        <f t="shared" si="52"/>
        <v>4.299148194899554</v>
      </c>
      <c r="F191" s="7">
        <f t="shared" si="53"/>
        <v>-1.3967767409629113E-2</v>
      </c>
      <c r="G191">
        <v>1</v>
      </c>
      <c r="H191" s="9">
        <f>'1_Du_lieu'!W106</f>
        <v>3.6813511876931448</v>
      </c>
      <c r="I191" s="9">
        <f>'1_Du_lieu'!L106</f>
        <v>4.5270000000000001</v>
      </c>
      <c r="J191" s="9">
        <f>'1_Du_lieu'!M106</f>
        <v>20.78</v>
      </c>
      <c r="K191" s="9">
        <f>'1_Du_lieu'!N106</f>
        <v>25.1</v>
      </c>
      <c r="N191" s="7">
        <f t="shared" si="45"/>
        <v>-1.1231393701484167E-2</v>
      </c>
      <c r="O191" s="7">
        <f t="shared" si="46"/>
        <v>4.5402868803077183</v>
      </c>
      <c r="P191" s="9">
        <f t="shared" si="47"/>
        <v>4.1190371748124726</v>
      </c>
      <c r="Q191" s="9">
        <f t="shared" si="48"/>
        <v>4.3470000000000004</v>
      </c>
      <c r="R191" s="9">
        <f t="shared" si="49"/>
        <v>25.03</v>
      </c>
      <c r="S191" s="9">
        <f t="shared" si="50"/>
        <v>20.3</v>
      </c>
    </row>
    <row r="192" spans="1:19" x14ac:dyDescent="0.25">
      <c r="A192" t="s">
        <v>130</v>
      </c>
      <c r="B192" s="6">
        <f>'3_Bang2_EBI_tuong_doi'!G39</f>
        <v>93.717682020802357</v>
      </c>
      <c r="C192" s="6">
        <f>'3_Bang2_EBI_tuong_doi'!G428</f>
        <v>86.63181478715461</v>
      </c>
      <c r="D192" s="7">
        <f t="shared" si="51"/>
        <v>4.5402868803077183</v>
      </c>
      <c r="E192" s="7">
        <f t="shared" si="52"/>
        <v>4.4616671243973292</v>
      </c>
      <c r="F192" s="7">
        <f t="shared" si="53"/>
        <v>-1.1231393701484167E-2</v>
      </c>
      <c r="G192">
        <v>1</v>
      </c>
      <c r="H192" s="9">
        <f>'1_Du_lieu'!W107</f>
        <v>4.1190371748124726</v>
      </c>
      <c r="I192" s="9">
        <f>'1_Du_lieu'!L107</f>
        <v>4.3470000000000004</v>
      </c>
      <c r="J192" s="9">
        <f>'1_Du_lieu'!M107</f>
        <v>25.03</v>
      </c>
      <c r="K192" s="9">
        <f>'1_Du_lieu'!N107</f>
        <v>20.3</v>
      </c>
      <c r="N192" s="7">
        <f t="shared" si="45"/>
        <v>-1.5651761088492248E-2</v>
      </c>
      <c r="O192" s="7">
        <f t="shared" si="46"/>
        <v>4.4087105225189998</v>
      </c>
      <c r="P192" s="9">
        <f t="shared" si="47"/>
        <v>4.2150861799182291</v>
      </c>
      <c r="Q192" s="9">
        <f t="shared" si="48"/>
        <v>3.8380000000000001</v>
      </c>
      <c r="R192" s="9">
        <f t="shared" si="49"/>
        <v>16.18</v>
      </c>
      <c r="S192" s="9">
        <f t="shared" si="50"/>
        <v>18.2</v>
      </c>
    </row>
    <row r="193" spans="1:19" x14ac:dyDescent="0.25">
      <c r="A193" t="s">
        <v>131</v>
      </c>
      <c r="B193" s="6">
        <f>'3_Bang2_EBI_tuong_doi'!G40</f>
        <v>82.163447251114405</v>
      </c>
      <c r="C193" s="6">
        <f>'3_Bang2_EBI_tuong_doi'!G429</f>
        <v>73.637042569081416</v>
      </c>
      <c r="D193" s="7">
        <f t="shared" si="51"/>
        <v>4.4087105225189998</v>
      </c>
      <c r="E193" s="7">
        <f t="shared" si="52"/>
        <v>4.299148194899554</v>
      </c>
      <c r="F193" s="7">
        <f t="shared" si="53"/>
        <v>-1.5651761088492248E-2</v>
      </c>
      <c r="G193">
        <v>1</v>
      </c>
      <c r="H193" s="9">
        <f>'1_Du_lieu'!W108</f>
        <v>4.2150861799182291</v>
      </c>
      <c r="I193" s="9">
        <f>'1_Du_lieu'!L108</f>
        <v>3.8380000000000001</v>
      </c>
      <c r="J193" s="9">
        <f>'1_Du_lieu'!M108</f>
        <v>16.18</v>
      </c>
      <c r="K193" s="9">
        <f>'1_Du_lieu'!N108</f>
        <v>18.2</v>
      </c>
      <c r="N193" s="7">
        <f t="shared" si="45"/>
        <v>1.0076877132589932E-2</v>
      </c>
      <c r="O193" s="7">
        <f t="shared" si="46"/>
        <v>4.6534932489366909</v>
      </c>
      <c r="P193" s="9">
        <f t="shared" si="47"/>
        <v>4.8426110420031252</v>
      </c>
      <c r="Q193" s="9">
        <f t="shared" si="48"/>
        <v>6.484</v>
      </c>
      <c r="R193" s="9">
        <f t="shared" si="49"/>
        <v>63.05</v>
      </c>
      <c r="S193" s="9">
        <f t="shared" si="50"/>
        <v>35.6</v>
      </c>
    </row>
    <row r="194" spans="1:19" x14ac:dyDescent="0.25">
      <c r="A194" t="s">
        <v>132</v>
      </c>
      <c r="B194" s="6">
        <f>'3_Bang2_EBI_tuong_doi'!G41</f>
        <v>104.95096582466567</v>
      </c>
      <c r="C194" s="6">
        <f>'3_Bang2_EBI_tuong_doi'!G430</f>
        <v>112.62135922330098</v>
      </c>
      <c r="D194" s="7">
        <f t="shared" si="51"/>
        <v>4.6534932489366909</v>
      </c>
      <c r="E194" s="7">
        <f t="shared" si="52"/>
        <v>4.7240313888648204</v>
      </c>
      <c r="F194" s="7">
        <f t="shared" si="53"/>
        <v>1.0076877132589932E-2</v>
      </c>
      <c r="G194">
        <v>1</v>
      </c>
      <c r="H194" s="9">
        <f>'1_Du_lieu'!W109</f>
        <v>4.8426110420031252</v>
      </c>
      <c r="I194" s="9">
        <f>'1_Du_lieu'!L109</f>
        <v>6.484</v>
      </c>
      <c r="J194" s="9">
        <f>'1_Du_lieu'!M109</f>
        <v>63.05</v>
      </c>
      <c r="K194" s="9">
        <f>'1_Du_lieu'!N109</f>
        <v>35.6</v>
      </c>
      <c r="N194" s="7">
        <f t="shared" si="45"/>
        <v>-1.6208709719300378E-2</v>
      </c>
      <c r="O194" s="7">
        <f t="shared" si="46"/>
        <v>4.4126091629346567</v>
      </c>
      <c r="P194" s="9">
        <f t="shared" si="47"/>
        <v>3.8177123259569048</v>
      </c>
      <c r="Q194" s="9">
        <f t="shared" si="48"/>
        <v>4.1589999999999998</v>
      </c>
      <c r="R194" s="9">
        <f t="shared" si="49"/>
        <v>30.68</v>
      </c>
      <c r="S194" s="9">
        <f t="shared" si="50"/>
        <v>26</v>
      </c>
    </row>
    <row r="195" spans="1:19" x14ac:dyDescent="0.25">
      <c r="A195" t="s">
        <v>133</v>
      </c>
      <c r="B195" s="6">
        <f>'3_Bang2_EBI_tuong_doi'!G42</f>
        <v>82.48439821693907</v>
      </c>
      <c r="C195" s="6">
        <f>'3_Bang2_EBI_tuong_doi'!G431</f>
        <v>73.637042569081416</v>
      </c>
      <c r="D195" s="7">
        <f t="shared" si="51"/>
        <v>4.4126091629346567</v>
      </c>
      <c r="E195" s="7">
        <f t="shared" si="52"/>
        <v>4.299148194899554</v>
      </c>
      <c r="F195" s="7">
        <f t="shared" si="53"/>
        <v>-1.6208709719300378E-2</v>
      </c>
      <c r="G195">
        <v>1</v>
      </c>
      <c r="H195" s="9">
        <f>'1_Du_lieu'!W110</f>
        <v>3.8177123259569048</v>
      </c>
      <c r="I195" s="9">
        <f>'1_Du_lieu'!L110</f>
        <v>4.1589999999999998</v>
      </c>
      <c r="J195" s="9">
        <f>'1_Du_lieu'!M110</f>
        <v>30.68</v>
      </c>
      <c r="K195" s="9">
        <f>'1_Du_lieu'!N110</f>
        <v>26</v>
      </c>
      <c r="N195" s="7">
        <f t="shared" si="45"/>
        <v>5.7336157004182632E-2</v>
      </c>
      <c r="O195" s="7">
        <f t="shared" si="46"/>
        <v>5.5304898704686432</v>
      </c>
      <c r="P195" s="9">
        <f t="shared" si="47"/>
        <v>4.9330340480727042</v>
      </c>
      <c r="Q195" s="9">
        <f t="shared" si="48"/>
        <v>25.812999999999999</v>
      </c>
      <c r="R195" s="9">
        <f t="shared" si="49"/>
        <v>79.67</v>
      </c>
      <c r="S195" s="9">
        <f t="shared" si="50"/>
        <v>36.799999999999997</v>
      </c>
    </row>
    <row r="196" spans="1:19" x14ac:dyDescent="0.25">
      <c r="A196" t="s">
        <v>136</v>
      </c>
      <c r="B196" s="6">
        <f>'3_Bang2_EBI_tuong_doi'!G43</f>
        <v>252.26745913818718</v>
      </c>
      <c r="C196" s="6">
        <f>'3_Bang2_EBI_tuong_doi'!G433</f>
        <v>376.84839432412247</v>
      </c>
      <c r="D196" s="7">
        <f t="shared" si="51"/>
        <v>5.5304898704686432</v>
      </c>
      <c r="E196" s="7">
        <f t="shared" si="52"/>
        <v>5.9318429694979216</v>
      </c>
      <c r="F196" s="7">
        <f t="shared" si="53"/>
        <v>5.7336157004182632E-2</v>
      </c>
      <c r="G196">
        <v>1</v>
      </c>
      <c r="H196" s="9">
        <f>'1_Du_lieu'!W113</f>
        <v>4.9330340480727042</v>
      </c>
      <c r="I196" s="9">
        <f>'1_Du_lieu'!L113</f>
        <v>25.812999999999999</v>
      </c>
      <c r="J196" s="9">
        <f>'1_Du_lieu'!M113</f>
        <v>79.67</v>
      </c>
      <c r="K196" s="9">
        <f>'1_Du_lieu'!N113</f>
        <v>36.799999999999997</v>
      </c>
      <c r="N196" s="7">
        <f t="shared" si="45"/>
        <v>7.2743760561758209E-3</v>
      </c>
      <c r="O196" s="7">
        <f t="shared" si="46"/>
        <v>4.5505084343792568</v>
      </c>
      <c r="P196" s="9">
        <f t="shared" si="47"/>
        <v>3.6963514689526371</v>
      </c>
      <c r="Q196" s="9">
        <f t="shared" si="48"/>
        <v>3.0640000000000001</v>
      </c>
      <c r="R196" s="9">
        <f t="shared" si="49"/>
        <v>14.42</v>
      </c>
      <c r="S196" s="9">
        <f t="shared" si="50"/>
        <v>19.399999999999999</v>
      </c>
    </row>
    <row r="197" spans="1:19" x14ac:dyDescent="0.25">
      <c r="A197" t="s">
        <v>137</v>
      </c>
      <c r="B197" s="6">
        <f>'3_Bang2_EBI_tuong_doi'!G44</f>
        <v>94.680534918276365</v>
      </c>
      <c r="C197" s="6">
        <f>'3_Bang2_EBI_tuong_doi'!G434</f>
        <v>99.62658700522779</v>
      </c>
      <c r="D197" s="7">
        <f t="shared" si="51"/>
        <v>4.5505084343792568</v>
      </c>
      <c r="E197" s="7">
        <f t="shared" si="52"/>
        <v>4.6014290667724875</v>
      </c>
      <c r="F197" s="7">
        <f t="shared" si="53"/>
        <v>7.2743760561758209E-3</v>
      </c>
      <c r="G197">
        <v>1</v>
      </c>
      <c r="H197" s="9">
        <f>'1_Du_lieu'!W114</f>
        <v>3.6963514689526371</v>
      </c>
      <c r="I197" s="9">
        <f>'1_Du_lieu'!L114</f>
        <v>3.0640000000000001</v>
      </c>
      <c r="J197" s="9">
        <f>'1_Du_lieu'!M114</f>
        <v>14.42</v>
      </c>
      <c r="K197" s="9">
        <f>'1_Du_lieu'!N114</f>
        <v>19.399999999999999</v>
      </c>
      <c r="N197" s="7">
        <f t="shared" si="45"/>
        <v>6.8567612169970916E-3</v>
      </c>
      <c r="O197" s="7">
        <f t="shared" si="46"/>
        <v>4.5089799756826743</v>
      </c>
      <c r="P197" s="9">
        <f t="shared" si="47"/>
        <v>3.6888794541139363</v>
      </c>
      <c r="Q197" s="9">
        <f t="shared" si="48"/>
        <v>2.609</v>
      </c>
      <c r="R197" s="9">
        <f t="shared" si="49"/>
        <v>10.49</v>
      </c>
      <c r="S197" s="9">
        <f t="shared" si="50"/>
        <v>18.399999999999999</v>
      </c>
    </row>
    <row r="198" spans="1:19" x14ac:dyDescent="0.25">
      <c r="A198" t="s">
        <v>138</v>
      </c>
      <c r="B198" s="6">
        <f>'3_Bang2_EBI_tuong_doi'!G45</f>
        <v>90.829123328380376</v>
      </c>
      <c r="C198" s="6">
        <f>'3_Bang2_EBI_tuong_doi'!G435</f>
        <v>95.294996265870054</v>
      </c>
      <c r="D198" s="7">
        <f t="shared" si="51"/>
        <v>4.5089799756826743</v>
      </c>
      <c r="E198" s="7">
        <f t="shared" si="52"/>
        <v>4.5569773042016539</v>
      </c>
      <c r="F198" s="7">
        <f t="shared" si="53"/>
        <v>6.8567612169970916E-3</v>
      </c>
      <c r="G198">
        <v>1</v>
      </c>
      <c r="H198" s="9">
        <f>'1_Du_lieu'!W115</f>
        <v>3.6888794541139363</v>
      </c>
      <c r="I198" s="9">
        <f>'1_Du_lieu'!L115</f>
        <v>2.609</v>
      </c>
      <c r="J198" s="9">
        <f>'1_Du_lieu'!M115</f>
        <v>10.49</v>
      </c>
      <c r="K198" s="9">
        <f>'1_Du_lieu'!N115</f>
        <v>18.399999999999999</v>
      </c>
      <c r="N198" s="7">
        <f t="shared" si="45"/>
        <v>9.8149941209241722E-3</v>
      </c>
      <c r="O198" s="7">
        <f t="shared" si="46"/>
        <v>4.3929621655508599</v>
      </c>
      <c r="P198" s="9">
        <f t="shared" si="47"/>
        <v>4.4391156016580089</v>
      </c>
      <c r="Q198" s="9">
        <f t="shared" si="48"/>
        <v>3.3250000000000002</v>
      </c>
      <c r="R198" s="9">
        <f t="shared" si="49"/>
        <v>31.82</v>
      </c>
      <c r="S198" s="9">
        <f t="shared" si="50"/>
        <v>24.7</v>
      </c>
    </row>
    <row r="199" spans="1:19" x14ac:dyDescent="0.25">
      <c r="A199" t="s">
        <v>139</v>
      </c>
      <c r="B199" s="6">
        <f>'3_Bang2_EBI_tuong_doi'!G46</f>
        <v>80.879643387815733</v>
      </c>
      <c r="C199" s="6">
        <f>'3_Bang2_EBI_tuong_doi'!G436</f>
        <v>86.63181478715461</v>
      </c>
      <c r="D199" s="7">
        <f t="shared" si="51"/>
        <v>4.3929621655508599</v>
      </c>
      <c r="E199" s="7">
        <f t="shared" si="52"/>
        <v>4.4616671243973292</v>
      </c>
      <c r="F199" s="7">
        <f t="shared" si="53"/>
        <v>9.8149941209241722E-3</v>
      </c>
      <c r="G199">
        <v>1</v>
      </c>
      <c r="H199" s="9">
        <f>'1_Du_lieu'!W116</f>
        <v>4.4391156016580089</v>
      </c>
      <c r="I199" s="9">
        <f>'1_Du_lieu'!L116</f>
        <v>3.3250000000000002</v>
      </c>
      <c r="J199" s="9">
        <f>'1_Du_lieu'!M116</f>
        <v>31.82</v>
      </c>
      <c r="K199" s="9">
        <f>'1_Du_lieu'!N116</f>
        <v>24.7</v>
      </c>
      <c r="N199" s="7">
        <f t="shared" si="45"/>
        <v>-1.2029728151491424E-2</v>
      </c>
      <c r="O199" s="7">
        <f t="shared" si="46"/>
        <v>4.6411854012620939</v>
      </c>
      <c r="P199" s="9">
        <f t="shared" si="47"/>
        <v>3.7495040759303713</v>
      </c>
      <c r="Q199" s="9">
        <f t="shared" si="48"/>
        <v>3.8239999999999998</v>
      </c>
      <c r="R199" s="9">
        <f t="shared" si="49"/>
        <v>48.7</v>
      </c>
      <c r="S199" s="9">
        <f t="shared" si="50"/>
        <v>22.7</v>
      </c>
    </row>
    <row r="200" spans="1:19" x14ac:dyDescent="0.25">
      <c r="A200" t="s">
        <v>140</v>
      </c>
      <c r="B200" s="6">
        <f>'3_Bang2_EBI_tuong_doi'!G47</f>
        <v>103.66716196136699</v>
      </c>
      <c r="C200" s="6">
        <f>'3_Bang2_EBI_tuong_doi'!G437</f>
        <v>95.294996265870054</v>
      </c>
      <c r="D200" s="7">
        <f t="shared" si="51"/>
        <v>4.6411854012620939</v>
      </c>
      <c r="E200" s="7">
        <f t="shared" si="52"/>
        <v>4.5569773042016539</v>
      </c>
      <c r="F200" s="7">
        <f t="shared" si="53"/>
        <v>-1.2029728151491424E-2</v>
      </c>
      <c r="G200">
        <v>1</v>
      </c>
      <c r="H200" s="9">
        <f>'1_Du_lieu'!W117</f>
        <v>3.7495040759303713</v>
      </c>
      <c r="I200" s="9">
        <f>'1_Du_lieu'!L117</f>
        <v>3.8239999999999998</v>
      </c>
      <c r="J200" s="9">
        <f>'1_Du_lieu'!M117</f>
        <v>48.7</v>
      </c>
      <c r="K200" s="9">
        <f>'1_Du_lieu'!N117</f>
        <v>22.7</v>
      </c>
      <c r="N200" s="7">
        <f t="shared" si="45"/>
        <v>-2.3258120305465368E-2</v>
      </c>
      <c r="O200" s="7">
        <f t="shared" si="46"/>
        <v>4.4619550370378116</v>
      </c>
      <c r="P200" s="9">
        <f t="shared" si="47"/>
        <v>3.9219733362813143</v>
      </c>
      <c r="Q200" s="9">
        <f t="shared" si="48"/>
        <v>2.4710000000000001</v>
      </c>
      <c r="R200" s="9">
        <f t="shared" si="49"/>
        <v>14</v>
      </c>
      <c r="S200" s="9">
        <f t="shared" si="50"/>
        <v>11.8</v>
      </c>
    </row>
    <row r="201" spans="1:19" x14ac:dyDescent="0.25">
      <c r="A201" t="s">
        <v>141</v>
      </c>
      <c r="B201" s="6">
        <f>'3_Bang2_EBI_tuong_doi'!G48</f>
        <v>86.656760772659723</v>
      </c>
      <c r="C201" s="6">
        <f>'3_Bang2_EBI_tuong_doi'!G438</f>
        <v>73.637042569081416</v>
      </c>
      <c r="D201" s="7">
        <f t="shared" si="51"/>
        <v>4.4619550370378116</v>
      </c>
      <c r="E201" s="7">
        <f t="shared" si="52"/>
        <v>4.299148194899554</v>
      </c>
      <c r="F201" s="7">
        <f t="shared" si="53"/>
        <v>-2.3258120305465368E-2</v>
      </c>
      <c r="G201">
        <v>1</v>
      </c>
      <c r="H201" s="9">
        <f>'1_Du_lieu'!W118</f>
        <v>3.9219733362813143</v>
      </c>
      <c r="I201" s="9">
        <f>'1_Du_lieu'!L118</f>
        <v>2.4710000000000001</v>
      </c>
      <c r="J201" s="9">
        <f>'1_Du_lieu'!M118</f>
        <v>14</v>
      </c>
      <c r="K201" s="9">
        <f>'1_Du_lieu'!N118</f>
        <v>11.8</v>
      </c>
      <c r="N201" s="7">
        <f t="shared" si="45"/>
        <v>-4.5603218370909762E-2</v>
      </c>
      <c r="O201" s="7">
        <f t="shared" si="46"/>
        <v>4.4242147090549651</v>
      </c>
      <c r="P201" s="9">
        <f t="shared" si="47"/>
        <v>3.9796816539019608</v>
      </c>
      <c r="Q201" s="9">
        <f t="shared" si="48"/>
        <v>1.8620000000000001</v>
      </c>
      <c r="R201" s="9">
        <f t="shared" si="49"/>
        <v>17.05</v>
      </c>
      <c r="S201" s="9">
        <f t="shared" si="50"/>
        <v>10.9</v>
      </c>
    </row>
    <row r="202" spans="1:19" x14ac:dyDescent="0.25">
      <c r="A202" t="s">
        <v>142</v>
      </c>
      <c r="B202" s="6">
        <f>'3_Bang2_EBI_tuong_doi'!G49</f>
        <v>83.447251114413064</v>
      </c>
      <c r="C202" s="6">
        <f>'3_Bang2_EBI_tuong_doi'!G439</f>
        <v>60.642270351008221</v>
      </c>
      <c r="D202" s="7">
        <f t="shared" si="51"/>
        <v>4.4242147090549651</v>
      </c>
      <c r="E202" s="7">
        <f t="shared" si="52"/>
        <v>4.1049921804585967</v>
      </c>
      <c r="F202" s="7">
        <f t="shared" si="53"/>
        <v>-4.5603218370909762E-2</v>
      </c>
      <c r="G202">
        <v>1</v>
      </c>
      <c r="H202" s="9">
        <f>'1_Du_lieu'!W119</f>
        <v>3.9796816539019608</v>
      </c>
      <c r="I202" s="9">
        <f>'1_Du_lieu'!L119</f>
        <v>1.8620000000000001</v>
      </c>
      <c r="J202" s="9">
        <f>'1_Du_lieu'!M119</f>
        <v>17.05</v>
      </c>
      <c r="K202" s="9">
        <f>'1_Du_lieu'!N119</f>
        <v>10.9</v>
      </c>
      <c r="N202" s="7">
        <f t="shared" si="45"/>
        <v>-3.9912320200124619E-2</v>
      </c>
      <c r="O202" s="7">
        <f t="shared" si="46"/>
        <v>4.3102704497057474</v>
      </c>
      <c r="P202" s="9">
        <f t="shared" si="47"/>
        <v>3.5890591188317256</v>
      </c>
      <c r="Q202" s="9">
        <f t="shared" si="48"/>
        <v>1.6379999999999999</v>
      </c>
      <c r="R202" s="9">
        <f t="shared" si="49"/>
        <v>13.74</v>
      </c>
      <c r="S202" s="9">
        <f t="shared" si="50"/>
        <v>19.399999999999999</v>
      </c>
    </row>
    <row r="203" spans="1:19" x14ac:dyDescent="0.25">
      <c r="A203" t="s">
        <v>143</v>
      </c>
      <c r="B203" s="6">
        <f>'3_Bang2_EBI_tuong_doi'!G50</f>
        <v>74.460624071322428</v>
      </c>
      <c r="C203" s="6">
        <f>'3_Bang2_EBI_tuong_doi'!G440</f>
        <v>56.310679611650492</v>
      </c>
      <c r="D203" s="7">
        <f t="shared" si="51"/>
        <v>4.3102704497057474</v>
      </c>
      <c r="E203" s="7">
        <f t="shared" si="52"/>
        <v>4.030884208304875</v>
      </c>
      <c r="F203" s="7">
        <f t="shared" si="53"/>
        <v>-3.9912320200124619E-2</v>
      </c>
      <c r="G203">
        <v>1</v>
      </c>
      <c r="H203" s="9">
        <f>'1_Du_lieu'!W120</f>
        <v>3.5890591188317256</v>
      </c>
      <c r="I203" s="9">
        <f>'1_Du_lieu'!L120</f>
        <v>1.6379999999999999</v>
      </c>
      <c r="J203" s="9">
        <f>'1_Du_lieu'!M120</f>
        <v>13.74</v>
      </c>
      <c r="K203" s="9">
        <f>'1_Du_lieu'!N120</f>
        <v>19.399999999999999</v>
      </c>
      <c r="N203" s="7">
        <f t="shared" si="45"/>
        <v>-2.6179861571890357E-2</v>
      </c>
      <c r="O203" s="7">
        <f t="shared" si="46"/>
        <v>4.5936328610130115</v>
      </c>
      <c r="P203" s="9">
        <f t="shared" si="47"/>
        <v>4.133565275375382</v>
      </c>
      <c r="Q203" s="9">
        <f t="shared" si="48"/>
        <v>3.31</v>
      </c>
      <c r="R203" s="9">
        <f t="shared" si="49"/>
        <v>17.899999999999999</v>
      </c>
      <c r="S203" s="9">
        <f t="shared" si="50"/>
        <v>14.8</v>
      </c>
    </row>
    <row r="204" spans="1:19" x14ac:dyDescent="0.25">
      <c r="A204" t="s">
        <v>144</v>
      </c>
      <c r="B204" s="6">
        <f>'3_Bang2_EBI_tuong_doi'!G51</f>
        <v>98.852897473997018</v>
      </c>
      <c r="C204" s="6">
        <f>'3_Bang2_EBI_tuong_doi'!G441</f>
        <v>82.30022404779686</v>
      </c>
      <c r="D204" s="7">
        <f t="shared" si="51"/>
        <v>4.5936328610130115</v>
      </c>
      <c r="E204" s="7">
        <f t="shared" si="52"/>
        <v>4.410373830009779</v>
      </c>
      <c r="F204" s="7">
        <f t="shared" si="53"/>
        <v>-2.6179861571890357E-2</v>
      </c>
      <c r="G204">
        <v>1</v>
      </c>
      <c r="H204" s="9">
        <f>'1_Du_lieu'!W121</f>
        <v>4.133565275375382</v>
      </c>
      <c r="I204" s="9">
        <f>'1_Du_lieu'!L121</f>
        <v>3.31</v>
      </c>
      <c r="J204" s="9">
        <f>'1_Du_lieu'!M121</f>
        <v>17.899999999999999</v>
      </c>
      <c r="K204" s="9">
        <f>'1_Du_lieu'!N121</f>
        <v>14.8</v>
      </c>
      <c r="N204" s="7">
        <f t="shared" si="45"/>
        <v>-4.8107040961742342E-3</v>
      </c>
      <c r="O204" s="7">
        <f t="shared" si="46"/>
        <v>4.6776636098645037</v>
      </c>
      <c r="P204" s="9">
        <f t="shared" si="47"/>
        <v>4.5485998344996972</v>
      </c>
      <c r="Q204" s="9">
        <f t="shared" si="48"/>
        <v>5.62</v>
      </c>
      <c r="R204" s="9">
        <f t="shared" si="49"/>
        <v>25.05</v>
      </c>
      <c r="S204" s="9">
        <f t="shared" si="50"/>
        <v>22.4</v>
      </c>
    </row>
    <row r="205" spans="1:19" x14ac:dyDescent="0.25">
      <c r="A205" t="s">
        <v>146</v>
      </c>
      <c r="B205" s="6">
        <f>'3_Bang2_EBI_tuong_doi'!G52</f>
        <v>107.518573551263</v>
      </c>
      <c r="C205" s="6">
        <f>'3_Bang2_EBI_tuong_doi'!G443</f>
        <v>103.95817774458551</v>
      </c>
      <c r="D205" s="7">
        <f t="shared" si="51"/>
        <v>4.6776636098645037</v>
      </c>
      <c r="E205" s="7">
        <f t="shared" si="52"/>
        <v>4.6439886811912841</v>
      </c>
      <c r="F205" s="7">
        <f t="shared" si="53"/>
        <v>-4.8107040961742342E-3</v>
      </c>
      <c r="G205">
        <v>1</v>
      </c>
      <c r="H205" s="9">
        <f>'1_Du_lieu'!W123</f>
        <v>4.5485998344996972</v>
      </c>
      <c r="I205" s="9">
        <f>'1_Du_lieu'!L123</f>
        <v>5.62</v>
      </c>
      <c r="J205" s="9">
        <f>'1_Du_lieu'!M123</f>
        <v>25.05</v>
      </c>
      <c r="K205" s="9">
        <f>'1_Du_lieu'!N123</f>
        <v>22.4</v>
      </c>
      <c r="N205" s="7">
        <f t="shared" si="45"/>
        <v>-3.2371576959424483E-2</v>
      </c>
      <c r="O205" s="7">
        <f t="shared" si="46"/>
        <v>4.3315932191745681</v>
      </c>
      <c r="P205" s="9">
        <f t="shared" si="47"/>
        <v>3.5234150143864045</v>
      </c>
      <c r="Q205" s="9">
        <f t="shared" si="48"/>
        <v>1.857</v>
      </c>
      <c r="R205" s="9">
        <f t="shared" si="49"/>
        <v>19.87</v>
      </c>
      <c r="S205" s="9">
        <f t="shared" si="50"/>
        <v>20</v>
      </c>
    </row>
    <row r="206" spans="1:19" x14ac:dyDescent="0.25">
      <c r="A206" t="s">
        <v>147</v>
      </c>
      <c r="B206" s="6">
        <f>'3_Bang2_EBI_tuong_doi'!G53</f>
        <v>76.065378900445751</v>
      </c>
      <c r="C206" s="6">
        <f>'3_Bang2_EBI_tuong_doi'!G444</f>
        <v>60.642270351008221</v>
      </c>
      <c r="D206" s="7">
        <f t="shared" si="51"/>
        <v>4.3315932191745681</v>
      </c>
      <c r="E206" s="7">
        <f t="shared" si="52"/>
        <v>4.1049921804585967</v>
      </c>
      <c r="F206" s="7">
        <f t="shared" si="53"/>
        <v>-3.2371576959424483E-2</v>
      </c>
      <c r="G206">
        <v>1</v>
      </c>
      <c r="H206" s="9">
        <f>'1_Du_lieu'!W124</f>
        <v>3.5234150143864045</v>
      </c>
      <c r="I206" s="9">
        <f>'1_Du_lieu'!L124</f>
        <v>1.857</v>
      </c>
      <c r="J206" s="9">
        <f>'1_Du_lieu'!M124</f>
        <v>19.87</v>
      </c>
      <c r="K206" s="9">
        <f>'1_Du_lieu'!N124</f>
        <v>20</v>
      </c>
      <c r="N206" s="7">
        <f t="shared" si="45"/>
        <v>2.6207584401099764E-2</v>
      </c>
      <c r="O206" s="7">
        <f t="shared" si="46"/>
        <v>5.1326293617456988</v>
      </c>
      <c r="P206" s="9">
        <f t="shared" si="47"/>
        <v>4.5108595065168497</v>
      </c>
      <c r="Q206" s="9">
        <f t="shared" si="48"/>
        <v>18.283000000000001</v>
      </c>
      <c r="R206" s="9">
        <f t="shared" si="49"/>
        <v>87.12</v>
      </c>
      <c r="S206" s="9">
        <f t="shared" si="50"/>
        <v>42.6</v>
      </c>
    </row>
    <row r="207" spans="1:19" x14ac:dyDescent="0.25">
      <c r="A207" t="s">
        <v>149</v>
      </c>
      <c r="B207" s="6">
        <f>'3_Bang2_EBI_tuong_doi'!G54</f>
        <v>169.46210995542344</v>
      </c>
      <c r="C207" s="6">
        <f>'3_Bang2_EBI_tuong_doi'!G445</f>
        <v>203.58476474981333</v>
      </c>
      <c r="D207" s="7">
        <f t="shared" si="51"/>
        <v>5.1326293617456988</v>
      </c>
      <c r="E207" s="7">
        <f t="shared" si="52"/>
        <v>5.3160824525533972</v>
      </c>
      <c r="F207" s="7">
        <f t="shared" si="53"/>
        <v>2.6207584401099764E-2</v>
      </c>
      <c r="G207">
        <v>1</v>
      </c>
      <c r="H207" s="9">
        <f>'1_Du_lieu'!W126</f>
        <v>4.5108595065168497</v>
      </c>
      <c r="I207" s="9">
        <f>'1_Du_lieu'!L126</f>
        <v>18.283000000000001</v>
      </c>
      <c r="J207" s="9">
        <f>'1_Du_lieu'!M126</f>
        <v>87.12</v>
      </c>
      <c r="K207" s="9">
        <f>'1_Du_lieu'!N126</f>
        <v>42.6</v>
      </c>
      <c r="N207" s="7">
        <f t="shared" si="45"/>
        <v>1.4220188485614951E-2</v>
      </c>
      <c r="O207" s="7">
        <f t="shared" si="46"/>
        <v>4.5018877473731829</v>
      </c>
      <c r="P207" s="9">
        <f t="shared" si="47"/>
        <v>3.6661224669913199</v>
      </c>
      <c r="Q207" s="9">
        <f t="shared" si="48"/>
        <v>2.94</v>
      </c>
      <c r="R207" s="9">
        <f t="shared" si="49"/>
        <v>24.66</v>
      </c>
      <c r="S207" s="9">
        <f t="shared" si="50"/>
        <v>14.5</v>
      </c>
    </row>
    <row r="208" spans="1:19" x14ac:dyDescent="0.25">
      <c r="A208" t="s">
        <v>150</v>
      </c>
      <c r="B208" s="6">
        <f>'3_Bang2_EBI_tuong_doi'!G55</f>
        <v>90.187221396731047</v>
      </c>
      <c r="C208" s="6">
        <f>'3_Bang2_EBI_tuong_doi'!G446</f>
        <v>99.62658700522779</v>
      </c>
      <c r="D208" s="7">
        <f t="shared" si="51"/>
        <v>4.5018877473731829</v>
      </c>
      <c r="E208" s="7">
        <f t="shared" si="52"/>
        <v>4.6014290667724875</v>
      </c>
      <c r="F208" s="7">
        <f t="shared" si="53"/>
        <v>1.4220188485614951E-2</v>
      </c>
      <c r="G208">
        <v>1</v>
      </c>
      <c r="H208" s="9">
        <f>'1_Du_lieu'!W127</f>
        <v>3.6661224669913199</v>
      </c>
      <c r="I208" s="9">
        <f>'1_Du_lieu'!L127</f>
        <v>2.94</v>
      </c>
      <c r="J208" s="9">
        <f>'1_Du_lieu'!M127</f>
        <v>24.66</v>
      </c>
      <c r="K208" s="9">
        <f>'1_Du_lieu'!N127</f>
        <v>14.5</v>
      </c>
      <c r="N208" s="7">
        <f t="shared" si="45"/>
        <v>-4.5940942270178323E-2</v>
      </c>
      <c r="O208" s="7">
        <f t="shared" si="46"/>
        <v>4.3524708041961233</v>
      </c>
      <c r="P208" s="9">
        <f t="shared" si="47"/>
        <v>3.784189633918261</v>
      </c>
      <c r="Q208" s="9">
        <f t="shared" si="48"/>
        <v>3.1779999999999999</v>
      </c>
      <c r="R208" s="9">
        <f t="shared" si="49"/>
        <v>15.23</v>
      </c>
      <c r="S208" s="9">
        <f t="shared" si="50"/>
        <v>13.9</v>
      </c>
    </row>
    <row r="209" spans="1:19" x14ac:dyDescent="0.25">
      <c r="A209" t="s">
        <v>151</v>
      </c>
      <c r="B209" s="6">
        <f>'3_Bang2_EBI_tuong_doi'!G56</f>
        <v>77.670133729569073</v>
      </c>
      <c r="C209" s="6">
        <f>'3_Bang2_EBI_tuong_doi'!G447</f>
        <v>56.310679611650492</v>
      </c>
      <c r="D209" s="7">
        <f t="shared" si="51"/>
        <v>4.3524708041961233</v>
      </c>
      <c r="E209" s="7">
        <f t="shared" si="52"/>
        <v>4.030884208304875</v>
      </c>
      <c r="F209" s="7">
        <f t="shared" si="53"/>
        <v>-4.5940942270178323E-2</v>
      </c>
      <c r="G209">
        <v>1</v>
      </c>
      <c r="H209" s="9">
        <f>'1_Du_lieu'!W128</f>
        <v>3.784189633918261</v>
      </c>
      <c r="I209" s="9">
        <f>'1_Du_lieu'!L128</f>
        <v>3.1779999999999999</v>
      </c>
      <c r="J209" s="9">
        <f>'1_Du_lieu'!M128</f>
        <v>15.23</v>
      </c>
      <c r="K209" s="9">
        <f>'1_Du_lieu'!N128</f>
        <v>13.9</v>
      </c>
      <c r="N209" s="7">
        <f t="shared" si="45"/>
        <v>1.4033900915926647E-2</v>
      </c>
      <c r="O209" s="7">
        <f t="shared" si="46"/>
        <v>4.7688949260940072</v>
      </c>
      <c r="P209" s="9">
        <f t="shared" si="47"/>
        <v>4.6356993910229143</v>
      </c>
      <c r="Q209" s="9">
        <f t="shared" si="48"/>
        <v>6.9340000000000002</v>
      </c>
      <c r="R209" s="9">
        <f t="shared" si="49"/>
        <v>32.94</v>
      </c>
      <c r="S209" s="9">
        <f t="shared" si="50"/>
        <v>20.100000000000001</v>
      </c>
    </row>
    <row r="210" spans="1:19" x14ac:dyDescent="0.25">
      <c r="A210" t="s">
        <v>152</v>
      </c>
      <c r="B210" s="6">
        <f>'3_Bang2_EBI_tuong_doi'!G57</f>
        <v>117.7890044576523</v>
      </c>
      <c r="C210" s="6">
        <f>'3_Bang2_EBI_tuong_doi'!G448</f>
        <v>129.94772218073189</v>
      </c>
      <c r="D210" s="7">
        <f t="shared" si="51"/>
        <v>4.7688949260940072</v>
      </c>
      <c r="E210" s="7">
        <f t="shared" si="52"/>
        <v>4.8671322325054938</v>
      </c>
      <c r="F210" s="7">
        <f t="shared" si="53"/>
        <v>1.4033900915926647E-2</v>
      </c>
      <c r="G210">
        <v>1</v>
      </c>
      <c r="H210" s="9">
        <f>'1_Du_lieu'!W129</f>
        <v>4.6356993910229143</v>
      </c>
      <c r="I210" s="9">
        <f>'1_Du_lieu'!L129</f>
        <v>6.9340000000000002</v>
      </c>
      <c r="J210" s="9">
        <f>'1_Du_lieu'!M129</f>
        <v>32.94</v>
      </c>
      <c r="K210" s="9">
        <f>'1_Du_lieu'!N129</f>
        <v>20.100000000000001</v>
      </c>
      <c r="N210" s="7">
        <f t="shared" si="45"/>
        <v>-6.8386610902138045E-3</v>
      </c>
      <c r="O210" s="7">
        <f t="shared" si="46"/>
        <v>4.4582444576412756</v>
      </c>
      <c r="P210" s="9">
        <f t="shared" si="47"/>
        <v>3.858622228701031</v>
      </c>
      <c r="Q210" s="9">
        <f t="shared" si="48"/>
        <v>2.0329999999999999</v>
      </c>
      <c r="R210" s="9">
        <f t="shared" si="49"/>
        <v>18.2</v>
      </c>
      <c r="S210" s="9">
        <f t="shared" si="50"/>
        <v>11.4</v>
      </c>
    </row>
    <row r="211" spans="1:19" x14ac:dyDescent="0.25">
      <c r="A211" t="s">
        <v>153</v>
      </c>
      <c r="B211" s="6">
        <f>'3_Bang2_EBI_tuong_doi'!G58</f>
        <v>86.335809806835044</v>
      </c>
      <c r="C211" s="6">
        <f>'3_Bang2_EBI_tuong_doi'!G449</f>
        <v>82.30022404779686</v>
      </c>
      <c r="D211" s="7">
        <f t="shared" si="51"/>
        <v>4.4582444576412756</v>
      </c>
      <c r="E211" s="7">
        <f t="shared" si="52"/>
        <v>4.410373830009779</v>
      </c>
      <c r="F211" s="7">
        <f t="shared" si="53"/>
        <v>-6.8386610902138045E-3</v>
      </c>
      <c r="G211">
        <v>1</v>
      </c>
      <c r="H211" s="9">
        <f>'1_Du_lieu'!W130</f>
        <v>3.858622228701031</v>
      </c>
      <c r="I211" s="9">
        <f>'1_Du_lieu'!L130</f>
        <v>2.0329999999999999</v>
      </c>
      <c r="J211" s="9">
        <f>'1_Du_lieu'!M130</f>
        <v>18.2</v>
      </c>
      <c r="K211" s="9">
        <f>'1_Du_lieu'!N130</f>
        <v>11.4</v>
      </c>
    </row>
    <row r="213" spans="1:19" x14ac:dyDescent="0.25">
      <c r="A213" s="14" t="s">
        <v>328</v>
      </c>
      <c r="B213" s="14" t="s">
        <v>329</v>
      </c>
      <c r="C213" s="14" t="s">
        <v>330</v>
      </c>
      <c r="D213" s="14" t="s">
        <v>331</v>
      </c>
    </row>
    <row r="214" spans="1:19" x14ac:dyDescent="0.25">
      <c r="A214" s="10" t="s">
        <v>157</v>
      </c>
      <c r="B214" s="7">
        <f>COUNT($F$158:$F$211)</f>
        <v>54</v>
      </c>
      <c r="C214" s="7">
        <f>COUNT($N$158:$N$210)</f>
        <v>53</v>
      </c>
    </row>
    <row r="215" spans="1:19" x14ac:dyDescent="0.25">
      <c r="A215" s="10" t="s">
        <v>332</v>
      </c>
      <c r="B215" s="12">
        <f>SLOPE($F$158:$F$211,$D$158:$D$211)</f>
        <v>7.0547531320928558E-2</v>
      </c>
      <c r="C215" s="12">
        <f>INDEX(LINEST($N$158:$N$210,$O$158:$S$210,TRUE,TRUE),1,5)</f>
        <v>5.0286145434377101E-2</v>
      </c>
      <c r="D215" t="s">
        <v>333</v>
      </c>
    </row>
    <row r="216" spans="1:19" x14ac:dyDescent="0.25">
      <c r="A216" s="10" t="s">
        <v>334</v>
      </c>
      <c r="B216" s="7">
        <f>INTERCEPT($F$158:$F$211,$D$158:$D$211)</f>
        <v>-0.32716144376477613</v>
      </c>
      <c r="C216" s="7">
        <f>INDEX(LINEST($N$158:$N$210,$O$158:$S$210,TRUE,TRUE),1,6)</f>
        <v>-0.27367048775337666</v>
      </c>
    </row>
    <row r="217" spans="1:19" x14ac:dyDescent="0.25">
      <c r="A217" s="10" t="s">
        <v>335</v>
      </c>
      <c r="B217" s="7">
        <f>INDEX(LINEST($F$158:$F$211,$D$158:$D$211,TRUE,TRUE),2,1)</f>
        <v>9.9877309145013221E-3</v>
      </c>
      <c r="C217" s="7">
        <f>INDEX(LINEST($N$158:$N$210,$O$158:$S$210,TRUE,TRUE),2,5)</f>
        <v>2.6421787637421815E-2</v>
      </c>
      <c r="D217" t="s">
        <v>336</v>
      </c>
    </row>
    <row r="218" spans="1:19" x14ac:dyDescent="0.25">
      <c r="A218" s="10" t="s">
        <v>337</v>
      </c>
      <c r="B218" s="18">
        <v>8.0399932438176003E-3</v>
      </c>
      <c r="C218" s="18">
        <v>2.3216537060005302E-2</v>
      </c>
      <c r="D218" t="s">
        <v>338</v>
      </c>
    </row>
    <row r="219" spans="1:19" x14ac:dyDescent="0.25">
      <c r="A219" s="10" t="s">
        <v>339</v>
      </c>
      <c r="B219" s="18">
        <v>1.715490692761825E-18</v>
      </c>
      <c r="C219" s="18">
        <v>3.0314063228207899E-2</v>
      </c>
      <c r="D219" t="s">
        <v>340</v>
      </c>
    </row>
    <row r="220" spans="1:19" x14ac:dyDescent="0.25">
      <c r="A220" s="10" t="s">
        <v>341</v>
      </c>
      <c r="B220" s="12">
        <f>RSQ($F$158:$F$211,$D$158:$D$211)</f>
        <v>0.48965517411014192</v>
      </c>
      <c r="C220" s="12">
        <f>INDEX(LINEST($N$158:$N$210,$O$158:$S$210,TRUE,TRUE),3,1)</f>
        <v>0.53473782174505524</v>
      </c>
    </row>
    <row r="221" spans="1:19" x14ac:dyDescent="0.25">
      <c r="A221" s="10" t="s">
        <v>342</v>
      </c>
      <c r="B221" s="12" t="str">
        <f>IF(1+B215*7&gt;0,IF(-LN(1+B215*7)/7&gt;0,-LN(1+B215*7)/7,"—"),"—")</f>
        <v>—</v>
      </c>
      <c r="C221" s="12" t="str">
        <f>IF(1+C215*7&gt;0,IF(-LN(1+C215*7)/7&gt;0,-LN(1+C215*7)/7,"—"),"—")</f>
        <v>—</v>
      </c>
      <c r="D221" t="s">
        <v>343</v>
      </c>
    </row>
    <row r="222" spans="1:19" x14ac:dyDescent="0.25">
      <c r="A222" s="10" t="s">
        <v>344</v>
      </c>
      <c r="B222" s="13" t="str">
        <f>IF(ISNUMBER(B221),B221*100,"—")</f>
        <v>—</v>
      </c>
      <c r="C222" s="13" t="str">
        <f>IF(ISNUMBER(C221),C221*100,"—")</f>
        <v>—</v>
      </c>
    </row>
    <row r="223" spans="1:19" x14ac:dyDescent="0.25">
      <c r="A223" s="10" t="s">
        <v>345</v>
      </c>
      <c r="B223" s="13" t="str">
        <f>IF(ISNUMBER(B221),LN(2)/B221,"—")</f>
        <v>—</v>
      </c>
      <c r="C223" s="13" t="str">
        <f>IF(ISNUMBER(C221),LN(2)/C221,"—")</f>
        <v>—</v>
      </c>
      <c r="D223" t="s">
        <v>346</v>
      </c>
    </row>
    <row r="224" spans="1:19" x14ac:dyDescent="0.25">
      <c r="A224" s="10" t="s">
        <v>347</v>
      </c>
    </row>
    <row r="225" spans="1:4" x14ac:dyDescent="0.25">
      <c r="A225" t="s">
        <v>74</v>
      </c>
      <c r="C225" s="12">
        <f>INDEX(LINEST($N$158:$N$210,$O$158:$S$210,TRUE,TRUE),1,4)</f>
        <v>8.0932791752229283E-3</v>
      </c>
      <c r="D225" s="19" t="s">
        <v>366</v>
      </c>
    </row>
    <row r="226" spans="1:4" x14ac:dyDescent="0.25">
      <c r="A226" t="s">
        <v>326</v>
      </c>
      <c r="C226" s="12">
        <f>INDEX(LINEST($N$158:$N$210,$O$158:$S$210,TRUE,TRUE),1,3)</f>
        <v>8.5561513796144836E-4</v>
      </c>
      <c r="D226" s="19" t="s">
        <v>367</v>
      </c>
    </row>
    <row r="227" spans="1:4" x14ac:dyDescent="0.25">
      <c r="A227" t="s">
        <v>176</v>
      </c>
      <c r="C227" s="12">
        <f>INDEX(LINEST($N$158:$N$210,$O$158:$S$210,TRUE,TRUE),1,2)</f>
        <v>-4.3386533143924361E-5</v>
      </c>
      <c r="D227" s="19" t="s">
        <v>368</v>
      </c>
    </row>
    <row r="228" spans="1:4" x14ac:dyDescent="0.25">
      <c r="A228" t="s">
        <v>327</v>
      </c>
      <c r="C228" s="12">
        <f>INDEX(LINEST($N$158:$N$210,$O$158:$S$210,TRUE,TRUE),1,1)</f>
        <v>1.2426517686851748E-4</v>
      </c>
      <c r="D228" s="19" t="s">
        <v>369</v>
      </c>
    </row>
    <row r="231" spans="1:4" x14ac:dyDescent="0.25">
      <c r="A231" s="10" t="s">
        <v>370</v>
      </c>
    </row>
    <row r="232" spans="1:4" x14ac:dyDescent="0.25">
      <c r="A232" t="s">
        <v>371</v>
      </c>
      <c r="B232" s="18">
        <v>-0.10569386251776799</v>
      </c>
    </row>
    <row r="233" spans="1:4" x14ac:dyDescent="0.25">
      <c r="A233" t="s">
        <v>372</v>
      </c>
      <c r="B233" s="18">
        <v>2.089948850186488E-2</v>
      </c>
    </row>
    <row r="234" spans="1:4" x14ac:dyDescent="0.25">
      <c r="A234" t="s">
        <v>373</v>
      </c>
      <c r="B234" s="18">
        <v>4.2535355827312341E-7</v>
      </c>
    </row>
    <row r="235" spans="1:4" x14ac:dyDescent="0.25">
      <c r="A235" t="s">
        <v>157</v>
      </c>
      <c r="B235" s="18">
        <v>332</v>
      </c>
    </row>
    <row r="236" spans="1:4" x14ac:dyDescent="0.25">
      <c r="A236" t="s">
        <v>374</v>
      </c>
      <c r="B236" s="18">
        <v>0.11170712676388091</v>
      </c>
    </row>
    <row r="237" spans="1:4" x14ac:dyDescent="0.25">
      <c r="A237" t="s">
        <v>375</v>
      </c>
      <c r="B237" s="18">
        <v>6.2050399167912884</v>
      </c>
    </row>
  </sheetData>
  <mergeCells count="1">
    <mergeCell ref="A2:L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16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5" width="12" customWidth="1"/>
    <col min="6" max="6" width="10" customWidth="1"/>
    <col min="7" max="11" width="12" customWidth="1"/>
    <col min="12" max="12" width="10" customWidth="1"/>
    <col min="13" max="22" width="8" customWidth="1"/>
  </cols>
  <sheetData>
    <row r="1" spans="1:27" ht="17.25" x14ac:dyDescent="0.3">
      <c r="A1" s="1" t="s">
        <v>376</v>
      </c>
    </row>
    <row r="2" spans="1:27" ht="44.1" customHeight="1" x14ac:dyDescent="0.25">
      <c r="A2" s="26" t="s">
        <v>377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27" x14ac:dyDescent="0.25">
      <c r="A4" s="14" t="s">
        <v>378</v>
      </c>
    </row>
    <row r="5" spans="1:27" ht="32.1" customHeight="1" x14ac:dyDescent="0.25">
      <c r="A5" s="3" t="s">
        <v>52</v>
      </c>
      <c r="B5" s="3" t="s">
        <v>53</v>
      </c>
      <c r="C5" s="3" t="s">
        <v>379</v>
      </c>
      <c r="D5" s="3" t="s">
        <v>74</v>
      </c>
      <c r="E5" s="3" t="s">
        <v>326</v>
      </c>
      <c r="F5" s="3" t="s">
        <v>176</v>
      </c>
      <c r="G5" s="3" t="s">
        <v>327</v>
      </c>
      <c r="H5" s="3" t="s">
        <v>380</v>
      </c>
      <c r="I5" s="3" t="s">
        <v>183</v>
      </c>
      <c r="J5" s="3" t="s">
        <v>381</v>
      </c>
      <c r="K5" s="3" t="s">
        <v>179</v>
      </c>
      <c r="L5" s="3" t="s">
        <v>382</v>
      </c>
      <c r="M5" s="3" t="s">
        <v>383</v>
      </c>
      <c r="N5" s="3" t="s">
        <v>384</v>
      </c>
      <c r="O5" s="3" t="s">
        <v>385</v>
      </c>
      <c r="P5" s="3" t="s">
        <v>386</v>
      </c>
      <c r="AA5" s="3" t="s">
        <v>387</v>
      </c>
    </row>
    <row r="6" spans="1:27" x14ac:dyDescent="0.25">
      <c r="A6" t="s">
        <v>85</v>
      </c>
      <c r="B6">
        <v>2019</v>
      </c>
      <c r="C6" s="7">
        <f>'1_Du_lieu'!V131</f>
        <v>3.5779478934066544</v>
      </c>
      <c r="D6" s="9">
        <f>'1_Du_lieu'!W131</f>
        <v>3.7954891891721947</v>
      </c>
      <c r="E6" s="9">
        <f>'1_Du_lieu'!L131</f>
        <v>2.3319999999999999</v>
      </c>
      <c r="F6" s="9">
        <f>'1_Du_lieu'!M131</f>
        <v>31.59</v>
      </c>
      <c r="G6" s="9">
        <f>'1_Du_lieu'!N131</f>
        <v>14.6</v>
      </c>
      <c r="H6" s="9">
        <f>'1_Du_lieu'!X131</f>
        <v>1.2904217394377582</v>
      </c>
      <c r="I6" s="9">
        <f>'1_Du_lieu'!T131</f>
        <v>0.47184649260773825</v>
      </c>
      <c r="J6" s="9">
        <f>'1_Du_lieu'!Y131</f>
        <v>4.9508852896904818</v>
      </c>
      <c r="K6" s="9">
        <f>'1_Du_lieu'!O131</f>
        <v>16.3</v>
      </c>
      <c r="L6" s="5">
        <f t="shared" ref="L6:L69" si="0">IF(B6=2020,1,0)</f>
        <v>0</v>
      </c>
      <c r="M6" s="5">
        <f t="shared" ref="M6:M69" si="1">IF(B6=2021,1,0)</f>
        <v>0</v>
      </c>
      <c r="N6" s="5">
        <f t="shared" ref="N6:N69" si="2">IF(B6=2022,1,0)</f>
        <v>0</v>
      </c>
      <c r="O6" s="5">
        <f t="shared" ref="O6:O69" si="3">IF(B6=2023,1,0)</f>
        <v>0</v>
      </c>
      <c r="P6" s="5">
        <f t="shared" ref="P6:P69" si="4">IF(B6=2024,1,0)</f>
        <v>0</v>
      </c>
      <c r="AA6" s="5">
        <f>'1_Du_lieu'!D131</f>
        <v>0</v>
      </c>
    </row>
    <row r="7" spans="1:27" x14ac:dyDescent="0.25">
      <c r="A7" t="s">
        <v>87</v>
      </c>
      <c r="B7">
        <v>2019</v>
      </c>
      <c r="C7" s="7">
        <f>'1_Du_lieu'!V132</f>
        <v>3.8670256394974101</v>
      </c>
      <c r="D7" s="9">
        <f>'1_Du_lieu'!W132</f>
        <v>5.7051149198899793</v>
      </c>
      <c r="E7" s="9">
        <f>'1_Du_lieu'!L132</f>
        <v>8.7629999999999999</v>
      </c>
      <c r="F7" s="9">
        <f>'1_Du_lieu'!M132</f>
        <v>58.64</v>
      </c>
      <c r="G7" s="9">
        <f>'1_Du_lieu'!N132</f>
        <v>27.8</v>
      </c>
      <c r="H7" s="9">
        <f>'1_Du_lieu'!X132</f>
        <v>1.9211688706144259</v>
      </c>
      <c r="I7" s="9">
        <f>'1_Du_lieu'!T132</f>
        <v>1.2150668286755772</v>
      </c>
      <c r="J7" s="9">
        <f>'1_Du_lieu'!Y132</f>
        <v>10.200940484291477</v>
      </c>
      <c r="K7" s="9">
        <f>'1_Du_lieu'!O132</f>
        <v>24</v>
      </c>
      <c r="L7" s="5">
        <f t="shared" si="0"/>
        <v>0</v>
      </c>
      <c r="M7" s="5">
        <f t="shared" si="1"/>
        <v>0</v>
      </c>
      <c r="N7" s="5">
        <f t="shared" si="2"/>
        <v>0</v>
      </c>
      <c r="O7" s="5">
        <f t="shared" si="3"/>
        <v>0</v>
      </c>
      <c r="P7" s="5">
        <f t="shared" si="4"/>
        <v>0</v>
      </c>
      <c r="AA7" s="5">
        <f>'1_Du_lieu'!D132</f>
        <v>1</v>
      </c>
    </row>
    <row r="8" spans="1:27" x14ac:dyDescent="0.25">
      <c r="A8" t="s">
        <v>89</v>
      </c>
      <c r="B8">
        <v>2019</v>
      </c>
      <c r="C8" s="7">
        <f>'1_Du_lieu'!V133</f>
        <v>3.9889840465642745</v>
      </c>
      <c r="D8" s="9">
        <f>'1_Du_lieu'!W133</f>
        <v>4.9931499797552359</v>
      </c>
      <c r="E8" s="9">
        <f>'1_Du_lieu'!L133</f>
        <v>12.864000000000001</v>
      </c>
      <c r="F8" s="9">
        <f>'1_Du_lieu'!M133</f>
        <v>79.87</v>
      </c>
      <c r="G8" s="9">
        <f>'1_Du_lieu'!N133</f>
        <v>21.9</v>
      </c>
      <c r="H8" s="9">
        <f>'1_Du_lieu'!X133</f>
        <v>3.1771849379951953</v>
      </c>
      <c r="I8" s="9">
        <f>'1_Du_lieu'!T133</f>
        <v>0.69209787078125629</v>
      </c>
      <c r="J8" s="9">
        <f>'1_Du_lieu'!Y133</f>
        <v>9.5455260670719309</v>
      </c>
      <c r="K8" s="9">
        <f>'1_Du_lieu'!O133</f>
        <v>24.2</v>
      </c>
      <c r="L8" s="5">
        <f t="shared" si="0"/>
        <v>0</v>
      </c>
      <c r="M8" s="5">
        <f t="shared" si="1"/>
        <v>0</v>
      </c>
      <c r="N8" s="5">
        <f t="shared" si="2"/>
        <v>0</v>
      </c>
      <c r="O8" s="5">
        <f t="shared" si="3"/>
        <v>0</v>
      </c>
      <c r="P8" s="5">
        <f t="shared" si="4"/>
        <v>0</v>
      </c>
      <c r="AA8" s="5">
        <f>'1_Du_lieu'!D133</f>
        <v>1</v>
      </c>
    </row>
    <row r="9" spans="1:27" x14ac:dyDescent="0.25">
      <c r="A9" t="s">
        <v>90</v>
      </c>
      <c r="B9">
        <v>2019</v>
      </c>
      <c r="C9" s="7">
        <f>'1_Du_lieu'!V134</f>
        <v>3.3775875160230218</v>
      </c>
      <c r="D9" s="9">
        <f>'1_Du_lieu'!W134</f>
        <v>4.1367652781060524</v>
      </c>
      <c r="E9" s="9">
        <f>'1_Du_lieu'!L134</f>
        <v>5.1189999999999998</v>
      </c>
      <c r="F9" s="9">
        <f>'1_Du_lieu'!M134</f>
        <v>23.9</v>
      </c>
      <c r="G9" s="9">
        <f>'1_Du_lieu'!N134</f>
        <v>15.8</v>
      </c>
      <c r="H9" s="9">
        <f>'1_Du_lieu'!X134</f>
        <v>1.2084725869298196</v>
      </c>
      <c r="I9" s="9">
        <f>'1_Du_lieu'!T134</f>
        <v>1.2026458208057726</v>
      </c>
      <c r="J9" s="9">
        <f>'1_Du_lieu'!Y134</f>
        <v>7.9442439061683956</v>
      </c>
      <c r="K9" s="9">
        <f>'1_Du_lieu'!O134</f>
        <v>22.8</v>
      </c>
      <c r="L9" s="5">
        <f t="shared" si="0"/>
        <v>0</v>
      </c>
      <c r="M9" s="5">
        <f t="shared" si="1"/>
        <v>0</v>
      </c>
      <c r="N9" s="5">
        <f t="shared" si="2"/>
        <v>0</v>
      </c>
      <c r="O9" s="5">
        <f t="shared" si="3"/>
        <v>0</v>
      </c>
      <c r="P9" s="5">
        <f t="shared" si="4"/>
        <v>0</v>
      </c>
      <c r="AA9" s="5">
        <f>'1_Du_lieu'!D134</f>
        <v>1</v>
      </c>
    </row>
    <row r="10" spans="1:27" x14ac:dyDescent="0.25">
      <c r="A10" t="s">
        <v>91</v>
      </c>
      <c r="B10">
        <v>2019</v>
      </c>
      <c r="C10" s="7">
        <f>'1_Du_lieu'!V135</f>
        <v>3.5945687746426951</v>
      </c>
      <c r="D10" s="9">
        <f>'1_Du_lieu'!W135</f>
        <v>4.1620032106959153</v>
      </c>
      <c r="E10" s="9">
        <f>'1_Du_lieu'!L135</f>
        <v>3.93</v>
      </c>
      <c r="F10" s="9">
        <f>'1_Du_lieu'!M135</f>
        <v>38.08</v>
      </c>
      <c r="G10" s="9">
        <f>'1_Du_lieu'!N135</f>
        <v>16.3</v>
      </c>
      <c r="H10" s="9">
        <f>'1_Du_lieu'!X135</f>
        <v>2.0004684151721195</v>
      </c>
      <c r="I10" s="9">
        <f>'1_Du_lieu'!T135</f>
        <v>0.32459628337255542</v>
      </c>
      <c r="J10" s="9">
        <f>'1_Du_lieu'!Y135</f>
        <v>8.0156906391110976</v>
      </c>
      <c r="K10" s="9">
        <f>'1_Du_lieu'!O135</f>
        <v>18.399999999999999</v>
      </c>
      <c r="L10" s="5">
        <f t="shared" si="0"/>
        <v>0</v>
      </c>
      <c r="M10" s="5">
        <f t="shared" si="1"/>
        <v>0</v>
      </c>
      <c r="N10" s="5">
        <f t="shared" si="2"/>
        <v>0</v>
      </c>
      <c r="O10" s="5">
        <f t="shared" si="3"/>
        <v>0</v>
      </c>
      <c r="P10" s="5">
        <f t="shared" si="4"/>
        <v>0</v>
      </c>
      <c r="AA10" s="5">
        <f>'1_Du_lieu'!D135</f>
        <v>0</v>
      </c>
    </row>
    <row r="11" spans="1:27" x14ac:dyDescent="0.25">
      <c r="A11" t="s">
        <v>93</v>
      </c>
      <c r="B11">
        <v>2019</v>
      </c>
      <c r="C11" s="7">
        <f>'1_Du_lieu'!V136</f>
        <v>3.730501128804756</v>
      </c>
      <c r="D11" s="9">
        <f>'1_Du_lieu'!W136</f>
        <v>4.0199801469332384</v>
      </c>
      <c r="E11" s="9">
        <f>'1_Du_lieu'!L136</f>
        <v>4.298</v>
      </c>
      <c r="F11" s="9">
        <f>'1_Du_lieu'!M136</f>
        <v>32.049999999999997</v>
      </c>
      <c r="G11" s="9">
        <f>'1_Du_lieu'!N136</f>
        <v>19.2</v>
      </c>
      <c r="H11" s="9">
        <f>'1_Du_lieu'!X136</f>
        <v>2.7748797508894638</v>
      </c>
      <c r="I11" s="9">
        <f>'1_Du_lieu'!T136</f>
        <v>0.73934668638257828</v>
      </c>
      <c r="J11" s="9">
        <f>'1_Du_lieu'!Y136</f>
        <v>6.2923096060860439</v>
      </c>
      <c r="K11" s="9">
        <f>'1_Du_lieu'!O136</f>
        <v>23.4</v>
      </c>
      <c r="L11" s="5">
        <f t="shared" si="0"/>
        <v>0</v>
      </c>
      <c r="M11" s="5">
        <f t="shared" si="1"/>
        <v>0</v>
      </c>
      <c r="N11" s="5">
        <f t="shared" si="2"/>
        <v>0</v>
      </c>
      <c r="O11" s="5">
        <f t="shared" si="3"/>
        <v>0</v>
      </c>
      <c r="P11" s="5">
        <f t="shared" si="4"/>
        <v>0</v>
      </c>
      <c r="AA11" s="5">
        <f>'1_Du_lieu'!D136</f>
        <v>0</v>
      </c>
    </row>
    <row r="12" spans="1:27" x14ac:dyDescent="0.25">
      <c r="A12" t="s">
        <v>95</v>
      </c>
      <c r="B12">
        <v>2019</v>
      </c>
      <c r="C12" s="7">
        <f>'1_Du_lieu'!V138</f>
        <v>3.763522997109702</v>
      </c>
      <c r="D12" s="9">
        <f>'1_Du_lieu'!W138</f>
        <v>4.0552571735140539</v>
      </c>
      <c r="E12" s="9">
        <f>'1_Du_lieu'!L138</f>
        <v>3.2480000000000002</v>
      </c>
      <c r="F12" s="9">
        <f>'1_Du_lieu'!M138</f>
        <v>11.46</v>
      </c>
      <c r="G12" s="9">
        <f>'1_Du_lieu'!N138</f>
        <v>18</v>
      </c>
      <c r="H12" s="9">
        <f>'1_Du_lieu'!X138</f>
        <v>2.5039419909198695</v>
      </c>
      <c r="I12" s="9">
        <f>'1_Du_lieu'!T138</f>
        <v>0.93901900132567395</v>
      </c>
      <c r="J12" s="9">
        <f>'1_Du_lieu'!Y138</f>
        <v>8.1024653160288871</v>
      </c>
      <c r="K12" s="9">
        <f>'1_Du_lieu'!O138</f>
        <v>15</v>
      </c>
      <c r="L12" s="5">
        <f t="shared" si="0"/>
        <v>0</v>
      </c>
      <c r="M12" s="5">
        <f t="shared" si="1"/>
        <v>0</v>
      </c>
      <c r="N12" s="5">
        <f t="shared" si="2"/>
        <v>0</v>
      </c>
      <c r="O12" s="5">
        <f t="shared" si="3"/>
        <v>0</v>
      </c>
      <c r="P12" s="5">
        <f t="shared" si="4"/>
        <v>0</v>
      </c>
      <c r="AA12" s="5">
        <f>'1_Du_lieu'!D138</f>
        <v>0</v>
      </c>
    </row>
    <row r="13" spans="1:27" x14ac:dyDescent="0.25">
      <c r="A13" t="s">
        <v>97</v>
      </c>
      <c r="B13">
        <v>2019</v>
      </c>
      <c r="C13" s="7">
        <f>'1_Du_lieu'!V139</f>
        <v>3.3105430133940246</v>
      </c>
      <c r="D13" s="9">
        <f>'1_Du_lieu'!W139</f>
        <v>3.6428355156125294</v>
      </c>
      <c r="E13" s="9">
        <f>'1_Du_lieu'!L139</f>
        <v>1.9470000000000001</v>
      </c>
      <c r="F13" s="9">
        <f>'1_Du_lieu'!M139</f>
        <v>20.87</v>
      </c>
      <c r="G13" s="9">
        <f>'1_Du_lieu'!N139</f>
        <v>16.100000000000001</v>
      </c>
      <c r="H13" s="9">
        <f>'1_Du_lieu'!X139</f>
        <v>1.5337432446811305</v>
      </c>
      <c r="I13" s="9">
        <f>'1_Du_lieu'!T139</f>
        <v>0.63613231552162852</v>
      </c>
      <c r="J13" s="9">
        <f>'1_Du_lieu'!Y139</f>
        <v>3.044522437723423</v>
      </c>
      <c r="K13" s="9">
        <f>'1_Du_lieu'!O139</f>
        <v>13.8</v>
      </c>
      <c r="L13" s="5">
        <f t="shared" si="0"/>
        <v>0</v>
      </c>
      <c r="M13" s="5">
        <f t="shared" si="1"/>
        <v>0</v>
      </c>
      <c r="N13" s="5">
        <f t="shared" si="2"/>
        <v>0</v>
      </c>
      <c r="O13" s="5">
        <f t="shared" si="3"/>
        <v>0</v>
      </c>
      <c r="P13" s="5">
        <f t="shared" si="4"/>
        <v>0</v>
      </c>
      <c r="AA13" s="5">
        <f>'1_Du_lieu'!D139</f>
        <v>0</v>
      </c>
    </row>
    <row r="14" spans="1:27" x14ac:dyDescent="0.25">
      <c r="A14" t="s">
        <v>98</v>
      </c>
      <c r="B14">
        <v>2019</v>
      </c>
      <c r="C14" s="7">
        <f>'1_Du_lieu'!V140</f>
        <v>3.9550824948885932</v>
      </c>
      <c r="D14" s="9">
        <f>'1_Du_lieu'!W140</f>
        <v>4.9767337424205742</v>
      </c>
      <c r="E14" s="9">
        <f>'1_Du_lieu'!L140</f>
        <v>8.2319999999999993</v>
      </c>
      <c r="F14" s="9">
        <f>'1_Du_lieu'!M140</f>
        <v>27.63</v>
      </c>
      <c r="G14" s="9">
        <f>'1_Du_lieu'!N140</f>
        <v>28</v>
      </c>
      <c r="H14" s="9">
        <f>'1_Du_lieu'!X140</f>
        <v>2.7293792142733855</v>
      </c>
      <c r="I14" s="9">
        <f>'1_Du_lieu'!T140</f>
        <v>1.8859712752067315</v>
      </c>
      <c r="J14" s="9">
        <f>'1_Du_lieu'!Y140</f>
        <v>9.5292085626490355</v>
      </c>
      <c r="K14" s="9">
        <f>'1_Du_lieu'!O140</f>
        <v>29.6</v>
      </c>
      <c r="L14" s="5">
        <f t="shared" si="0"/>
        <v>0</v>
      </c>
      <c r="M14" s="5">
        <f t="shared" si="1"/>
        <v>0</v>
      </c>
      <c r="N14" s="5">
        <f t="shared" si="2"/>
        <v>0</v>
      </c>
      <c r="O14" s="5">
        <f t="shared" si="3"/>
        <v>0</v>
      </c>
      <c r="P14" s="5">
        <f t="shared" si="4"/>
        <v>0</v>
      </c>
      <c r="AA14" s="5">
        <f>'1_Du_lieu'!D140</f>
        <v>1</v>
      </c>
    </row>
    <row r="15" spans="1:27" x14ac:dyDescent="0.25">
      <c r="A15" t="s">
        <v>100</v>
      </c>
      <c r="B15">
        <v>2019</v>
      </c>
      <c r="C15" s="7">
        <f>'1_Du_lieu'!V141</f>
        <v>3.6270040503958487</v>
      </c>
      <c r="D15" s="9">
        <f>'1_Du_lieu'!W141</f>
        <v>3.6963514689526371</v>
      </c>
      <c r="E15" s="9">
        <f>'1_Du_lieu'!L141</f>
        <v>2.3780000000000001</v>
      </c>
      <c r="F15" s="9">
        <f>'1_Du_lieu'!M141</f>
        <v>9.81</v>
      </c>
      <c r="G15" s="9">
        <f>'1_Du_lieu'!N141</f>
        <v>11.6</v>
      </c>
      <c r="H15" s="9">
        <f>'1_Du_lieu'!X141</f>
        <v>1.0068151819471221</v>
      </c>
      <c r="I15" s="9">
        <f>'1_Du_lieu'!T141</f>
        <v>0.2327205026762858</v>
      </c>
      <c r="J15" s="9">
        <f>'1_Du_lieu'!Y141</f>
        <v>6.731376031643812</v>
      </c>
      <c r="K15" s="9">
        <f>'1_Du_lieu'!O141</f>
        <v>14.4</v>
      </c>
      <c r="L15" s="5">
        <f t="shared" si="0"/>
        <v>0</v>
      </c>
      <c r="M15" s="5">
        <f t="shared" si="1"/>
        <v>0</v>
      </c>
      <c r="N15" s="5">
        <f t="shared" si="2"/>
        <v>0</v>
      </c>
      <c r="O15" s="5">
        <f t="shared" si="3"/>
        <v>0</v>
      </c>
      <c r="P15" s="5">
        <f t="shared" si="4"/>
        <v>0</v>
      </c>
      <c r="AA15" s="5">
        <f>'1_Du_lieu'!D141</f>
        <v>0</v>
      </c>
    </row>
    <row r="16" spans="1:27" x14ac:dyDescent="0.25">
      <c r="A16" t="s">
        <v>103</v>
      </c>
      <c r="B16">
        <v>2019</v>
      </c>
      <c r="C16" s="7">
        <f>'1_Du_lieu'!V144</f>
        <v>3.8565102954978872</v>
      </c>
      <c r="D16" s="9">
        <f>'1_Du_lieu'!W144</f>
        <v>4.2863413845394733</v>
      </c>
      <c r="E16" s="9">
        <f>'1_Du_lieu'!L144</f>
        <v>6.8540000000000001</v>
      </c>
      <c r="F16" s="9">
        <f>'1_Du_lieu'!M144</f>
        <v>69.680000000000007</v>
      </c>
      <c r="G16" s="9">
        <f>'1_Du_lieu'!N144</f>
        <v>16.399999999999999</v>
      </c>
      <c r="H16" s="9">
        <f>'1_Du_lieu'!X144</f>
        <v>1.2143315877502252</v>
      </c>
      <c r="I16" s="9">
        <f>'1_Du_lieu'!T144</f>
        <v>1.5372168284789645</v>
      </c>
      <c r="J16" s="9">
        <f>'1_Du_lieu'!Y144</f>
        <v>6.377067026119895</v>
      </c>
      <c r="K16" s="9">
        <f>'1_Du_lieu'!O144</f>
        <v>22</v>
      </c>
      <c r="L16" s="5">
        <f t="shared" si="0"/>
        <v>0</v>
      </c>
      <c r="M16" s="5">
        <f t="shared" si="1"/>
        <v>0</v>
      </c>
      <c r="N16" s="5">
        <f t="shared" si="2"/>
        <v>0</v>
      </c>
      <c r="O16" s="5">
        <f t="shared" si="3"/>
        <v>0</v>
      </c>
      <c r="P16" s="5">
        <f t="shared" si="4"/>
        <v>0</v>
      </c>
      <c r="AA16" s="5">
        <f>'1_Du_lieu'!D144</f>
        <v>0</v>
      </c>
    </row>
    <row r="17" spans="1:27" x14ac:dyDescent="0.25">
      <c r="A17" t="s">
        <v>104</v>
      </c>
      <c r="B17">
        <v>2019</v>
      </c>
      <c r="C17" s="7">
        <f>'1_Du_lieu'!V145</f>
        <v>3.459466289786131</v>
      </c>
      <c r="D17" s="9">
        <f>'1_Du_lieu'!W145</f>
        <v>3.6963514689526371</v>
      </c>
      <c r="E17" s="9">
        <f>'1_Du_lieu'!L145</f>
        <v>2.5459999999999998</v>
      </c>
      <c r="F17" s="9">
        <f>'1_Du_lieu'!M145</f>
        <v>28.96</v>
      </c>
      <c r="G17" s="9">
        <f>'1_Du_lieu'!N145</f>
        <v>12.5</v>
      </c>
      <c r="H17" s="9">
        <f>'1_Du_lieu'!X145</f>
        <v>2.6578526531371081</v>
      </c>
      <c r="I17" s="9">
        <f>'1_Du_lieu'!T145</f>
        <v>1.3156163662675964</v>
      </c>
      <c r="J17" s="9">
        <f>'1_Du_lieu'!Y145</f>
        <v>2.1972245773362196</v>
      </c>
      <c r="K17" s="9">
        <f>'1_Du_lieu'!O145</f>
        <v>17.3</v>
      </c>
      <c r="L17" s="5">
        <f t="shared" si="0"/>
        <v>0</v>
      </c>
      <c r="M17" s="5">
        <f t="shared" si="1"/>
        <v>0</v>
      </c>
      <c r="N17" s="5">
        <f t="shared" si="2"/>
        <v>0</v>
      </c>
      <c r="O17" s="5">
        <f t="shared" si="3"/>
        <v>0</v>
      </c>
      <c r="P17" s="5">
        <f t="shared" si="4"/>
        <v>0</v>
      </c>
      <c r="AA17" s="5">
        <f>'1_Du_lieu'!D145</f>
        <v>0</v>
      </c>
    </row>
    <row r="18" spans="1:27" x14ac:dyDescent="0.25">
      <c r="A18" t="s">
        <v>107</v>
      </c>
      <c r="B18">
        <v>2019</v>
      </c>
      <c r="C18" s="7">
        <f>'1_Du_lieu'!V147</f>
        <v>3.6454498961866002</v>
      </c>
      <c r="D18" s="9">
        <f>'1_Du_lieu'!W147</f>
        <v>4.1588830833596715</v>
      </c>
      <c r="E18" s="9">
        <f>'1_Du_lieu'!L147</f>
        <v>4.8040000000000003</v>
      </c>
      <c r="F18" s="9">
        <f>'1_Du_lieu'!M147</f>
        <v>16.77</v>
      </c>
      <c r="G18" s="9">
        <f>'1_Du_lieu'!N147</f>
        <v>20</v>
      </c>
      <c r="H18" s="9">
        <f>'1_Du_lieu'!X147</f>
        <v>2.7668378701718099</v>
      </c>
      <c r="I18" s="9">
        <f>'1_Du_lieu'!T147</f>
        <v>1.5213575190169688</v>
      </c>
      <c r="J18" s="9">
        <f>'1_Du_lieu'!Y147</f>
        <v>8.3521298511785531</v>
      </c>
      <c r="K18" s="9">
        <f>'1_Du_lieu'!O147</f>
        <v>17</v>
      </c>
      <c r="L18" s="5">
        <f t="shared" si="0"/>
        <v>0</v>
      </c>
      <c r="M18" s="5">
        <f t="shared" si="1"/>
        <v>0</v>
      </c>
      <c r="N18" s="5">
        <f t="shared" si="2"/>
        <v>0</v>
      </c>
      <c r="O18" s="5">
        <f t="shared" si="3"/>
        <v>0</v>
      </c>
      <c r="P18" s="5">
        <f t="shared" si="4"/>
        <v>0</v>
      </c>
      <c r="AA18" s="5">
        <f>'1_Du_lieu'!D147</f>
        <v>1</v>
      </c>
    </row>
    <row r="19" spans="1:27" x14ac:dyDescent="0.25">
      <c r="A19" t="s">
        <v>108</v>
      </c>
      <c r="B19">
        <v>2019</v>
      </c>
      <c r="C19" s="7">
        <f>'1_Du_lieu'!V148</f>
        <v>4.4343818650078095</v>
      </c>
      <c r="D19" s="9">
        <f>'1_Du_lieu'!W148</f>
        <v>4.7899886229806334</v>
      </c>
      <c r="E19" s="9">
        <f>'1_Du_lieu'!L148</f>
        <v>19.265999999999998</v>
      </c>
      <c r="F19" s="9">
        <f>'1_Du_lieu'!M148</f>
        <v>49.42</v>
      </c>
      <c r="G19" s="9">
        <f>'1_Du_lieu'!N148</f>
        <v>48.1</v>
      </c>
      <c r="H19" s="9">
        <f>'1_Du_lieu'!X148</f>
        <v>2.7242491045779054</v>
      </c>
      <c r="I19" s="9">
        <f>'1_Du_lieu'!T148</f>
        <v>2.0632822248854077</v>
      </c>
      <c r="J19" s="9">
        <f>'1_Du_lieu'!Y148</f>
        <v>8.3533086239769485</v>
      </c>
      <c r="K19" s="9">
        <f>'1_Du_lieu'!O148</f>
        <v>42.4</v>
      </c>
      <c r="L19" s="5">
        <f t="shared" si="0"/>
        <v>0</v>
      </c>
      <c r="M19" s="5">
        <f t="shared" si="1"/>
        <v>0</v>
      </c>
      <c r="N19" s="5">
        <f t="shared" si="2"/>
        <v>0</v>
      </c>
      <c r="O19" s="5">
        <f t="shared" si="3"/>
        <v>0</v>
      </c>
      <c r="P19" s="5">
        <f t="shared" si="4"/>
        <v>0</v>
      </c>
      <c r="AA19" s="5">
        <f>'1_Du_lieu'!D148</f>
        <v>1</v>
      </c>
    </row>
    <row r="20" spans="1:27" x14ac:dyDescent="0.25">
      <c r="A20" t="s">
        <v>109</v>
      </c>
      <c r="B20">
        <v>2019</v>
      </c>
      <c r="C20" s="7">
        <f>'1_Du_lieu'!V149</f>
        <v>3.572345637857985</v>
      </c>
      <c r="D20" s="9">
        <f>'1_Du_lieu'!W149</f>
        <v>4.1026433650367959</v>
      </c>
      <c r="E20" s="9">
        <f>'1_Du_lieu'!L149</f>
        <v>3.53</v>
      </c>
      <c r="F20" s="9">
        <f>'1_Du_lieu'!M149</f>
        <v>19.68</v>
      </c>
      <c r="G20" s="9">
        <f>'1_Du_lieu'!N149</f>
        <v>25</v>
      </c>
      <c r="H20" s="9">
        <f>'1_Du_lieu'!X149</f>
        <v>3.3526644888984256</v>
      </c>
      <c r="I20" s="9">
        <f>'1_Du_lieu'!T149</f>
        <v>0.54250949391614356</v>
      </c>
      <c r="J20" s="9">
        <f>'1_Du_lieu'!Y149</f>
        <v>9.1150511919513608</v>
      </c>
      <c r="K20" s="9">
        <f>'1_Du_lieu'!O149</f>
        <v>17.399999999999999</v>
      </c>
      <c r="L20" s="5">
        <f t="shared" si="0"/>
        <v>0</v>
      </c>
      <c r="M20" s="5">
        <f t="shared" si="1"/>
        <v>0</v>
      </c>
      <c r="N20" s="5">
        <f t="shared" si="2"/>
        <v>0</v>
      </c>
      <c r="O20" s="5">
        <f t="shared" si="3"/>
        <v>0</v>
      </c>
      <c r="P20" s="5">
        <f t="shared" si="4"/>
        <v>0</v>
      </c>
      <c r="AA20" s="5">
        <f>'1_Du_lieu'!D149</f>
        <v>0</v>
      </c>
    </row>
    <row r="21" spans="1:27" x14ac:dyDescent="0.25">
      <c r="A21" t="s">
        <v>110</v>
      </c>
      <c r="B21">
        <v>2019</v>
      </c>
      <c r="C21" s="7">
        <f>'1_Du_lieu'!V150</f>
        <v>3.4904285153900978</v>
      </c>
      <c r="D21" s="9">
        <f>'1_Du_lieu'!W150</f>
        <v>4.0000338827508592</v>
      </c>
      <c r="E21" s="9">
        <f>'1_Du_lieu'!L150</f>
        <v>2.702</v>
      </c>
      <c r="F21" s="9">
        <f>'1_Du_lieu'!M150</f>
        <v>15.74</v>
      </c>
      <c r="G21" s="9">
        <f>'1_Du_lieu'!N150</f>
        <v>17.399999999999999</v>
      </c>
      <c r="H21" s="9">
        <f>'1_Du_lieu'!X150</f>
        <v>2.4069893207527269</v>
      </c>
      <c r="I21" s="9">
        <f>'1_Du_lieu'!T150</f>
        <v>1.0516475812105635</v>
      </c>
      <c r="J21" s="9">
        <f>'1_Du_lieu'!Y150</f>
        <v>6.7232312986329825</v>
      </c>
      <c r="K21" s="9">
        <f>'1_Du_lieu'!O150</f>
        <v>13.8</v>
      </c>
      <c r="L21" s="5">
        <f t="shared" si="0"/>
        <v>0</v>
      </c>
      <c r="M21" s="5">
        <f t="shared" si="1"/>
        <v>0</v>
      </c>
      <c r="N21" s="5">
        <f t="shared" si="2"/>
        <v>0</v>
      </c>
      <c r="O21" s="5">
        <f t="shared" si="3"/>
        <v>0</v>
      </c>
      <c r="P21" s="5">
        <f t="shared" si="4"/>
        <v>0</v>
      </c>
      <c r="AA21" s="5">
        <f>'1_Du_lieu'!D150</f>
        <v>0</v>
      </c>
    </row>
    <row r="22" spans="1:27" x14ac:dyDescent="0.25">
      <c r="A22" t="s">
        <v>111</v>
      </c>
      <c r="B22">
        <v>2019</v>
      </c>
      <c r="C22" s="7">
        <f>'1_Du_lieu'!V151</f>
        <v>3.648057459593681</v>
      </c>
      <c r="D22" s="9">
        <f>'1_Du_lieu'!W151</f>
        <v>4.3000027991952914</v>
      </c>
      <c r="E22" s="9">
        <f>'1_Du_lieu'!L151</f>
        <v>5.7119999999999997</v>
      </c>
      <c r="F22" s="9">
        <f>'1_Du_lieu'!M151</f>
        <v>16.510000000000002</v>
      </c>
      <c r="G22" s="9">
        <f>'1_Du_lieu'!N151</f>
        <v>25.3</v>
      </c>
      <c r="H22" s="9">
        <f>'1_Du_lieu'!X151</f>
        <v>3.178561346069436</v>
      </c>
      <c r="I22" s="9">
        <f>'1_Du_lieu'!T151</f>
        <v>1.5129797738493391</v>
      </c>
      <c r="J22" s="9">
        <f>'1_Du_lieu'!Y151</f>
        <v>8.2693470274616558</v>
      </c>
      <c r="K22" s="9">
        <f>'1_Du_lieu'!O151</f>
        <v>16.7</v>
      </c>
      <c r="L22" s="5">
        <f t="shared" si="0"/>
        <v>0</v>
      </c>
      <c r="M22" s="5">
        <f t="shared" si="1"/>
        <v>0</v>
      </c>
      <c r="N22" s="5">
        <f t="shared" si="2"/>
        <v>0</v>
      </c>
      <c r="O22" s="5">
        <f t="shared" si="3"/>
        <v>0</v>
      </c>
      <c r="P22" s="5">
        <f t="shared" si="4"/>
        <v>0</v>
      </c>
      <c r="AA22" s="5">
        <f>'1_Du_lieu'!D151</f>
        <v>1</v>
      </c>
    </row>
    <row r="23" spans="1:27" x14ac:dyDescent="0.25">
      <c r="A23" t="s">
        <v>112</v>
      </c>
      <c r="B23">
        <v>2019</v>
      </c>
      <c r="C23" s="7">
        <f>'1_Du_lieu'!V152</f>
        <v>3.8416005411316001</v>
      </c>
      <c r="D23" s="9">
        <f>'1_Du_lieu'!W152</f>
        <v>4.2017030805426003</v>
      </c>
      <c r="E23" s="9">
        <f>'1_Du_lieu'!L152</f>
        <v>4.7350000000000003</v>
      </c>
      <c r="F23" s="9">
        <f>'1_Du_lieu'!M152</f>
        <v>31.32</v>
      </c>
      <c r="G23" s="9">
        <f>'1_Du_lieu'!N152</f>
        <v>22.1</v>
      </c>
      <c r="H23" s="9">
        <f>'1_Du_lieu'!X152</f>
        <v>3.0467366338006974</v>
      </c>
      <c r="I23" s="9">
        <f>'1_Du_lieu'!T152</f>
        <v>0.57989351046444193</v>
      </c>
      <c r="J23" s="9">
        <f>'1_Du_lieu'!Y152</f>
        <v>8.369203493702452</v>
      </c>
      <c r="K23" s="9">
        <f>'1_Du_lieu'!O152</f>
        <v>20</v>
      </c>
      <c r="L23" s="5">
        <f t="shared" si="0"/>
        <v>0</v>
      </c>
      <c r="M23" s="5">
        <f t="shared" si="1"/>
        <v>0</v>
      </c>
      <c r="N23" s="5">
        <f t="shared" si="2"/>
        <v>0</v>
      </c>
      <c r="O23" s="5">
        <f t="shared" si="3"/>
        <v>0</v>
      </c>
      <c r="P23" s="5">
        <f t="shared" si="4"/>
        <v>0</v>
      </c>
      <c r="AA23" s="5">
        <f>'1_Du_lieu'!D152</f>
        <v>1</v>
      </c>
    </row>
    <row r="24" spans="1:27" x14ac:dyDescent="0.25">
      <c r="A24" t="s">
        <v>113</v>
      </c>
      <c r="B24">
        <v>2019</v>
      </c>
      <c r="C24" s="7">
        <f>'1_Du_lieu'!V153</f>
        <v>4.0876555740713041</v>
      </c>
      <c r="D24" s="9">
        <f>'1_Du_lieu'!W153</f>
        <v>4.8056590467374951</v>
      </c>
      <c r="E24" s="9">
        <f>'1_Du_lieu'!L153</f>
        <v>9.7959999999999994</v>
      </c>
      <c r="F24" s="9">
        <f>'1_Du_lieu'!M153</f>
        <v>45.59</v>
      </c>
      <c r="G24" s="9">
        <f>'1_Du_lieu'!N153</f>
        <v>31.6</v>
      </c>
      <c r="H24" s="9">
        <f>'1_Du_lieu'!X153</f>
        <v>3.792556682003529</v>
      </c>
      <c r="I24" s="9">
        <f>'1_Du_lieu'!T153</f>
        <v>1.6721585599763931</v>
      </c>
      <c r="J24" s="9">
        <f>'1_Du_lieu'!Y153</f>
        <v>9.1293255252619065</v>
      </c>
      <c r="K24" s="9">
        <f>'1_Du_lieu'!O153</f>
        <v>25.5</v>
      </c>
      <c r="L24" s="5">
        <f t="shared" si="0"/>
        <v>0</v>
      </c>
      <c r="M24" s="5">
        <f t="shared" si="1"/>
        <v>0</v>
      </c>
      <c r="N24" s="5">
        <f t="shared" si="2"/>
        <v>0</v>
      </c>
      <c r="O24" s="5">
        <f t="shared" si="3"/>
        <v>0</v>
      </c>
      <c r="P24" s="5">
        <f t="shared" si="4"/>
        <v>0</v>
      </c>
      <c r="AA24" s="5">
        <f>'1_Du_lieu'!D153</f>
        <v>1</v>
      </c>
    </row>
    <row r="25" spans="1:27" x14ac:dyDescent="0.25">
      <c r="A25" t="s">
        <v>115</v>
      </c>
      <c r="B25">
        <v>2019</v>
      </c>
      <c r="C25" s="7">
        <f>'1_Du_lieu'!V155</f>
        <v>3.7541989202345789</v>
      </c>
      <c r="D25" s="9">
        <f>'1_Du_lieu'!W155</f>
        <v>4.2541932631639972</v>
      </c>
      <c r="E25" s="9">
        <f>'1_Du_lieu'!L155</f>
        <v>8.9550000000000001</v>
      </c>
      <c r="F25" s="9">
        <f>'1_Du_lieu'!M155</f>
        <v>42.29</v>
      </c>
      <c r="G25" s="9">
        <f>'1_Du_lieu'!N155</f>
        <v>22.8</v>
      </c>
      <c r="H25" s="9">
        <f>'1_Du_lieu'!X155</f>
        <v>3.0142091251449474</v>
      </c>
      <c r="I25" s="9">
        <f>'1_Du_lieu'!T155</f>
        <v>3.3257624918883844</v>
      </c>
      <c r="J25" s="9">
        <f>'1_Du_lieu'!Y155</f>
        <v>8.1570264439353597</v>
      </c>
      <c r="K25" s="9">
        <f>'1_Du_lieu'!O155</f>
        <v>30.1</v>
      </c>
      <c r="L25" s="5">
        <f t="shared" si="0"/>
        <v>0</v>
      </c>
      <c r="M25" s="5">
        <f t="shared" si="1"/>
        <v>0</v>
      </c>
      <c r="N25" s="5">
        <f t="shared" si="2"/>
        <v>0</v>
      </c>
      <c r="O25" s="5">
        <f t="shared" si="3"/>
        <v>0</v>
      </c>
      <c r="P25" s="5">
        <f t="shared" si="4"/>
        <v>0</v>
      </c>
      <c r="AA25" s="5">
        <f>'1_Du_lieu'!D155</f>
        <v>0</v>
      </c>
    </row>
    <row r="26" spans="1:27" x14ac:dyDescent="0.25">
      <c r="A26" t="s">
        <v>116</v>
      </c>
      <c r="B26">
        <v>2019</v>
      </c>
      <c r="C26" s="7">
        <f>'1_Du_lieu'!V156</f>
        <v>3.6216707044204863</v>
      </c>
      <c r="D26" s="9">
        <f>'1_Du_lieu'!W156</f>
        <v>4.01096295328305</v>
      </c>
      <c r="E26" s="9">
        <f>'1_Du_lieu'!L156</f>
        <v>4.2210000000000001</v>
      </c>
      <c r="F26" s="9">
        <f>'1_Du_lieu'!M156</f>
        <v>28.36</v>
      </c>
      <c r="G26" s="9">
        <f>'1_Du_lieu'!N156</f>
        <v>13.6</v>
      </c>
      <c r="H26" s="9">
        <f>'1_Du_lieu'!X156</f>
        <v>0.81888518665862431</v>
      </c>
      <c r="I26" s="9">
        <f>'1_Du_lieu'!T156</f>
        <v>0.63816209317166561</v>
      </c>
      <c r="J26" s="9">
        <f>'1_Du_lieu'!Y156</f>
        <v>7.9327210274819482</v>
      </c>
      <c r="K26" s="9">
        <f>'1_Du_lieu'!O156</f>
        <v>20.9</v>
      </c>
      <c r="L26" s="5">
        <f t="shared" si="0"/>
        <v>0</v>
      </c>
      <c r="M26" s="5">
        <f t="shared" si="1"/>
        <v>0</v>
      </c>
      <c r="N26" s="5">
        <f t="shared" si="2"/>
        <v>0</v>
      </c>
      <c r="O26" s="5">
        <f t="shared" si="3"/>
        <v>0</v>
      </c>
      <c r="P26" s="5">
        <f t="shared" si="4"/>
        <v>0</v>
      </c>
      <c r="AA26" s="5">
        <f>'1_Du_lieu'!D156</f>
        <v>0</v>
      </c>
    </row>
    <row r="27" spans="1:27" x14ac:dyDescent="0.25">
      <c r="A27" t="s">
        <v>117</v>
      </c>
      <c r="B27">
        <v>2019</v>
      </c>
      <c r="C27" s="7">
        <f>'1_Du_lieu'!V157</f>
        <v>3.4210000089583352</v>
      </c>
      <c r="D27" s="9">
        <f>'1_Du_lieu'!W157</f>
        <v>3.6963514689526371</v>
      </c>
      <c r="E27" s="9">
        <f>'1_Du_lieu'!L157</f>
        <v>3.0249999999999999</v>
      </c>
      <c r="F27" s="9">
        <f>'1_Du_lieu'!M157</f>
        <v>31.97</v>
      </c>
      <c r="G27" s="9">
        <f>'1_Du_lieu'!N157</f>
        <v>12.9</v>
      </c>
      <c r="H27" s="9">
        <f>'1_Du_lieu'!X157</f>
        <v>2.3822823374177546</v>
      </c>
      <c r="I27" s="9">
        <f>'1_Du_lieu'!T157</f>
        <v>0.73610599926389408</v>
      </c>
      <c r="J27" s="9">
        <f>'1_Du_lieu'!Y157</f>
        <v>5.1579052128312917</v>
      </c>
      <c r="K27" s="9">
        <f>'1_Du_lieu'!O157</f>
        <v>15</v>
      </c>
      <c r="L27" s="5">
        <f t="shared" si="0"/>
        <v>0</v>
      </c>
      <c r="M27" s="5">
        <f t="shared" si="1"/>
        <v>0</v>
      </c>
      <c r="N27" s="5">
        <f t="shared" si="2"/>
        <v>0</v>
      </c>
      <c r="O27" s="5">
        <f t="shared" si="3"/>
        <v>0</v>
      </c>
      <c r="P27" s="5">
        <f t="shared" si="4"/>
        <v>0</v>
      </c>
      <c r="AA27" s="5">
        <f>'1_Du_lieu'!D157</f>
        <v>0</v>
      </c>
    </row>
    <row r="28" spans="1:27" x14ac:dyDescent="0.25">
      <c r="A28" t="s">
        <v>119</v>
      </c>
      <c r="B28">
        <v>2019</v>
      </c>
      <c r="C28" s="7">
        <f>'1_Du_lieu'!V159</f>
        <v>3.6082115510464816</v>
      </c>
      <c r="D28" s="9">
        <f>'1_Du_lieu'!W159</f>
        <v>4.28771595520264</v>
      </c>
      <c r="E28" s="9">
        <f>'1_Du_lieu'!L159</f>
        <v>5.7190000000000003</v>
      </c>
      <c r="F28" s="9">
        <f>'1_Du_lieu'!M159</f>
        <v>16.079999999999998</v>
      </c>
      <c r="G28" s="9">
        <f>'1_Du_lieu'!N159</f>
        <v>16.7</v>
      </c>
      <c r="H28" s="9">
        <f>'1_Du_lieu'!X159</f>
        <v>1.221371158364279</v>
      </c>
      <c r="I28" s="9">
        <f>'1_Du_lieu'!T159</f>
        <v>0.53094212730812351</v>
      </c>
      <c r="J28" s="9">
        <f>'1_Du_lieu'!Y159</f>
        <v>8.4471998195957028</v>
      </c>
      <c r="K28" s="9">
        <f>'1_Du_lieu'!O159</f>
        <v>18</v>
      </c>
      <c r="L28" s="5">
        <f t="shared" si="0"/>
        <v>0</v>
      </c>
      <c r="M28" s="5">
        <f t="shared" si="1"/>
        <v>0</v>
      </c>
      <c r="N28" s="5">
        <f t="shared" si="2"/>
        <v>0</v>
      </c>
      <c r="O28" s="5">
        <f t="shared" si="3"/>
        <v>0</v>
      </c>
      <c r="P28" s="5">
        <f t="shared" si="4"/>
        <v>0</v>
      </c>
      <c r="AA28" s="5">
        <f>'1_Du_lieu'!D159</f>
        <v>0</v>
      </c>
    </row>
    <row r="29" spans="1:27" x14ac:dyDescent="0.25">
      <c r="A29" t="s">
        <v>120</v>
      </c>
      <c r="B29">
        <v>2019</v>
      </c>
      <c r="C29" s="7">
        <f>'1_Du_lieu'!V160</f>
        <v>3.5695326964813701</v>
      </c>
      <c r="D29" s="9">
        <f>'1_Du_lieu'!W160</f>
        <v>4.220977213155467</v>
      </c>
      <c r="E29" s="9">
        <f>'1_Du_lieu'!L160</f>
        <v>3.516</v>
      </c>
      <c r="F29" s="9">
        <f>'1_Du_lieu'!M160</f>
        <v>23.39</v>
      </c>
      <c r="G29" s="9">
        <f>'1_Du_lieu'!N160</f>
        <v>19.5</v>
      </c>
      <c r="H29" s="9">
        <f>'1_Du_lieu'!X160</f>
        <v>2.1232809348141224</v>
      </c>
      <c r="I29" s="9">
        <f>'1_Du_lieu'!T160</f>
        <v>1.9091776898949955</v>
      </c>
      <c r="J29" s="9">
        <f>'1_Du_lieu'!Y160</f>
        <v>6.6682282484174031</v>
      </c>
      <c r="K29" s="9">
        <f>'1_Du_lieu'!O160</f>
        <v>24.5</v>
      </c>
      <c r="L29" s="5">
        <f t="shared" si="0"/>
        <v>0</v>
      </c>
      <c r="M29" s="5">
        <f t="shared" si="1"/>
        <v>0</v>
      </c>
      <c r="N29" s="5">
        <f t="shared" si="2"/>
        <v>0</v>
      </c>
      <c r="O29" s="5">
        <f t="shared" si="3"/>
        <v>0</v>
      </c>
      <c r="P29" s="5">
        <f t="shared" si="4"/>
        <v>0</v>
      </c>
      <c r="AA29" s="5">
        <f>'1_Du_lieu'!D160</f>
        <v>0</v>
      </c>
    </row>
    <row r="30" spans="1:27" x14ac:dyDescent="0.25">
      <c r="A30" t="s">
        <v>121</v>
      </c>
      <c r="B30">
        <v>2019</v>
      </c>
      <c r="C30" s="7">
        <f>'1_Du_lieu'!V161</f>
        <v>3.6988297849671046</v>
      </c>
      <c r="D30" s="9">
        <f>'1_Du_lieu'!W161</f>
        <v>4.1026433650367959</v>
      </c>
      <c r="E30" s="9">
        <f>'1_Du_lieu'!L161</f>
        <v>4.8630000000000004</v>
      </c>
      <c r="F30" s="9">
        <f>'1_Du_lieu'!M161</f>
        <v>39.17</v>
      </c>
      <c r="G30" s="9">
        <f>'1_Du_lieu'!N161</f>
        <v>16.7</v>
      </c>
      <c r="H30" s="9">
        <f>'1_Du_lieu'!X161</f>
        <v>2.424660365279816</v>
      </c>
      <c r="I30" s="9">
        <f>'1_Du_lieu'!T161</f>
        <v>0.53875163549603633</v>
      </c>
      <c r="J30" s="9">
        <f>'1_Du_lieu'!Y161</f>
        <v>5.9957055413652363</v>
      </c>
      <c r="K30" s="9">
        <f>'1_Du_lieu'!O161</f>
        <v>30.8</v>
      </c>
      <c r="L30" s="5">
        <f t="shared" si="0"/>
        <v>0</v>
      </c>
      <c r="M30" s="5">
        <f t="shared" si="1"/>
        <v>0</v>
      </c>
      <c r="N30" s="5">
        <f t="shared" si="2"/>
        <v>0</v>
      </c>
      <c r="O30" s="5">
        <f t="shared" si="3"/>
        <v>0</v>
      </c>
      <c r="P30" s="5">
        <f t="shared" si="4"/>
        <v>0</v>
      </c>
      <c r="AA30" s="5">
        <f>'1_Du_lieu'!D161</f>
        <v>0</v>
      </c>
    </row>
    <row r="31" spans="1:27" x14ac:dyDescent="0.25">
      <c r="A31" t="s">
        <v>122</v>
      </c>
      <c r="B31">
        <v>2019</v>
      </c>
      <c r="C31" s="7">
        <f>'1_Du_lieu'!V162</f>
        <v>3.3603753871419002</v>
      </c>
      <c r="D31" s="9">
        <f>'1_Du_lieu'!W162</f>
        <v>3.735285826928092</v>
      </c>
      <c r="E31" s="9">
        <f>'1_Du_lieu'!L162</f>
        <v>2.4340000000000002</v>
      </c>
      <c r="F31" s="9">
        <f>'1_Du_lieu'!M162</f>
        <v>20.48</v>
      </c>
      <c r="G31" s="9">
        <f>'1_Du_lieu'!N162</f>
        <v>16.5</v>
      </c>
      <c r="H31" s="9">
        <f>'1_Du_lieu'!X162</f>
        <v>2.1793949640432282</v>
      </c>
      <c r="I31" s="9">
        <f>'1_Du_lieu'!T162</f>
        <v>0.76647930505876349</v>
      </c>
      <c r="J31" s="9">
        <f>'1_Du_lieu'!Y162</f>
        <v>5.7212948997408324</v>
      </c>
      <c r="K31" s="9">
        <f>'1_Du_lieu'!O162</f>
        <v>15</v>
      </c>
      <c r="L31" s="5">
        <f t="shared" si="0"/>
        <v>0</v>
      </c>
      <c r="M31" s="5">
        <f t="shared" si="1"/>
        <v>0</v>
      </c>
      <c r="N31" s="5">
        <f t="shared" si="2"/>
        <v>0</v>
      </c>
      <c r="O31" s="5">
        <f t="shared" si="3"/>
        <v>0</v>
      </c>
      <c r="P31" s="5">
        <f t="shared" si="4"/>
        <v>0</v>
      </c>
      <c r="AA31" s="5">
        <f>'1_Du_lieu'!D162</f>
        <v>0</v>
      </c>
    </row>
    <row r="32" spans="1:27" x14ac:dyDescent="0.25">
      <c r="A32" t="s">
        <v>123</v>
      </c>
      <c r="B32">
        <v>2019</v>
      </c>
      <c r="C32" s="7">
        <f>'1_Du_lieu'!V163</f>
        <v>3.6888794541139363</v>
      </c>
      <c r="D32" s="9">
        <f>'1_Du_lieu'!W163</f>
        <v>3.6635616461296463</v>
      </c>
      <c r="E32" s="9">
        <f>'1_Du_lieu'!L163</f>
        <v>3.1869999999999998</v>
      </c>
      <c r="F32" s="9">
        <f>'1_Du_lieu'!M163</f>
        <v>18.18</v>
      </c>
      <c r="G32" s="9">
        <f>'1_Du_lieu'!N163</f>
        <v>17.7</v>
      </c>
      <c r="H32" s="9">
        <f>'1_Du_lieu'!X163</f>
        <v>2.0236282045263727</v>
      </c>
      <c r="I32" s="9">
        <f>'1_Du_lieu'!T163</f>
        <v>1.010724914369139</v>
      </c>
      <c r="J32" s="9">
        <f>'1_Du_lieu'!Y163</f>
        <v>7.5857888217320344</v>
      </c>
      <c r="K32" s="9">
        <f>'1_Du_lieu'!O163</f>
        <v>10.199999999999999</v>
      </c>
      <c r="L32" s="5">
        <f t="shared" si="0"/>
        <v>0</v>
      </c>
      <c r="M32" s="5">
        <f t="shared" si="1"/>
        <v>0</v>
      </c>
      <c r="N32" s="5">
        <f t="shared" si="2"/>
        <v>0</v>
      </c>
      <c r="O32" s="5">
        <f t="shared" si="3"/>
        <v>0</v>
      </c>
      <c r="P32" s="5">
        <f t="shared" si="4"/>
        <v>0</v>
      </c>
      <c r="AA32" s="5">
        <f>'1_Du_lieu'!D163</f>
        <v>1</v>
      </c>
    </row>
    <row r="33" spans="1:27" x14ac:dyDescent="0.25">
      <c r="A33" t="s">
        <v>124</v>
      </c>
      <c r="B33">
        <v>2019</v>
      </c>
      <c r="C33" s="7">
        <f>'1_Du_lieu'!V164</f>
        <v>3.7471483622379123</v>
      </c>
      <c r="D33" s="9">
        <f>'1_Du_lieu'!W164</f>
        <v>3.6838669122903918</v>
      </c>
      <c r="E33" s="9">
        <f>'1_Du_lieu'!L164</f>
        <v>3.2530000000000001</v>
      </c>
      <c r="F33" s="9">
        <f>'1_Du_lieu'!M164</f>
        <v>14.7</v>
      </c>
      <c r="G33" s="9">
        <f>'1_Du_lieu'!N164</f>
        <v>20.7</v>
      </c>
      <c r="H33" s="9">
        <f>'1_Du_lieu'!X164</f>
        <v>3.4398768452766815</v>
      </c>
      <c r="I33" s="9">
        <f>'1_Du_lieu'!T164</f>
        <v>3.1763154740501025</v>
      </c>
      <c r="J33" s="9">
        <f>'1_Du_lieu'!Y164</f>
        <v>6.4734276261888715</v>
      </c>
      <c r="K33" s="9">
        <f>'1_Du_lieu'!O164</f>
        <v>18.899999999999999</v>
      </c>
      <c r="L33" s="5">
        <f t="shared" si="0"/>
        <v>0</v>
      </c>
      <c r="M33" s="5">
        <f t="shared" si="1"/>
        <v>0</v>
      </c>
      <c r="N33" s="5">
        <f t="shared" si="2"/>
        <v>0</v>
      </c>
      <c r="O33" s="5">
        <f t="shared" si="3"/>
        <v>0</v>
      </c>
      <c r="P33" s="5">
        <f t="shared" si="4"/>
        <v>0</v>
      </c>
      <c r="AA33" s="5">
        <f>'1_Du_lieu'!D164</f>
        <v>0</v>
      </c>
    </row>
    <row r="34" spans="1:27" x14ac:dyDescent="0.25">
      <c r="A34" t="s">
        <v>125</v>
      </c>
      <c r="B34">
        <v>2019</v>
      </c>
      <c r="C34" s="7">
        <f>'1_Du_lieu'!V165</f>
        <v>3.7184382563554808</v>
      </c>
      <c r="D34" s="9">
        <f>'1_Du_lieu'!W165</f>
        <v>4.1399550734741526</v>
      </c>
      <c r="E34" s="9">
        <f>'1_Du_lieu'!L165</f>
        <v>4.3440000000000003</v>
      </c>
      <c r="F34" s="9">
        <f>'1_Du_lieu'!M165</f>
        <v>21.11</v>
      </c>
      <c r="G34" s="9">
        <f>'1_Du_lieu'!N165</f>
        <v>28.9</v>
      </c>
      <c r="H34" s="9">
        <f>'1_Du_lieu'!X165</f>
        <v>3.2331082416068808</v>
      </c>
      <c r="I34" s="9">
        <f>'1_Du_lieu'!T165</f>
        <v>1.015744032503809</v>
      </c>
      <c r="J34" s="9">
        <f>'1_Du_lieu'!Y165</f>
        <v>7.2581304207723409</v>
      </c>
      <c r="K34" s="9">
        <f>'1_Du_lieu'!O165</f>
        <v>16.100000000000001</v>
      </c>
      <c r="L34" s="5">
        <f t="shared" si="0"/>
        <v>0</v>
      </c>
      <c r="M34" s="5">
        <f t="shared" si="1"/>
        <v>0</v>
      </c>
      <c r="N34" s="5">
        <f t="shared" si="2"/>
        <v>0</v>
      </c>
      <c r="O34" s="5">
        <f t="shared" si="3"/>
        <v>0</v>
      </c>
      <c r="P34" s="5">
        <f t="shared" si="4"/>
        <v>0</v>
      </c>
      <c r="AA34" s="5">
        <f>'1_Du_lieu'!D165</f>
        <v>1</v>
      </c>
    </row>
    <row r="35" spans="1:27" x14ac:dyDescent="0.25">
      <c r="A35" t="s">
        <v>126</v>
      </c>
      <c r="B35">
        <v>2019</v>
      </c>
      <c r="C35" s="7">
        <f>'1_Du_lieu'!V166</f>
        <v>3.5085558999826545</v>
      </c>
      <c r="D35" s="9">
        <f>'1_Du_lieu'!W166</f>
        <v>3.9646154555473165</v>
      </c>
      <c r="E35" s="9">
        <f>'1_Du_lieu'!L166</f>
        <v>3.9630000000000001</v>
      </c>
      <c r="F35" s="9">
        <f>'1_Du_lieu'!M166</f>
        <v>35.75</v>
      </c>
      <c r="G35" s="9">
        <f>'1_Du_lieu'!N166</f>
        <v>18.899999999999999</v>
      </c>
      <c r="H35" s="9">
        <f>'1_Du_lieu'!X166</f>
        <v>2.3019927009824763</v>
      </c>
      <c r="I35" s="9">
        <f>'1_Du_lieu'!T166</f>
        <v>1.1844331641285957</v>
      </c>
      <c r="J35" s="9">
        <f>'1_Du_lieu'!Y166</f>
        <v>7.9710166903473212</v>
      </c>
      <c r="K35" s="9">
        <f>'1_Du_lieu'!O166</f>
        <v>12.8</v>
      </c>
      <c r="L35" s="5">
        <f t="shared" si="0"/>
        <v>0</v>
      </c>
      <c r="M35" s="5">
        <f t="shared" si="1"/>
        <v>0</v>
      </c>
      <c r="N35" s="5">
        <f t="shared" si="2"/>
        <v>0</v>
      </c>
      <c r="O35" s="5">
        <f t="shared" si="3"/>
        <v>0</v>
      </c>
      <c r="P35" s="5">
        <f t="shared" si="4"/>
        <v>0</v>
      </c>
      <c r="AA35" s="5">
        <f>'1_Du_lieu'!D166</f>
        <v>0</v>
      </c>
    </row>
    <row r="36" spans="1:27" x14ac:dyDescent="0.25">
      <c r="A36" t="s">
        <v>127</v>
      </c>
      <c r="B36">
        <v>2019</v>
      </c>
      <c r="C36" s="7">
        <f>'1_Du_lieu'!V167</f>
        <v>3.6584202466292277</v>
      </c>
      <c r="D36" s="9">
        <f>'1_Du_lieu'!W167</f>
        <v>3.8522730010223722</v>
      </c>
      <c r="E36" s="9">
        <f>'1_Du_lieu'!L167</f>
        <v>3.35</v>
      </c>
      <c r="F36" s="9">
        <f>'1_Du_lieu'!M167</f>
        <v>18.37</v>
      </c>
      <c r="G36" s="9">
        <f>'1_Du_lieu'!N167</f>
        <v>24.6</v>
      </c>
      <c r="H36" s="9">
        <f>'1_Du_lieu'!X167</f>
        <v>2.9844819641613083</v>
      </c>
      <c r="I36" s="9">
        <f>'1_Du_lieu'!T167</f>
        <v>1.2956901254773594</v>
      </c>
      <c r="J36" s="9">
        <f>'1_Du_lieu'!Y167</f>
        <v>6.9939329752231894</v>
      </c>
      <c r="K36" s="9">
        <f>'1_Du_lieu'!O167</f>
        <v>21.4</v>
      </c>
      <c r="L36" s="5">
        <f t="shared" si="0"/>
        <v>0</v>
      </c>
      <c r="M36" s="5">
        <f t="shared" si="1"/>
        <v>0</v>
      </c>
      <c r="N36" s="5">
        <f t="shared" si="2"/>
        <v>0</v>
      </c>
      <c r="O36" s="5">
        <f t="shared" si="3"/>
        <v>0</v>
      </c>
      <c r="P36" s="5">
        <f t="shared" si="4"/>
        <v>0</v>
      </c>
      <c r="AA36" s="5">
        <f>'1_Du_lieu'!D167</f>
        <v>0</v>
      </c>
    </row>
    <row r="37" spans="1:27" x14ac:dyDescent="0.25">
      <c r="A37" t="s">
        <v>128</v>
      </c>
      <c r="B37">
        <v>2019</v>
      </c>
      <c r="C37" s="7">
        <f>'1_Du_lieu'!V168</f>
        <v>3.5524868292083815</v>
      </c>
      <c r="D37" s="9">
        <f>'1_Du_lieu'!W168</f>
        <v>3.8836235309064482</v>
      </c>
      <c r="E37" s="9">
        <f>'1_Du_lieu'!L168</f>
        <v>3.1150000000000002</v>
      </c>
      <c r="F37" s="9">
        <f>'1_Du_lieu'!M168</f>
        <v>28.74</v>
      </c>
      <c r="G37" s="9">
        <f>'1_Du_lieu'!N168</f>
        <v>16.600000000000001</v>
      </c>
      <c r="H37" s="9">
        <f>'1_Du_lieu'!X168</f>
        <v>2.6973811817596256</v>
      </c>
      <c r="I37" s="9">
        <f>'1_Du_lieu'!T168</f>
        <v>0.68712780577187349</v>
      </c>
      <c r="J37" s="9">
        <f>'1_Du_lieu'!Y168</f>
        <v>7.731623657265092</v>
      </c>
      <c r="K37" s="9">
        <f>'1_Du_lieu'!O168</f>
        <v>18.899999999999999</v>
      </c>
      <c r="L37" s="5">
        <f t="shared" si="0"/>
        <v>0</v>
      </c>
      <c r="M37" s="5">
        <f t="shared" si="1"/>
        <v>0</v>
      </c>
      <c r="N37" s="5">
        <f t="shared" si="2"/>
        <v>0</v>
      </c>
      <c r="O37" s="5">
        <f t="shared" si="3"/>
        <v>0</v>
      </c>
      <c r="P37" s="5">
        <f t="shared" si="4"/>
        <v>0</v>
      </c>
      <c r="AA37" s="5">
        <f>'1_Du_lieu'!D168</f>
        <v>0</v>
      </c>
    </row>
    <row r="38" spans="1:27" x14ac:dyDescent="0.25">
      <c r="A38" t="s">
        <v>129</v>
      </c>
      <c r="B38">
        <v>2019</v>
      </c>
      <c r="C38" s="7">
        <f>'1_Du_lieu'!V169</f>
        <v>3.459466289786131</v>
      </c>
      <c r="D38" s="9">
        <f>'1_Du_lieu'!W169</f>
        <v>3.7773481021015445</v>
      </c>
      <c r="E38" s="9">
        <f>'1_Du_lieu'!L169</f>
        <v>4.641</v>
      </c>
      <c r="F38" s="9">
        <f>'1_Du_lieu'!M169</f>
        <v>20.99</v>
      </c>
      <c r="G38" s="9">
        <f>'1_Du_lieu'!N169</f>
        <v>21.7</v>
      </c>
      <c r="H38" s="9">
        <f>'1_Du_lieu'!X169</f>
        <v>3.2311755139274179</v>
      </c>
      <c r="I38" s="9">
        <f>'1_Du_lieu'!T169</f>
        <v>0.89225964755743925</v>
      </c>
      <c r="J38" s="9">
        <f>'1_Du_lieu'!Y169</f>
        <v>6.752270376141742</v>
      </c>
      <c r="K38" s="9">
        <f>'1_Du_lieu'!O169</f>
        <v>13.4</v>
      </c>
      <c r="L38" s="5">
        <f t="shared" si="0"/>
        <v>0</v>
      </c>
      <c r="M38" s="5">
        <f t="shared" si="1"/>
        <v>0</v>
      </c>
      <c r="N38" s="5">
        <f t="shared" si="2"/>
        <v>0</v>
      </c>
      <c r="O38" s="5">
        <f t="shared" si="3"/>
        <v>0</v>
      </c>
      <c r="P38" s="5">
        <f t="shared" si="4"/>
        <v>0</v>
      </c>
      <c r="AA38" s="5">
        <f>'1_Du_lieu'!D169</f>
        <v>0</v>
      </c>
    </row>
    <row r="39" spans="1:27" x14ac:dyDescent="0.25">
      <c r="A39" t="s">
        <v>130</v>
      </c>
      <c r="B39">
        <v>2019</v>
      </c>
      <c r="C39" s="7">
        <f>'1_Du_lieu'!V170</f>
        <v>3.6661224669913199</v>
      </c>
      <c r="D39" s="9">
        <f>'1_Du_lieu'!W170</f>
        <v>4.1896547420264252</v>
      </c>
      <c r="E39" s="9">
        <f>'1_Du_lieu'!L170</f>
        <v>4.843</v>
      </c>
      <c r="F39" s="9">
        <f>'1_Du_lieu'!M170</f>
        <v>25.35</v>
      </c>
      <c r="G39" s="9">
        <f>'1_Du_lieu'!N170</f>
        <v>18.7</v>
      </c>
      <c r="H39" s="9">
        <f>'1_Du_lieu'!X170</f>
        <v>2.4979541590756296</v>
      </c>
      <c r="I39" s="9">
        <f>'1_Du_lieu'!T170</f>
        <v>0.13355592654424039</v>
      </c>
      <c r="J39" s="9">
        <f>'1_Du_lieu'!Y170</f>
        <v>8.3168380017324584</v>
      </c>
      <c r="K39" s="9">
        <f>'1_Du_lieu'!O170</f>
        <v>16.899999999999999</v>
      </c>
      <c r="L39" s="5">
        <f t="shared" si="0"/>
        <v>0</v>
      </c>
      <c r="M39" s="5">
        <f t="shared" si="1"/>
        <v>0</v>
      </c>
      <c r="N39" s="5">
        <f t="shared" si="2"/>
        <v>0</v>
      </c>
      <c r="O39" s="5">
        <f t="shared" si="3"/>
        <v>0</v>
      </c>
      <c r="P39" s="5">
        <f t="shared" si="4"/>
        <v>0</v>
      </c>
      <c r="AA39" s="5">
        <f>'1_Du_lieu'!D170</f>
        <v>0</v>
      </c>
    </row>
    <row r="40" spans="1:27" x14ac:dyDescent="0.25">
      <c r="A40" t="s">
        <v>131</v>
      </c>
      <c r="B40">
        <v>2019</v>
      </c>
      <c r="C40" s="7">
        <f>'1_Du_lieu'!V171</f>
        <v>3.4563166808832348</v>
      </c>
      <c r="D40" s="9">
        <f>'1_Du_lieu'!W171</f>
        <v>4.255612709818223</v>
      </c>
      <c r="E40" s="9">
        <f>'1_Du_lieu'!L171</f>
        <v>4.1289999999999996</v>
      </c>
      <c r="F40" s="9">
        <f>'1_Du_lieu'!M171</f>
        <v>16.36</v>
      </c>
      <c r="G40" s="9">
        <f>'1_Du_lieu'!N171</f>
        <v>20.9</v>
      </c>
      <c r="H40" s="9">
        <f>'1_Du_lieu'!X171</f>
        <v>2.4036054953092547</v>
      </c>
      <c r="I40" s="9">
        <f>'1_Du_lieu'!T171</f>
        <v>0.73057878074519034</v>
      </c>
      <c r="J40" s="9">
        <f>'1_Du_lieu'!Y171</f>
        <v>7.3121531511298787</v>
      </c>
      <c r="K40" s="9">
        <f>'1_Du_lieu'!O171</f>
        <v>16.399999999999999</v>
      </c>
      <c r="L40" s="5">
        <f t="shared" si="0"/>
        <v>0</v>
      </c>
      <c r="M40" s="5">
        <f t="shared" si="1"/>
        <v>0</v>
      </c>
      <c r="N40" s="5">
        <f t="shared" si="2"/>
        <v>0</v>
      </c>
      <c r="O40" s="5">
        <f t="shared" si="3"/>
        <v>0</v>
      </c>
      <c r="P40" s="5">
        <f t="shared" si="4"/>
        <v>0</v>
      </c>
      <c r="AA40" s="5">
        <f>'1_Du_lieu'!D171</f>
        <v>0</v>
      </c>
    </row>
    <row r="41" spans="1:27" x14ac:dyDescent="0.25">
      <c r="A41" t="s">
        <v>132</v>
      </c>
      <c r="B41">
        <v>2019</v>
      </c>
      <c r="C41" s="7">
        <f>'1_Du_lieu'!V172</f>
        <v>3.8753590210565547</v>
      </c>
      <c r="D41" s="9">
        <f>'1_Du_lieu'!W172</f>
        <v>4.9649403348341261</v>
      </c>
      <c r="E41" s="9">
        <f>'1_Du_lieu'!L172</f>
        <v>6.7229999999999999</v>
      </c>
      <c r="F41" s="9">
        <f>'1_Du_lieu'!M172</f>
        <v>64.44</v>
      </c>
      <c r="G41" s="9">
        <f>'1_Du_lieu'!N172</f>
        <v>37.700000000000003</v>
      </c>
      <c r="H41" s="9">
        <f>'1_Du_lieu'!X172</f>
        <v>3.322961071193907</v>
      </c>
      <c r="I41" s="9">
        <f>'1_Du_lieu'!T172</f>
        <v>2.943840579710145</v>
      </c>
      <c r="J41" s="9">
        <f>'1_Du_lieu'!Y172</f>
        <v>8.4699548225893668</v>
      </c>
      <c r="K41" s="9">
        <f>'1_Du_lieu'!O172</f>
        <v>27.5</v>
      </c>
      <c r="L41" s="5">
        <f t="shared" si="0"/>
        <v>0</v>
      </c>
      <c r="M41" s="5">
        <f t="shared" si="1"/>
        <v>0</v>
      </c>
      <c r="N41" s="5">
        <f t="shared" si="2"/>
        <v>0</v>
      </c>
      <c r="O41" s="5">
        <f t="shared" si="3"/>
        <v>0</v>
      </c>
      <c r="P41" s="5">
        <f t="shared" si="4"/>
        <v>0</v>
      </c>
      <c r="AA41" s="5">
        <f>'1_Du_lieu'!D172</f>
        <v>1</v>
      </c>
    </row>
    <row r="42" spans="1:27" x14ac:dyDescent="0.25">
      <c r="A42" t="s">
        <v>133</v>
      </c>
      <c r="B42">
        <v>2019</v>
      </c>
      <c r="C42" s="7">
        <f>'1_Du_lieu'!V173</f>
        <v>3.4242626545931514</v>
      </c>
      <c r="D42" s="9">
        <f>'1_Du_lieu'!W173</f>
        <v>3.9180050771056933</v>
      </c>
      <c r="E42" s="9">
        <f>'1_Du_lieu'!L173</f>
        <v>4.26</v>
      </c>
      <c r="F42" s="9">
        <f>'1_Du_lieu'!M173</f>
        <v>31.01</v>
      </c>
      <c r="G42" s="9">
        <f>'1_Du_lieu'!N173</f>
        <v>23.2</v>
      </c>
      <c r="H42" s="9">
        <f>'1_Du_lieu'!X173</f>
        <v>2.8207283673811534</v>
      </c>
      <c r="I42" s="9">
        <f>'1_Du_lieu'!T173</f>
        <v>3.4733185980423116</v>
      </c>
      <c r="J42" s="9">
        <f>'1_Du_lieu'!Y173</f>
        <v>4.9067551636088638</v>
      </c>
      <c r="K42" s="9">
        <f>'1_Du_lieu'!O173</f>
        <v>17.7</v>
      </c>
      <c r="L42" s="5">
        <f t="shared" si="0"/>
        <v>0</v>
      </c>
      <c r="M42" s="5">
        <f t="shared" si="1"/>
        <v>0</v>
      </c>
      <c r="N42" s="5">
        <f t="shared" si="2"/>
        <v>0</v>
      </c>
      <c r="O42" s="5">
        <f t="shared" si="3"/>
        <v>0</v>
      </c>
      <c r="P42" s="5">
        <f t="shared" si="4"/>
        <v>0</v>
      </c>
      <c r="AA42" s="5">
        <f>'1_Du_lieu'!D173</f>
        <v>0</v>
      </c>
    </row>
    <row r="43" spans="1:27" x14ac:dyDescent="0.25">
      <c r="A43" t="s">
        <v>136</v>
      </c>
      <c r="B43">
        <v>2019</v>
      </c>
      <c r="C43" s="7">
        <f>'1_Du_lieu'!V176</f>
        <v>4.4636066216663046</v>
      </c>
      <c r="D43" s="9">
        <f>'1_Du_lieu'!W176</f>
        <v>5.0019308534661091</v>
      </c>
      <c r="E43" s="9">
        <f>'1_Du_lieu'!L176</f>
        <v>26.510999999999999</v>
      </c>
      <c r="F43" s="9">
        <f>'1_Du_lieu'!M176</f>
        <v>79.23</v>
      </c>
      <c r="G43" s="9">
        <f>'1_Du_lieu'!N176</f>
        <v>37.1</v>
      </c>
      <c r="H43" s="9">
        <f>'1_Du_lieu'!X176</f>
        <v>2.5840430585278642</v>
      </c>
      <c r="I43" s="9">
        <f>'1_Du_lieu'!T176</f>
        <v>2.821233376850397</v>
      </c>
      <c r="J43" s="9">
        <f>'1_Du_lieu'!Y176</f>
        <v>8.5646300593408586</v>
      </c>
      <c r="K43" s="9">
        <f>'1_Du_lieu'!O176</f>
        <v>54.3</v>
      </c>
      <c r="L43" s="5">
        <f t="shared" si="0"/>
        <v>0</v>
      </c>
      <c r="M43" s="5">
        <f t="shared" si="1"/>
        <v>0</v>
      </c>
      <c r="N43" s="5">
        <f t="shared" si="2"/>
        <v>0</v>
      </c>
      <c r="O43" s="5">
        <f t="shared" si="3"/>
        <v>0</v>
      </c>
      <c r="P43" s="5">
        <f t="shared" si="4"/>
        <v>0</v>
      </c>
      <c r="AA43" s="5">
        <f>'1_Du_lieu'!D176</f>
        <v>1</v>
      </c>
    </row>
    <row r="44" spans="1:27" x14ac:dyDescent="0.25">
      <c r="A44" t="s">
        <v>137</v>
      </c>
      <c r="B44">
        <v>2019</v>
      </c>
      <c r="C44" s="7">
        <f>'1_Du_lieu'!V177</f>
        <v>3.648057459593681</v>
      </c>
      <c r="D44" s="9">
        <f>'1_Du_lieu'!W177</f>
        <v>3.8774315606585268</v>
      </c>
      <c r="E44" s="9">
        <f>'1_Du_lieu'!L177</f>
        <v>3.226</v>
      </c>
      <c r="F44" s="9">
        <f>'1_Du_lieu'!M177</f>
        <v>15.01</v>
      </c>
      <c r="G44" s="9">
        <f>'1_Du_lieu'!N177</f>
        <v>19.399999999999999</v>
      </c>
      <c r="H44" s="9">
        <f>'1_Du_lieu'!X177</f>
        <v>2.6995385736963504</v>
      </c>
      <c r="I44" s="9">
        <f>'1_Du_lieu'!T177</f>
        <v>0.60343408854023806</v>
      </c>
      <c r="J44" s="9">
        <f>'1_Du_lieu'!Y177</f>
        <v>8.267063775017041</v>
      </c>
      <c r="K44" s="9">
        <f>'1_Du_lieu'!O177</f>
        <v>16.7</v>
      </c>
      <c r="L44" s="5">
        <f t="shared" si="0"/>
        <v>0</v>
      </c>
      <c r="M44" s="5">
        <f t="shared" si="1"/>
        <v>0</v>
      </c>
      <c r="N44" s="5">
        <f t="shared" si="2"/>
        <v>0</v>
      </c>
      <c r="O44" s="5">
        <f t="shared" si="3"/>
        <v>0</v>
      </c>
      <c r="P44" s="5">
        <f t="shared" si="4"/>
        <v>0</v>
      </c>
      <c r="AA44" s="5">
        <f>'1_Du_lieu'!D177</f>
        <v>0</v>
      </c>
    </row>
    <row r="45" spans="1:27" x14ac:dyDescent="0.25">
      <c r="A45" t="s">
        <v>138</v>
      </c>
      <c r="B45">
        <v>2019</v>
      </c>
      <c r="C45" s="7">
        <f>'1_Du_lieu'!V178</f>
        <v>3.6323091026255421</v>
      </c>
      <c r="D45" s="9">
        <f>'1_Du_lieu'!W178</f>
        <v>3.8110970868381857</v>
      </c>
      <c r="E45" s="9">
        <f>'1_Du_lieu'!L178</f>
        <v>2.68</v>
      </c>
      <c r="F45" s="9">
        <f>'1_Du_lieu'!M178</f>
        <v>10.58</v>
      </c>
      <c r="G45" s="9">
        <f>'1_Du_lieu'!N178</f>
        <v>15.3</v>
      </c>
      <c r="H45" s="9">
        <f>'1_Du_lieu'!X178</f>
        <v>1.4322625798606323</v>
      </c>
      <c r="I45" s="9">
        <f>'1_Du_lieu'!T178</f>
        <v>0.69809902266136825</v>
      </c>
      <c r="J45" s="9">
        <f>'1_Du_lieu'!Y178</f>
        <v>5.9409604149342137</v>
      </c>
      <c r="K45" s="9">
        <f>'1_Du_lieu'!O178</f>
        <v>14.4</v>
      </c>
      <c r="L45" s="5">
        <f t="shared" si="0"/>
        <v>0</v>
      </c>
      <c r="M45" s="5">
        <f t="shared" si="1"/>
        <v>0</v>
      </c>
      <c r="N45" s="5">
        <f t="shared" si="2"/>
        <v>0</v>
      </c>
      <c r="O45" s="5">
        <f t="shared" si="3"/>
        <v>0</v>
      </c>
      <c r="P45" s="5">
        <f t="shared" si="4"/>
        <v>0</v>
      </c>
      <c r="AA45" s="5">
        <f>'1_Du_lieu'!D178</f>
        <v>1</v>
      </c>
    </row>
    <row r="46" spans="1:27" x14ac:dyDescent="0.25">
      <c r="A46" t="s">
        <v>139</v>
      </c>
      <c r="B46">
        <v>2019</v>
      </c>
      <c r="C46" s="7">
        <f>'1_Du_lieu'!V179</f>
        <v>3.597312260588446</v>
      </c>
      <c r="D46" s="9">
        <f>'1_Du_lieu'!W179</f>
        <v>4.5097600011834329</v>
      </c>
      <c r="E46" s="9">
        <f>'1_Du_lieu'!L179</f>
        <v>3.5059999999999998</v>
      </c>
      <c r="F46" s="9">
        <f>'1_Du_lieu'!M179</f>
        <v>32.06</v>
      </c>
      <c r="G46" s="9">
        <f>'1_Du_lieu'!N179</f>
        <v>27.2</v>
      </c>
      <c r="H46" s="9">
        <f>'1_Du_lieu'!X179</f>
        <v>3.2693842424150779</v>
      </c>
      <c r="I46" s="9">
        <f>'1_Du_lieu'!T179</f>
        <v>2.4788906964133552</v>
      </c>
      <c r="J46" s="9">
        <f>'1_Du_lieu'!Y179</f>
        <v>8.7663630996346544</v>
      </c>
      <c r="K46" s="9">
        <f>'1_Du_lieu'!O179</f>
        <v>23.8</v>
      </c>
      <c r="L46" s="5">
        <f t="shared" si="0"/>
        <v>0</v>
      </c>
      <c r="M46" s="5">
        <f t="shared" si="1"/>
        <v>0</v>
      </c>
      <c r="N46" s="5">
        <f t="shared" si="2"/>
        <v>0</v>
      </c>
      <c r="O46" s="5">
        <f t="shared" si="3"/>
        <v>0</v>
      </c>
      <c r="P46" s="5">
        <f t="shared" si="4"/>
        <v>0</v>
      </c>
      <c r="AA46" s="5">
        <f>'1_Du_lieu'!D179</f>
        <v>0</v>
      </c>
    </row>
    <row r="47" spans="1:27" x14ac:dyDescent="0.25">
      <c r="A47" t="s">
        <v>141</v>
      </c>
      <c r="B47">
        <v>2019</v>
      </c>
      <c r="C47" s="7">
        <f>'1_Du_lieu'!V181</f>
        <v>3.572345637857985</v>
      </c>
      <c r="D47" s="9">
        <f>'1_Du_lieu'!W181</f>
        <v>4.0000338827508592</v>
      </c>
      <c r="E47" s="9">
        <f>'1_Du_lieu'!L181</f>
        <v>2.5539999999999998</v>
      </c>
      <c r="F47" s="9">
        <f>'1_Du_lieu'!M181</f>
        <v>14</v>
      </c>
      <c r="G47" s="9">
        <f>'1_Du_lieu'!N181</f>
        <v>11.7</v>
      </c>
      <c r="H47" s="9">
        <f>'1_Du_lieu'!X181</f>
        <v>1.0239539783474703</v>
      </c>
      <c r="I47" s="9">
        <f>'1_Du_lieu'!T181</f>
        <v>0.79261733567344161</v>
      </c>
      <c r="J47" s="9">
        <f>'1_Du_lieu'!Y181</f>
        <v>7.2878342006998853</v>
      </c>
      <c r="K47" s="9">
        <f>'1_Du_lieu'!O181</f>
        <v>18.899999999999999</v>
      </c>
      <c r="L47" s="5">
        <f t="shared" si="0"/>
        <v>0</v>
      </c>
      <c r="M47" s="5">
        <f t="shared" si="1"/>
        <v>0</v>
      </c>
      <c r="N47" s="5">
        <f t="shared" si="2"/>
        <v>0</v>
      </c>
      <c r="O47" s="5">
        <f t="shared" si="3"/>
        <v>0</v>
      </c>
      <c r="P47" s="5">
        <f t="shared" si="4"/>
        <v>0</v>
      </c>
      <c r="AA47" s="5">
        <f>'1_Du_lieu'!D181</f>
        <v>0</v>
      </c>
    </row>
    <row r="48" spans="1:27" x14ac:dyDescent="0.25">
      <c r="A48" t="s">
        <v>142</v>
      </c>
      <c r="B48">
        <v>2019</v>
      </c>
      <c r="C48" s="7">
        <f>'1_Du_lieu'!V182</f>
        <v>3.4307561839036995</v>
      </c>
      <c r="D48" s="9">
        <f>'1_Du_lieu'!W182</f>
        <v>4.0758410906575406</v>
      </c>
      <c r="E48" s="9">
        <f>'1_Du_lieu'!L182</f>
        <v>2.0179999999999998</v>
      </c>
      <c r="F48" s="9">
        <f>'1_Du_lieu'!M182</f>
        <v>17.25</v>
      </c>
      <c r="G48" s="9">
        <f>'1_Du_lieu'!N182</f>
        <v>11.8</v>
      </c>
      <c r="H48" s="9">
        <f>'1_Du_lieu'!X182</f>
        <v>1.6547827063630074</v>
      </c>
      <c r="I48" s="9">
        <f>'1_Du_lieu'!T182</f>
        <v>0.79262855444367386</v>
      </c>
      <c r="J48" s="9">
        <f>'1_Du_lieu'!Y182</f>
        <v>8.1019807318531925</v>
      </c>
      <c r="K48" s="9">
        <f>'1_Du_lieu'!O182</f>
        <v>14.1</v>
      </c>
      <c r="L48" s="5">
        <f t="shared" si="0"/>
        <v>0</v>
      </c>
      <c r="M48" s="5">
        <f t="shared" si="1"/>
        <v>0</v>
      </c>
      <c r="N48" s="5">
        <f t="shared" si="2"/>
        <v>0</v>
      </c>
      <c r="O48" s="5">
        <f t="shared" si="3"/>
        <v>0</v>
      </c>
      <c r="P48" s="5">
        <f t="shared" si="4"/>
        <v>0</v>
      </c>
      <c r="AA48" s="5">
        <f>'1_Du_lieu'!D182</f>
        <v>0</v>
      </c>
    </row>
    <row r="49" spans="1:27" x14ac:dyDescent="0.25">
      <c r="A49" t="s">
        <v>143</v>
      </c>
      <c r="B49">
        <v>2019</v>
      </c>
      <c r="C49" s="7">
        <f>'1_Du_lieu'!V183</f>
        <v>3.3638415951183864</v>
      </c>
      <c r="D49" s="9">
        <f>'1_Du_lieu'!W183</f>
        <v>3.6788291182604347</v>
      </c>
      <c r="E49" s="9">
        <f>'1_Du_lieu'!L183</f>
        <v>1.69</v>
      </c>
      <c r="F49" s="9">
        <f>'1_Du_lieu'!M183</f>
        <v>13.81</v>
      </c>
      <c r="G49" s="9">
        <f>'1_Du_lieu'!N183</f>
        <v>20.7</v>
      </c>
      <c r="H49" s="9">
        <f>'1_Du_lieu'!X183</f>
        <v>2.9899096829905254</v>
      </c>
      <c r="I49" s="9">
        <f>'1_Du_lieu'!T183</f>
        <v>1.0174233753020476</v>
      </c>
      <c r="J49" s="9">
        <f>'1_Du_lieu'!Y183</f>
        <v>5.5629866646907447</v>
      </c>
      <c r="K49" s="9">
        <f>'1_Du_lieu'!O183</f>
        <v>14.3</v>
      </c>
      <c r="L49" s="5">
        <f t="shared" si="0"/>
        <v>0</v>
      </c>
      <c r="M49" s="5">
        <f t="shared" si="1"/>
        <v>0</v>
      </c>
      <c r="N49" s="5">
        <f t="shared" si="2"/>
        <v>0</v>
      </c>
      <c r="O49" s="5">
        <f t="shared" si="3"/>
        <v>0</v>
      </c>
      <c r="P49" s="5">
        <f t="shared" si="4"/>
        <v>0</v>
      </c>
      <c r="AA49" s="5">
        <f>'1_Du_lieu'!D183</f>
        <v>0</v>
      </c>
    </row>
    <row r="50" spans="1:27" x14ac:dyDescent="0.25">
      <c r="A50" t="s">
        <v>144</v>
      </c>
      <c r="B50">
        <v>2019</v>
      </c>
      <c r="C50" s="7">
        <f>'1_Du_lieu'!V184</f>
        <v>3.655839600035736</v>
      </c>
      <c r="D50" s="9">
        <f>'1_Du_lieu'!W184</f>
        <v>4.257030144499196</v>
      </c>
      <c r="E50" s="9">
        <f>'1_Du_lieu'!L184</f>
        <v>3.41</v>
      </c>
      <c r="F50" s="9">
        <f>'1_Du_lieu'!M184</f>
        <v>17.78</v>
      </c>
      <c r="G50" s="9">
        <f>'1_Du_lieu'!N184</f>
        <v>12.7</v>
      </c>
      <c r="H50" s="9">
        <f>'1_Du_lieu'!X184</f>
        <v>2.5903525078824048</v>
      </c>
      <c r="I50" s="9">
        <f>'1_Du_lieu'!T184</f>
        <v>1.1948450968677991</v>
      </c>
      <c r="J50" s="9">
        <f>'1_Du_lieu'!Y184</f>
        <v>8.6939995675220825</v>
      </c>
      <c r="K50" s="9">
        <f>'1_Du_lieu'!O184</f>
        <v>15.2</v>
      </c>
      <c r="L50" s="5">
        <f t="shared" si="0"/>
        <v>0</v>
      </c>
      <c r="M50" s="5">
        <f t="shared" si="1"/>
        <v>0</v>
      </c>
      <c r="N50" s="5">
        <f t="shared" si="2"/>
        <v>0</v>
      </c>
      <c r="O50" s="5">
        <f t="shared" si="3"/>
        <v>0</v>
      </c>
      <c r="P50" s="5">
        <f t="shared" si="4"/>
        <v>0</v>
      </c>
      <c r="AA50" s="5">
        <f>'1_Du_lieu'!D184</f>
        <v>1</v>
      </c>
    </row>
    <row r="51" spans="1:27" x14ac:dyDescent="0.25">
      <c r="A51" t="s">
        <v>145</v>
      </c>
      <c r="B51">
        <v>2019</v>
      </c>
      <c r="C51" s="7">
        <f>'1_Du_lieu'!V185</f>
        <v>3.4468078929142076</v>
      </c>
      <c r="D51" s="9">
        <f>'1_Du_lieu'!W185</f>
        <v>3.9684033388642534</v>
      </c>
      <c r="E51" s="9">
        <f>'1_Du_lieu'!L185</f>
        <v>2.4279999999999999</v>
      </c>
      <c r="F51" s="9">
        <f>'1_Du_lieu'!M185</f>
        <v>16.600000000000001</v>
      </c>
      <c r="G51" s="9">
        <f>'1_Du_lieu'!N185</f>
        <v>15.3</v>
      </c>
      <c r="H51" s="9">
        <f>'1_Du_lieu'!X185</f>
        <v>0.60091264943201705</v>
      </c>
      <c r="I51" s="9">
        <f>'1_Du_lieu'!T185</f>
        <v>0.58673968316057112</v>
      </c>
      <c r="J51" s="9">
        <f>'1_Du_lieu'!Y185</f>
        <v>6.5878254589802356</v>
      </c>
      <c r="K51" s="9">
        <f>'1_Du_lieu'!O185</f>
        <v>15.8</v>
      </c>
      <c r="L51" s="5">
        <f t="shared" si="0"/>
        <v>0</v>
      </c>
      <c r="M51" s="5">
        <f t="shared" si="1"/>
        <v>0</v>
      </c>
      <c r="N51" s="5">
        <f t="shared" si="2"/>
        <v>0</v>
      </c>
      <c r="O51" s="5">
        <f t="shared" si="3"/>
        <v>0</v>
      </c>
      <c r="P51" s="5">
        <f t="shared" si="4"/>
        <v>0</v>
      </c>
      <c r="AA51" s="5">
        <f>'1_Du_lieu'!D185</f>
        <v>0</v>
      </c>
    </row>
    <row r="52" spans="1:27" x14ac:dyDescent="0.25">
      <c r="A52" t="s">
        <v>146</v>
      </c>
      <c r="B52">
        <v>2019</v>
      </c>
      <c r="C52" s="7">
        <f>'1_Du_lieu'!V186</f>
        <v>3.7727609380946383</v>
      </c>
      <c r="D52" s="9">
        <f>'1_Du_lieu'!W186</f>
        <v>4.6298627985784631</v>
      </c>
      <c r="E52" s="9">
        <f>'1_Du_lieu'!L186</f>
        <v>6.1210000000000004</v>
      </c>
      <c r="F52" s="9">
        <f>'1_Du_lieu'!M186</f>
        <v>25.56</v>
      </c>
      <c r="G52" s="9">
        <f>'1_Du_lieu'!N186</f>
        <v>24.9</v>
      </c>
      <c r="H52" s="9">
        <f>'1_Du_lieu'!X186</f>
        <v>3.0937468575223277</v>
      </c>
      <c r="I52" s="9">
        <f>'1_Du_lieu'!T186</f>
        <v>0.77935573259438873</v>
      </c>
      <c r="J52" s="9">
        <f>'1_Du_lieu'!Y186</f>
        <v>8.3891552535295322</v>
      </c>
      <c r="K52" s="9">
        <f>'1_Du_lieu'!O186</f>
        <v>27.9</v>
      </c>
      <c r="L52" s="5">
        <f t="shared" si="0"/>
        <v>0</v>
      </c>
      <c r="M52" s="5">
        <f t="shared" si="1"/>
        <v>0</v>
      </c>
      <c r="N52" s="5">
        <f t="shared" si="2"/>
        <v>0</v>
      </c>
      <c r="O52" s="5">
        <f t="shared" si="3"/>
        <v>0</v>
      </c>
      <c r="P52" s="5">
        <f t="shared" si="4"/>
        <v>0</v>
      </c>
      <c r="AA52" s="5">
        <f>'1_Du_lieu'!D186</f>
        <v>1</v>
      </c>
    </row>
    <row r="53" spans="1:27" x14ac:dyDescent="0.25">
      <c r="A53" t="s">
        <v>147</v>
      </c>
      <c r="B53">
        <v>2019</v>
      </c>
      <c r="C53" s="7">
        <f>'1_Du_lieu'!V187</f>
        <v>3.487375077903208</v>
      </c>
      <c r="D53" s="9">
        <f>'1_Du_lieu'!W187</f>
        <v>3.6136169696133895</v>
      </c>
      <c r="E53" s="9">
        <f>'1_Du_lieu'!L187</f>
        <v>1.9550000000000001</v>
      </c>
      <c r="F53" s="9">
        <f>'1_Du_lieu'!M187</f>
        <v>19.84</v>
      </c>
      <c r="G53" s="9">
        <f>'1_Du_lieu'!N187</f>
        <v>17.5</v>
      </c>
      <c r="H53" s="9">
        <f>'1_Du_lieu'!X187</f>
        <v>2.5830387949817473</v>
      </c>
      <c r="I53" s="9">
        <f>'1_Du_lieu'!T187</f>
        <v>0.48602673147023084</v>
      </c>
      <c r="J53" s="9">
        <f>'1_Du_lieu'!Y187</f>
        <v>6.1681452240118508</v>
      </c>
      <c r="K53" s="9">
        <f>'1_Du_lieu'!O187</f>
        <v>10.8</v>
      </c>
      <c r="L53" s="5">
        <f t="shared" si="0"/>
        <v>0</v>
      </c>
      <c r="M53" s="5">
        <f t="shared" si="1"/>
        <v>0</v>
      </c>
      <c r="N53" s="5">
        <f t="shared" si="2"/>
        <v>0</v>
      </c>
      <c r="O53" s="5">
        <f t="shared" si="3"/>
        <v>0</v>
      </c>
      <c r="P53" s="5">
        <f t="shared" si="4"/>
        <v>0</v>
      </c>
      <c r="AA53" s="5">
        <f>'1_Du_lieu'!D187</f>
        <v>0</v>
      </c>
    </row>
    <row r="54" spans="1:27" x14ac:dyDescent="0.25">
      <c r="A54" t="s">
        <v>149</v>
      </c>
      <c r="B54">
        <v>2019</v>
      </c>
      <c r="C54" s="7">
        <f>'1_Du_lieu'!V189</f>
        <v>4.0517849478033048</v>
      </c>
      <c r="D54" s="9">
        <f>'1_Du_lieu'!W189</f>
        <v>4.5788262106484892</v>
      </c>
      <c r="E54" s="9">
        <f>'1_Du_lieu'!L189</f>
        <v>19.776</v>
      </c>
      <c r="F54" s="9">
        <f>'1_Du_lieu'!M189</f>
        <v>87.16</v>
      </c>
      <c r="G54" s="9">
        <f>'1_Du_lieu'!N189</f>
        <v>44.6</v>
      </c>
      <c r="H54" s="9">
        <f>'1_Du_lieu'!X189</f>
        <v>3.4355746767835438</v>
      </c>
      <c r="I54" s="9">
        <f>'1_Du_lieu'!T189</f>
        <v>6.7478748575935512</v>
      </c>
      <c r="J54" s="9">
        <f>'1_Du_lieu'!Y189</f>
        <v>8.4870432144653538</v>
      </c>
      <c r="K54" s="9">
        <f>'1_Du_lieu'!O189</f>
        <v>50.3</v>
      </c>
      <c r="L54" s="5">
        <f t="shared" si="0"/>
        <v>0</v>
      </c>
      <c r="M54" s="5">
        <f t="shared" si="1"/>
        <v>0</v>
      </c>
      <c r="N54" s="5">
        <f t="shared" si="2"/>
        <v>0</v>
      </c>
      <c r="O54" s="5">
        <f t="shared" si="3"/>
        <v>0</v>
      </c>
      <c r="P54" s="5">
        <f t="shared" si="4"/>
        <v>0</v>
      </c>
      <c r="AA54" s="5">
        <f>'1_Du_lieu'!D189</f>
        <v>0</v>
      </c>
    </row>
    <row r="55" spans="1:27" x14ac:dyDescent="0.25">
      <c r="A55" t="s">
        <v>150</v>
      </c>
      <c r="B55">
        <v>2019</v>
      </c>
      <c r="C55" s="7">
        <f>'1_Du_lieu'!V190</f>
        <v>3.572345637857985</v>
      </c>
      <c r="D55" s="9">
        <f>'1_Du_lieu'!W190</f>
        <v>3.730501128804756</v>
      </c>
      <c r="E55" s="9">
        <f>'1_Du_lieu'!L190</f>
        <v>3.1760000000000002</v>
      </c>
      <c r="F55" s="9">
        <f>'1_Du_lieu'!M190</f>
        <v>24.74</v>
      </c>
      <c r="G55" s="9">
        <f>'1_Du_lieu'!N190</f>
        <v>14.6</v>
      </c>
      <c r="H55" s="9">
        <f>'1_Du_lieu'!X190</f>
        <v>2.1800728531691727</v>
      </c>
      <c r="I55" s="9">
        <f>'1_Du_lieu'!T190</f>
        <v>0.48061518743992315</v>
      </c>
      <c r="J55" s="9">
        <f>'1_Du_lieu'!Y190</f>
        <v>4.4188406077965983</v>
      </c>
      <c r="K55" s="9">
        <f>'1_Du_lieu'!O190</f>
        <v>23.4</v>
      </c>
      <c r="L55" s="5">
        <f t="shared" si="0"/>
        <v>0</v>
      </c>
      <c r="M55" s="5">
        <f t="shared" si="1"/>
        <v>0</v>
      </c>
      <c r="N55" s="5">
        <f t="shared" si="2"/>
        <v>0</v>
      </c>
      <c r="O55" s="5">
        <f t="shared" si="3"/>
        <v>0</v>
      </c>
      <c r="P55" s="5">
        <f t="shared" si="4"/>
        <v>0</v>
      </c>
      <c r="AA55" s="5">
        <f>'1_Du_lieu'!D190</f>
        <v>0</v>
      </c>
    </row>
    <row r="56" spans="1:27" x14ac:dyDescent="0.25">
      <c r="A56" t="s">
        <v>151</v>
      </c>
      <c r="B56">
        <v>2019</v>
      </c>
      <c r="C56" s="7">
        <f>'1_Du_lieu'!V191</f>
        <v>3.4626060097907989</v>
      </c>
      <c r="D56" s="9">
        <f>'1_Du_lieu'!W191</f>
        <v>3.8177123259569048</v>
      </c>
      <c r="E56" s="9">
        <f>'1_Du_lieu'!L191</f>
        <v>3.19</v>
      </c>
      <c r="F56" s="9">
        <f>'1_Du_lieu'!M191</f>
        <v>15.24</v>
      </c>
      <c r="G56" s="9">
        <f>'1_Du_lieu'!N191</f>
        <v>14.1</v>
      </c>
      <c r="H56" s="9">
        <f>'1_Du_lieu'!X191</f>
        <v>0.97782859061500571</v>
      </c>
      <c r="I56" s="9">
        <f>'1_Du_lieu'!T191</f>
        <v>0.4793863854266539</v>
      </c>
      <c r="J56" s="9">
        <f>'1_Du_lieu'!Y191</f>
        <v>5.4971682252932021</v>
      </c>
      <c r="K56" s="9">
        <f>'1_Du_lieu'!O191</f>
        <v>27.5</v>
      </c>
      <c r="L56" s="5">
        <f t="shared" si="0"/>
        <v>0</v>
      </c>
      <c r="M56" s="5">
        <f t="shared" si="1"/>
        <v>0</v>
      </c>
      <c r="N56" s="5">
        <f t="shared" si="2"/>
        <v>0</v>
      </c>
      <c r="O56" s="5">
        <f t="shared" si="3"/>
        <v>0</v>
      </c>
      <c r="P56" s="5">
        <f t="shared" si="4"/>
        <v>0</v>
      </c>
      <c r="AA56" s="5">
        <f>'1_Du_lieu'!D191</f>
        <v>0</v>
      </c>
    </row>
    <row r="57" spans="1:27" x14ac:dyDescent="0.25">
      <c r="A57" t="s">
        <v>152</v>
      </c>
      <c r="B57">
        <v>2019</v>
      </c>
      <c r="C57" s="7">
        <f>'1_Du_lieu'!V192</f>
        <v>3.9454577815143836</v>
      </c>
      <c r="D57" s="9">
        <f>'1_Du_lieu'!W192</f>
        <v>4.7068238397145912</v>
      </c>
      <c r="E57" s="9">
        <f>'1_Du_lieu'!L192</f>
        <v>7.1929999999999996</v>
      </c>
      <c r="F57" s="9">
        <f>'1_Du_lieu'!M192</f>
        <v>44.06</v>
      </c>
      <c r="G57" s="9">
        <f>'1_Du_lieu'!N192</f>
        <v>20</v>
      </c>
      <c r="H57" s="9">
        <f>'1_Du_lieu'!X192</f>
        <v>2.7089661617799434</v>
      </c>
      <c r="I57" s="9">
        <f>'1_Du_lieu'!T192</f>
        <v>0.57809037479525971</v>
      </c>
      <c r="J57" s="9">
        <f>'1_Du_lieu'!Y192</f>
        <v>9.2135252947209469</v>
      </c>
      <c r="K57" s="9">
        <f>'1_Du_lieu'!O192</f>
        <v>23.3</v>
      </c>
      <c r="L57" s="5">
        <f t="shared" si="0"/>
        <v>0</v>
      </c>
      <c r="M57" s="5">
        <f t="shared" si="1"/>
        <v>0</v>
      </c>
      <c r="N57" s="5">
        <f t="shared" si="2"/>
        <v>0</v>
      </c>
      <c r="O57" s="5">
        <f t="shared" si="3"/>
        <v>0</v>
      </c>
      <c r="P57" s="5">
        <f t="shared" si="4"/>
        <v>0</v>
      </c>
      <c r="AA57" s="5">
        <f>'1_Du_lieu'!D192</f>
        <v>1</v>
      </c>
    </row>
    <row r="58" spans="1:27" x14ac:dyDescent="0.25">
      <c r="A58" t="s">
        <v>153</v>
      </c>
      <c r="B58">
        <v>2019</v>
      </c>
      <c r="C58" s="7">
        <f>'1_Du_lieu'!V193</f>
        <v>3.5524868292083815</v>
      </c>
      <c r="D58" s="9">
        <f>'1_Du_lieu'!W193</f>
        <v>3.9415818076696905</v>
      </c>
      <c r="E58" s="9">
        <f>'1_Du_lieu'!L193</f>
        <v>2.129</v>
      </c>
      <c r="F58" s="9">
        <f>'1_Du_lieu'!M193</f>
        <v>19.059999999999999</v>
      </c>
      <c r="G58" s="9">
        <f>'1_Du_lieu'!N193</f>
        <v>13.5</v>
      </c>
      <c r="H58" s="9">
        <f>'1_Du_lieu'!X193</f>
        <v>0.41004139433239756</v>
      </c>
      <c r="I58" s="9">
        <f>'1_Du_lieu'!T193</f>
        <v>0.56292219164373281</v>
      </c>
      <c r="J58" s="9">
        <f>'1_Du_lieu'!Y193</f>
        <v>4.6681449851494801</v>
      </c>
      <c r="K58" s="9">
        <f>'1_Du_lieu'!O193</f>
        <v>20.3</v>
      </c>
      <c r="L58" s="5">
        <f t="shared" si="0"/>
        <v>0</v>
      </c>
      <c r="M58" s="5">
        <f t="shared" si="1"/>
        <v>0</v>
      </c>
      <c r="N58" s="5">
        <f t="shared" si="2"/>
        <v>0</v>
      </c>
      <c r="O58" s="5">
        <f t="shared" si="3"/>
        <v>0</v>
      </c>
      <c r="P58" s="5">
        <f t="shared" si="4"/>
        <v>0</v>
      </c>
      <c r="AA58" s="5">
        <f>'1_Du_lieu'!D193</f>
        <v>0</v>
      </c>
    </row>
    <row r="59" spans="1:27" x14ac:dyDescent="0.25">
      <c r="A59" t="s">
        <v>85</v>
      </c>
      <c r="B59">
        <v>2020</v>
      </c>
      <c r="C59" s="7">
        <f>'1_Du_lieu'!V194</f>
        <v>3.6686767467964168</v>
      </c>
      <c r="D59" s="9">
        <f>'1_Du_lieu'!W194</f>
        <v>3.8416005411316001</v>
      </c>
      <c r="E59" s="9">
        <f>'1_Du_lieu'!L194</f>
        <v>2.5169999999999999</v>
      </c>
      <c r="F59" s="9">
        <f>'1_Du_lieu'!M194</f>
        <v>31.59</v>
      </c>
      <c r="G59" s="9">
        <f>'1_Du_lieu'!N194</f>
        <v>13.9</v>
      </c>
      <c r="H59" s="9">
        <f>'1_Du_lieu'!X194</f>
        <v>1.3825989091536561</v>
      </c>
      <c r="I59" s="9">
        <f>'1_Du_lieu'!T194</f>
        <v>0.47256497768443162</v>
      </c>
      <c r="J59" s="9">
        <f>'1_Du_lieu'!Y194</f>
        <v>4.9642422545265452</v>
      </c>
      <c r="K59" s="9">
        <f>'1_Du_lieu'!O194</f>
        <v>18.399999999999999</v>
      </c>
      <c r="L59" s="5">
        <f t="shared" si="0"/>
        <v>1</v>
      </c>
      <c r="M59" s="5">
        <f t="shared" si="1"/>
        <v>0</v>
      </c>
      <c r="N59" s="5">
        <f t="shared" si="2"/>
        <v>0</v>
      </c>
      <c r="O59" s="5">
        <f t="shared" si="3"/>
        <v>0</v>
      </c>
      <c r="P59" s="5">
        <f t="shared" si="4"/>
        <v>0</v>
      </c>
      <c r="AA59" s="5">
        <f>'1_Du_lieu'!D194</f>
        <v>0</v>
      </c>
    </row>
    <row r="60" spans="1:27" x14ac:dyDescent="0.25">
      <c r="A60" t="s">
        <v>87</v>
      </c>
      <c r="B60">
        <v>2020</v>
      </c>
      <c r="C60" s="7">
        <f>'1_Du_lieu'!V195</f>
        <v>3.8836235309064482</v>
      </c>
      <c r="D60" s="9">
        <f>'1_Du_lieu'!W195</f>
        <v>5.5262494345940434</v>
      </c>
      <c r="E60" s="9">
        <f>'1_Du_lieu'!L195</f>
        <v>9.3719999999999999</v>
      </c>
      <c r="F60" s="9">
        <f>'1_Du_lieu'!M195</f>
        <v>57.56</v>
      </c>
      <c r="G60" s="9">
        <f>'1_Du_lieu'!N195</f>
        <v>30.1</v>
      </c>
      <c r="H60" s="9">
        <f>'1_Du_lieu'!X195</f>
        <v>1.8354030636708374</v>
      </c>
      <c r="I60" s="9">
        <f>'1_Du_lieu'!T195</f>
        <v>1.2843565373747752</v>
      </c>
      <c r="J60" s="9">
        <f>'1_Du_lieu'!Y195</f>
        <v>10.241262511674343</v>
      </c>
      <c r="K60" s="9">
        <f>'1_Du_lieu'!O195</f>
        <v>26.2</v>
      </c>
      <c r="L60" s="5">
        <f t="shared" si="0"/>
        <v>1</v>
      </c>
      <c r="M60" s="5">
        <f t="shared" si="1"/>
        <v>0</v>
      </c>
      <c r="N60" s="5">
        <f t="shared" si="2"/>
        <v>0</v>
      </c>
      <c r="O60" s="5">
        <f t="shared" si="3"/>
        <v>0</v>
      </c>
      <c r="P60" s="5">
        <f t="shared" si="4"/>
        <v>0</v>
      </c>
      <c r="AA60" s="5">
        <f>'1_Du_lieu'!D195</f>
        <v>1</v>
      </c>
    </row>
    <row r="61" spans="1:27" x14ac:dyDescent="0.25">
      <c r="A61" t="s">
        <v>89</v>
      </c>
      <c r="B61">
        <v>2020</v>
      </c>
      <c r="C61" s="7">
        <f>'1_Du_lieu'!V196</f>
        <v>4.0055133485154846</v>
      </c>
      <c r="D61" s="9">
        <f>'1_Du_lieu'!W196</f>
        <v>5.01396308418893</v>
      </c>
      <c r="E61" s="9">
        <f>'1_Du_lieu'!L196</f>
        <v>13.499000000000001</v>
      </c>
      <c r="F61" s="9">
        <f>'1_Du_lieu'!M196</f>
        <v>84.41</v>
      </c>
      <c r="G61" s="9">
        <f>'1_Du_lieu'!N196</f>
        <v>20.100000000000001</v>
      </c>
      <c r="H61" s="9">
        <f>'1_Du_lieu'!X196</f>
        <v>3.1207945456849679</v>
      </c>
      <c r="I61" s="9">
        <f>'1_Du_lieu'!T196</f>
        <v>0.65876152832674573</v>
      </c>
      <c r="J61" s="9">
        <f>'1_Du_lieu'!Y196</f>
        <v>9.5862599444214673</v>
      </c>
      <c r="K61" s="9">
        <f>'1_Du_lieu'!O196</f>
        <v>22.2</v>
      </c>
      <c r="L61" s="5">
        <f t="shared" si="0"/>
        <v>1</v>
      </c>
      <c r="M61" s="5">
        <f t="shared" si="1"/>
        <v>0</v>
      </c>
      <c r="N61" s="5">
        <f t="shared" si="2"/>
        <v>0</v>
      </c>
      <c r="O61" s="5">
        <f t="shared" si="3"/>
        <v>0</v>
      </c>
      <c r="P61" s="5">
        <f t="shared" si="4"/>
        <v>0</v>
      </c>
      <c r="AA61" s="5">
        <f>'1_Du_lieu'!D196</f>
        <v>1</v>
      </c>
    </row>
    <row r="62" spans="1:27" x14ac:dyDescent="0.25">
      <c r="A62" t="s">
        <v>90</v>
      </c>
      <c r="B62">
        <v>2020</v>
      </c>
      <c r="C62" s="7">
        <f>'1_Du_lieu'!V197</f>
        <v>3.3945083935113587</v>
      </c>
      <c r="D62" s="9">
        <f>'1_Du_lieu'!W197</f>
        <v>4.2150861799182291</v>
      </c>
      <c r="E62" s="9">
        <f>'1_Du_lieu'!L197</f>
        <v>5.7670000000000003</v>
      </c>
      <c r="F62" s="9">
        <f>'1_Du_lieu'!M197</f>
        <v>24.03</v>
      </c>
      <c r="G62" s="9">
        <f>'1_Du_lieu'!N197</f>
        <v>18.100000000000001</v>
      </c>
      <c r="H62" s="9">
        <f>'1_Du_lieu'!X197</f>
        <v>1.0237813084651139</v>
      </c>
      <c r="I62" s="9">
        <f>'1_Du_lieu'!T197</f>
        <v>1.087924043121353</v>
      </c>
      <c r="J62" s="9">
        <f>'1_Du_lieu'!Y197</f>
        <v>8.0796490078443259</v>
      </c>
      <c r="K62" s="9">
        <f>'1_Du_lieu'!O197</f>
        <v>21.2</v>
      </c>
      <c r="L62" s="5">
        <f t="shared" si="0"/>
        <v>1</v>
      </c>
      <c r="M62" s="5">
        <f t="shared" si="1"/>
        <v>0</v>
      </c>
      <c r="N62" s="5">
        <f t="shared" si="2"/>
        <v>0</v>
      </c>
      <c r="O62" s="5">
        <f t="shared" si="3"/>
        <v>0</v>
      </c>
      <c r="P62" s="5">
        <f t="shared" si="4"/>
        <v>0</v>
      </c>
      <c r="AA62" s="5">
        <f>'1_Du_lieu'!D197</f>
        <v>1</v>
      </c>
    </row>
    <row r="63" spans="1:27" x14ac:dyDescent="0.25">
      <c r="A63" t="s">
        <v>91</v>
      </c>
      <c r="B63">
        <v>2020</v>
      </c>
      <c r="C63" s="7">
        <f>'1_Du_lieu'!V198</f>
        <v>3.6109179126442243</v>
      </c>
      <c r="D63" s="9">
        <f>'1_Du_lieu'!W198</f>
        <v>4.2370008626236242</v>
      </c>
      <c r="E63" s="9">
        <f>'1_Du_lieu'!L198</f>
        <v>4.2119999999999997</v>
      </c>
      <c r="F63" s="9">
        <f>'1_Du_lieu'!M198</f>
        <v>38.090000000000003</v>
      </c>
      <c r="G63" s="9">
        <f>'1_Du_lieu'!N198</f>
        <v>15.7</v>
      </c>
      <c r="H63" s="9">
        <f>'1_Du_lieu'!X198</f>
        <v>1.6399841007239431</v>
      </c>
      <c r="I63" s="9">
        <f>'1_Du_lieu'!T198</f>
        <v>0.32276284999596544</v>
      </c>
      <c r="J63" s="9">
        <f>'1_Du_lieu'!Y198</f>
        <v>8.0311252187759727</v>
      </c>
      <c r="K63" s="9">
        <f>'1_Du_lieu'!O198</f>
        <v>20.100000000000001</v>
      </c>
      <c r="L63" s="5">
        <f t="shared" si="0"/>
        <v>1</v>
      </c>
      <c r="M63" s="5">
        <f t="shared" si="1"/>
        <v>0</v>
      </c>
      <c r="N63" s="5">
        <f t="shared" si="2"/>
        <v>0</v>
      </c>
      <c r="O63" s="5">
        <f t="shared" si="3"/>
        <v>0</v>
      </c>
      <c r="P63" s="5">
        <f t="shared" si="4"/>
        <v>0</v>
      </c>
      <c r="AA63" s="5">
        <f>'1_Du_lieu'!D198</f>
        <v>0</v>
      </c>
    </row>
    <row r="64" spans="1:27" x14ac:dyDescent="0.25">
      <c r="A64" t="s">
        <v>93</v>
      </c>
      <c r="B64">
        <v>2020</v>
      </c>
      <c r="C64" s="7">
        <f>'1_Du_lieu'!V199</f>
        <v>3.7471483622379123</v>
      </c>
      <c r="D64" s="9">
        <f>'1_Du_lieu'!W199</f>
        <v>4.0960098415411617</v>
      </c>
      <c r="E64" s="9">
        <f>'1_Du_lieu'!L199</f>
        <v>4.5309999999999997</v>
      </c>
      <c r="F64" s="9">
        <f>'1_Du_lieu'!M199</f>
        <v>40.32</v>
      </c>
      <c r="G64" s="9">
        <f>'1_Du_lieu'!N199</f>
        <v>21.8</v>
      </c>
      <c r="H64" s="9">
        <f>'1_Du_lieu'!X199</f>
        <v>2.8198086483769287</v>
      </c>
      <c r="I64" s="9">
        <f>'1_Du_lieu'!T199</f>
        <v>0.80650581356273943</v>
      </c>
      <c r="J64" s="9">
        <f>'1_Du_lieu'!Y199</f>
        <v>6.5935923292807583</v>
      </c>
      <c r="K64" s="9">
        <f>'1_Du_lieu'!O199</f>
        <v>24.7</v>
      </c>
      <c r="L64" s="5">
        <f t="shared" si="0"/>
        <v>1</v>
      </c>
      <c r="M64" s="5">
        <f t="shared" si="1"/>
        <v>0</v>
      </c>
      <c r="N64" s="5">
        <f t="shared" si="2"/>
        <v>0</v>
      </c>
      <c r="O64" s="5">
        <f t="shared" si="3"/>
        <v>0</v>
      </c>
      <c r="P64" s="5">
        <f t="shared" si="4"/>
        <v>0</v>
      </c>
      <c r="AA64" s="5">
        <f>'1_Du_lieu'!D199</f>
        <v>0</v>
      </c>
    </row>
    <row r="65" spans="1:27" x14ac:dyDescent="0.25">
      <c r="A65" t="s">
        <v>95</v>
      </c>
      <c r="B65">
        <v>2020</v>
      </c>
      <c r="C65" s="7">
        <f>'1_Du_lieu'!V201</f>
        <v>3.7796338173824005</v>
      </c>
      <c r="D65" s="9">
        <f>'1_Du_lieu'!W201</f>
        <v>4.1835756959500436</v>
      </c>
      <c r="E65" s="9">
        <f>'1_Du_lieu'!L201</f>
        <v>3.556</v>
      </c>
      <c r="F65" s="9">
        <f>'1_Du_lieu'!M201</f>
        <v>18.14</v>
      </c>
      <c r="G65" s="9">
        <f>'1_Du_lieu'!N201</f>
        <v>19.8</v>
      </c>
      <c r="H65" s="9">
        <f>'1_Du_lieu'!X201</f>
        <v>2.5279850021170573</v>
      </c>
      <c r="I65" s="9">
        <f>'1_Du_lieu'!T201</f>
        <v>0.86880973066898359</v>
      </c>
      <c r="J65" s="9">
        <f>'1_Du_lieu'!Y201</f>
        <v>8.262584772471449</v>
      </c>
      <c r="K65" s="9">
        <f>'1_Du_lieu'!O201</f>
        <v>17.8</v>
      </c>
      <c r="L65" s="5">
        <f t="shared" si="0"/>
        <v>1</v>
      </c>
      <c r="M65" s="5">
        <f t="shared" si="1"/>
        <v>0</v>
      </c>
      <c r="N65" s="5">
        <f t="shared" si="2"/>
        <v>0</v>
      </c>
      <c r="O65" s="5">
        <f t="shared" si="3"/>
        <v>0</v>
      </c>
      <c r="P65" s="5">
        <f t="shared" si="4"/>
        <v>0</v>
      </c>
      <c r="AA65" s="5">
        <f>'1_Du_lieu'!D201</f>
        <v>0</v>
      </c>
    </row>
    <row r="66" spans="1:27" x14ac:dyDescent="0.25">
      <c r="A66" t="s">
        <v>97</v>
      </c>
      <c r="B66">
        <v>2020</v>
      </c>
      <c r="C66" s="7">
        <f>'1_Du_lieu'!V202</f>
        <v>3.3286266888273199</v>
      </c>
      <c r="D66" s="9">
        <f>'1_Du_lieu'!W202</f>
        <v>3.7160081215021892</v>
      </c>
      <c r="E66" s="9">
        <f>'1_Du_lieu'!L202</f>
        <v>1.9019999999999999</v>
      </c>
      <c r="F66" s="9">
        <f>'1_Du_lieu'!M202</f>
        <v>22.59</v>
      </c>
      <c r="G66" s="9">
        <f>'1_Du_lieu'!N202</f>
        <v>16.3</v>
      </c>
      <c r="H66" s="9">
        <f>'1_Du_lieu'!X202</f>
        <v>1.2939261370366355</v>
      </c>
      <c r="I66" s="9">
        <f>'1_Du_lieu'!T202</f>
        <v>0.94786729857819907</v>
      </c>
      <c r="J66" s="9">
        <f>'1_Du_lieu'!Y202</f>
        <v>3.039749158970765</v>
      </c>
      <c r="K66" s="9">
        <f>'1_Du_lieu'!O202</f>
        <v>16.5</v>
      </c>
      <c r="L66" s="5">
        <f t="shared" si="0"/>
        <v>1</v>
      </c>
      <c r="M66" s="5">
        <f t="shared" si="1"/>
        <v>0</v>
      </c>
      <c r="N66" s="5">
        <f t="shared" si="2"/>
        <v>0</v>
      </c>
      <c r="O66" s="5">
        <f t="shared" si="3"/>
        <v>0</v>
      </c>
      <c r="P66" s="5">
        <f t="shared" si="4"/>
        <v>0</v>
      </c>
      <c r="AA66" s="5">
        <f>'1_Du_lieu'!D202</f>
        <v>0</v>
      </c>
    </row>
    <row r="67" spans="1:27" x14ac:dyDescent="0.25">
      <c r="A67" t="s">
        <v>98</v>
      </c>
      <c r="B67">
        <v>2020</v>
      </c>
      <c r="C67" s="7">
        <f>'1_Du_lieu'!V203</f>
        <v>3.9721769282478934</v>
      </c>
      <c r="D67" s="9">
        <f>'1_Du_lieu'!W203</f>
        <v>4.9924713234685845</v>
      </c>
      <c r="E67" s="9">
        <f>'1_Du_lieu'!L203</f>
        <v>8.9979999999999993</v>
      </c>
      <c r="F67" s="9">
        <f>'1_Du_lieu'!M203</f>
        <v>31.47</v>
      </c>
      <c r="G67" s="9">
        <f>'1_Du_lieu'!N203</f>
        <v>27.8</v>
      </c>
      <c r="H67" s="9">
        <f>'1_Du_lieu'!X203</f>
        <v>2.6688349373973557</v>
      </c>
      <c r="I67" s="9">
        <f>'1_Du_lieu'!T203</f>
        <v>2.1140159255866395</v>
      </c>
      <c r="J67" s="9">
        <f>'1_Du_lieu'!Y203</f>
        <v>9.5441304433774565</v>
      </c>
      <c r="K67" s="9">
        <f>'1_Du_lieu'!O203</f>
        <v>29.1</v>
      </c>
      <c r="L67" s="5">
        <f t="shared" si="0"/>
        <v>1</v>
      </c>
      <c r="M67" s="5">
        <f t="shared" si="1"/>
        <v>0</v>
      </c>
      <c r="N67" s="5">
        <f t="shared" si="2"/>
        <v>0</v>
      </c>
      <c r="O67" s="5">
        <f t="shared" si="3"/>
        <v>0</v>
      </c>
      <c r="P67" s="5">
        <f t="shared" si="4"/>
        <v>0</v>
      </c>
      <c r="AA67" s="5">
        <f>'1_Du_lieu'!D203</f>
        <v>1</v>
      </c>
    </row>
    <row r="68" spans="1:27" x14ac:dyDescent="0.25">
      <c r="A68" t="s">
        <v>100</v>
      </c>
      <c r="B68">
        <v>2020</v>
      </c>
      <c r="C68" s="7">
        <f>'1_Du_lieu'!V204</f>
        <v>3.7750571503549888</v>
      </c>
      <c r="D68" s="9">
        <f>'1_Du_lieu'!W204</f>
        <v>3.735285826928092</v>
      </c>
      <c r="E68" s="9">
        <f>'1_Du_lieu'!L204</f>
        <v>2.5739999999999998</v>
      </c>
      <c r="F68" s="9">
        <f>'1_Du_lieu'!M204</f>
        <v>9.8000000000000007</v>
      </c>
      <c r="G68" s="9">
        <f>'1_Du_lieu'!N204</f>
        <v>12.6</v>
      </c>
      <c r="H68" s="9">
        <f>'1_Du_lieu'!X204</f>
        <v>0.92153846733122535</v>
      </c>
      <c r="I68" s="9">
        <f>'1_Du_lieu'!T204</f>
        <v>0.46425255338904359</v>
      </c>
      <c r="J68" s="9">
        <f>'1_Du_lieu'!Y204</f>
        <v>7.1294577924999425</v>
      </c>
      <c r="K68" s="9">
        <f>'1_Du_lieu'!O204</f>
        <v>14.5</v>
      </c>
      <c r="L68" s="5">
        <f t="shared" si="0"/>
        <v>1</v>
      </c>
      <c r="M68" s="5">
        <f t="shared" si="1"/>
        <v>0</v>
      </c>
      <c r="N68" s="5">
        <f t="shared" si="2"/>
        <v>0</v>
      </c>
      <c r="O68" s="5">
        <f t="shared" si="3"/>
        <v>0</v>
      </c>
      <c r="P68" s="5">
        <f t="shared" si="4"/>
        <v>0</v>
      </c>
      <c r="AA68" s="5">
        <f>'1_Du_lieu'!D204</f>
        <v>0</v>
      </c>
    </row>
    <row r="69" spans="1:27" x14ac:dyDescent="0.25">
      <c r="A69" t="s">
        <v>102</v>
      </c>
      <c r="B69">
        <v>2020</v>
      </c>
      <c r="C69" s="7">
        <f>'1_Du_lieu'!V206</f>
        <v>3.3499040872746049</v>
      </c>
      <c r="D69" s="9">
        <f>'1_Du_lieu'!W206</f>
        <v>3.9357395320454622</v>
      </c>
      <c r="E69" s="9">
        <f>'1_Du_lieu'!L206</f>
        <v>2.9929999999999999</v>
      </c>
      <c r="F69" s="9">
        <f>'1_Du_lieu'!M206</f>
        <v>22.71</v>
      </c>
      <c r="G69" s="9">
        <f>'1_Du_lieu'!N206</f>
        <v>13</v>
      </c>
      <c r="H69" s="9">
        <f>'1_Du_lieu'!X206</f>
        <v>-0.64931105481926565</v>
      </c>
      <c r="I69" s="9">
        <f>'1_Du_lieu'!T206</f>
        <v>0.67007287042465857</v>
      </c>
      <c r="J69" s="9">
        <f>'1_Du_lieu'!Y206</f>
        <v>4.8418220873270936</v>
      </c>
      <c r="K69" s="9">
        <f>'1_Du_lieu'!O206</f>
        <v>16.5</v>
      </c>
      <c r="L69" s="5">
        <f t="shared" si="0"/>
        <v>1</v>
      </c>
      <c r="M69" s="5">
        <f t="shared" si="1"/>
        <v>0</v>
      </c>
      <c r="N69" s="5">
        <f t="shared" si="2"/>
        <v>0</v>
      </c>
      <c r="O69" s="5">
        <f t="shared" si="3"/>
        <v>0</v>
      </c>
      <c r="P69" s="5">
        <f t="shared" si="4"/>
        <v>0</v>
      </c>
      <c r="AA69" s="5">
        <f>'1_Du_lieu'!D206</f>
        <v>0</v>
      </c>
    </row>
    <row r="70" spans="1:27" x14ac:dyDescent="0.25">
      <c r="A70" t="s">
        <v>103</v>
      </c>
      <c r="B70">
        <v>2020</v>
      </c>
      <c r="C70" s="7">
        <f>'1_Du_lieu'!V207</f>
        <v>3.8877303128591016</v>
      </c>
      <c r="D70" s="9">
        <f>'1_Du_lieu'!W207</f>
        <v>4.282206299391671</v>
      </c>
      <c r="E70" s="9">
        <f>'1_Du_lieu'!L207</f>
        <v>7.3250000000000002</v>
      </c>
      <c r="F70" s="9">
        <f>'1_Du_lieu'!M207</f>
        <v>70.02</v>
      </c>
      <c r="G70" s="9">
        <f>'1_Du_lieu'!N207</f>
        <v>20.6</v>
      </c>
      <c r="H70" s="9">
        <f>'1_Du_lieu'!X207</f>
        <v>0.83164325781387038</v>
      </c>
      <c r="I70" s="9">
        <f>'1_Du_lieu'!T207</f>
        <v>1.3701942451841702</v>
      </c>
      <c r="J70" s="9">
        <f>'1_Du_lieu'!Y207</f>
        <v>6.3919171133926023</v>
      </c>
      <c r="K70" s="9">
        <f>'1_Du_lieu'!O207</f>
        <v>24.6</v>
      </c>
      <c r="L70" s="5">
        <f t="shared" ref="L70:L133" si="5">IF(B70=2020,1,0)</f>
        <v>1</v>
      </c>
      <c r="M70" s="5">
        <f t="shared" ref="M70:M133" si="6">IF(B70=2021,1,0)</f>
        <v>0</v>
      </c>
      <c r="N70" s="5">
        <f t="shared" ref="N70:N133" si="7">IF(B70=2022,1,0)</f>
        <v>0</v>
      </c>
      <c r="O70" s="5">
        <f t="shared" ref="O70:O133" si="8">IF(B70=2023,1,0)</f>
        <v>0</v>
      </c>
      <c r="P70" s="5">
        <f t="shared" ref="P70:P133" si="9">IF(B70=2024,1,0)</f>
        <v>0</v>
      </c>
      <c r="AA70" s="5">
        <f>'1_Du_lieu'!D207</f>
        <v>0</v>
      </c>
    </row>
    <row r="71" spans="1:27" x14ac:dyDescent="0.25">
      <c r="A71" t="s">
        <v>104</v>
      </c>
      <c r="B71">
        <v>2020</v>
      </c>
      <c r="C71" s="7">
        <f>'1_Du_lieu'!V208</f>
        <v>3.475067230228611</v>
      </c>
      <c r="D71" s="9">
        <f>'1_Du_lieu'!W208</f>
        <v>3.751854253275325</v>
      </c>
      <c r="E71" s="9">
        <f>'1_Du_lieu'!L208</f>
        <v>2.92</v>
      </c>
      <c r="F71" s="9">
        <f>'1_Du_lieu'!M208</f>
        <v>29.01</v>
      </c>
      <c r="G71" s="9">
        <f>'1_Du_lieu'!N208</f>
        <v>14.9</v>
      </c>
      <c r="H71" s="9">
        <f>'1_Du_lieu'!X208</f>
        <v>2.6839279710629196</v>
      </c>
      <c r="I71" s="9">
        <f>'1_Du_lieu'!T208</f>
        <v>1.2971851083149566</v>
      </c>
      <c r="J71" s="9">
        <f>'1_Du_lieu'!Y208</f>
        <v>2.631888840136646</v>
      </c>
      <c r="K71" s="9">
        <f>'1_Du_lieu'!O208</f>
        <v>16.8</v>
      </c>
      <c r="L71" s="5">
        <f t="shared" si="5"/>
        <v>1</v>
      </c>
      <c r="M71" s="5">
        <f t="shared" si="6"/>
        <v>0</v>
      </c>
      <c r="N71" s="5">
        <f t="shared" si="7"/>
        <v>0</v>
      </c>
      <c r="O71" s="5">
        <f t="shared" si="8"/>
        <v>0</v>
      </c>
      <c r="P71" s="5">
        <f t="shared" si="9"/>
        <v>0</v>
      </c>
      <c r="AA71" s="5">
        <f>'1_Du_lieu'!D208</f>
        <v>0</v>
      </c>
    </row>
    <row r="72" spans="1:27" x14ac:dyDescent="0.25">
      <c r="A72" t="s">
        <v>107</v>
      </c>
      <c r="B72">
        <v>2020</v>
      </c>
      <c r="C72" s="7">
        <f>'1_Du_lieu'!V210</f>
        <v>3.7376696182833684</v>
      </c>
      <c r="D72" s="9">
        <f>'1_Du_lieu'!W210</f>
        <v>4.2413267525707461</v>
      </c>
      <c r="E72" s="9">
        <f>'1_Du_lieu'!L210</f>
        <v>5.218</v>
      </c>
      <c r="F72" s="9">
        <f>'1_Du_lieu'!M210</f>
        <v>27.81</v>
      </c>
      <c r="G72" s="9">
        <f>'1_Du_lieu'!N210</f>
        <v>22.1</v>
      </c>
      <c r="H72" s="9">
        <f>'1_Du_lieu'!X210</f>
        <v>2.7133351974907103</v>
      </c>
      <c r="I72" s="9">
        <f>'1_Du_lieu'!T210</f>
        <v>1.1603620329542819</v>
      </c>
      <c r="J72" s="9">
        <f>'1_Du_lieu'!Y210</f>
        <v>8.4877643807254248</v>
      </c>
      <c r="K72" s="9">
        <f>'1_Du_lieu'!O210</f>
        <v>20.3</v>
      </c>
      <c r="L72" s="5">
        <f t="shared" si="5"/>
        <v>1</v>
      </c>
      <c r="M72" s="5">
        <f t="shared" si="6"/>
        <v>0</v>
      </c>
      <c r="N72" s="5">
        <f t="shared" si="7"/>
        <v>0</v>
      </c>
      <c r="O72" s="5">
        <f t="shared" si="8"/>
        <v>0</v>
      </c>
      <c r="P72" s="5">
        <f t="shared" si="9"/>
        <v>0</v>
      </c>
      <c r="AA72" s="5">
        <f>'1_Du_lieu'!D210</f>
        <v>1</v>
      </c>
    </row>
    <row r="73" spans="1:27" x14ac:dyDescent="0.25">
      <c r="A73" t="s">
        <v>108</v>
      </c>
      <c r="B73">
        <v>2020</v>
      </c>
      <c r="C73" s="7">
        <f>'1_Du_lieu'!V211</f>
        <v>4.4508528256037341</v>
      </c>
      <c r="D73" s="9">
        <f>'1_Du_lieu'!W211</f>
        <v>4.8154311114712876</v>
      </c>
      <c r="E73" s="9">
        <f>'1_Du_lieu'!L211</f>
        <v>20.114999999999998</v>
      </c>
      <c r="F73" s="9">
        <f>'1_Du_lieu'!M211</f>
        <v>49.25</v>
      </c>
      <c r="G73" s="9">
        <f>'1_Du_lieu'!N211</f>
        <v>48.5</v>
      </c>
      <c r="H73" s="9">
        <f>'1_Du_lieu'!X211</f>
        <v>2.7241116343221288</v>
      </c>
      <c r="I73" s="9">
        <f>'1_Du_lieu'!T211</f>
        <v>1.9280907051476386</v>
      </c>
      <c r="J73" s="9">
        <f>'1_Du_lieu'!Y211</f>
        <v>8.3882683153410103</v>
      </c>
      <c r="K73" s="9">
        <f>'1_Du_lieu'!O211</f>
        <v>48</v>
      </c>
      <c r="L73" s="5">
        <f t="shared" si="5"/>
        <v>1</v>
      </c>
      <c r="M73" s="5">
        <f t="shared" si="6"/>
        <v>0</v>
      </c>
      <c r="N73" s="5">
        <f t="shared" si="7"/>
        <v>0</v>
      </c>
      <c r="O73" s="5">
        <f t="shared" si="8"/>
        <v>0</v>
      </c>
      <c r="P73" s="5">
        <f t="shared" si="9"/>
        <v>0</v>
      </c>
      <c r="AA73" s="5">
        <f>'1_Du_lieu'!D211</f>
        <v>1</v>
      </c>
    </row>
    <row r="74" spans="1:27" x14ac:dyDescent="0.25">
      <c r="A74" t="s">
        <v>109</v>
      </c>
      <c r="B74">
        <v>2020</v>
      </c>
      <c r="C74" s="7">
        <f>'1_Du_lieu'!V212</f>
        <v>3.5890591188317256</v>
      </c>
      <c r="D74" s="9">
        <f>'1_Du_lieu'!W212</f>
        <v>4.1526134703460764</v>
      </c>
      <c r="E74" s="9">
        <f>'1_Du_lieu'!L212</f>
        <v>3.73</v>
      </c>
      <c r="F74" s="9">
        <f>'1_Du_lieu'!M212</f>
        <v>22.2</v>
      </c>
      <c r="G74" s="9">
        <f>'1_Du_lieu'!N212</f>
        <v>25.7</v>
      </c>
      <c r="H74" s="9">
        <f>'1_Du_lieu'!X212</f>
        <v>3.2259676934436348</v>
      </c>
      <c r="I74" s="9">
        <f>'1_Du_lieu'!T212</f>
        <v>0.38562393953416629</v>
      </c>
      <c r="J74" s="9">
        <f>'1_Du_lieu'!Y212</f>
        <v>9.1110502828289714</v>
      </c>
      <c r="K74" s="9">
        <f>'1_Du_lieu'!O212</f>
        <v>18.5</v>
      </c>
      <c r="L74" s="5">
        <f t="shared" si="5"/>
        <v>1</v>
      </c>
      <c r="M74" s="5">
        <f t="shared" si="6"/>
        <v>0</v>
      </c>
      <c r="N74" s="5">
        <f t="shared" si="7"/>
        <v>0</v>
      </c>
      <c r="O74" s="5">
        <f t="shared" si="8"/>
        <v>0</v>
      </c>
      <c r="P74" s="5">
        <f t="shared" si="9"/>
        <v>0</v>
      </c>
      <c r="AA74" s="5">
        <f>'1_Du_lieu'!D212</f>
        <v>0</v>
      </c>
    </row>
    <row r="75" spans="1:27" x14ac:dyDescent="0.25">
      <c r="A75" t="s">
        <v>110</v>
      </c>
      <c r="B75">
        <v>2020</v>
      </c>
      <c r="C75" s="7">
        <f>'1_Du_lieu'!V213</f>
        <v>3.5085558999826545</v>
      </c>
      <c r="D75" s="9">
        <f>'1_Du_lieu'!W213</f>
        <v>4.0552571735140539</v>
      </c>
      <c r="E75" s="9">
        <f>'1_Du_lieu'!L213</f>
        <v>2.8610000000000002</v>
      </c>
      <c r="F75" s="9">
        <f>'1_Du_lieu'!M213</f>
        <v>23.85</v>
      </c>
      <c r="G75" s="9">
        <f>'1_Du_lieu'!N213</f>
        <v>18.600000000000001</v>
      </c>
      <c r="H75" s="9">
        <f>'1_Du_lieu'!X213</f>
        <v>2.3219390891201424</v>
      </c>
      <c r="I75" s="9">
        <f>'1_Du_lieu'!T213</f>
        <v>1.0450534138411518</v>
      </c>
      <c r="J75" s="9">
        <f>'1_Du_lieu'!Y213</f>
        <v>6.7341159225710161</v>
      </c>
      <c r="K75" s="9">
        <f>'1_Du_lieu'!O213</f>
        <v>14.4</v>
      </c>
      <c r="L75" s="5">
        <f t="shared" si="5"/>
        <v>1</v>
      </c>
      <c r="M75" s="5">
        <f t="shared" si="6"/>
        <v>0</v>
      </c>
      <c r="N75" s="5">
        <f t="shared" si="7"/>
        <v>0</v>
      </c>
      <c r="O75" s="5">
        <f t="shared" si="8"/>
        <v>0</v>
      </c>
      <c r="P75" s="5">
        <f t="shared" si="9"/>
        <v>0</v>
      </c>
      <c r="AA75" s="5">
        <f>'1_Du_lieu'!D213</f>
        <v>0</v>
      </c>
    </row>
    <row r="76" spans="1:27" x14ac:dyDescent="0.25">
      <c r="A76" t="s">
        <v>111</v>
      </c>
      <c r="B76">
        <v>2020</v>
      </c>
      <c r="C76" s="7">
        <f>'1_Du_lieu'!V214</f>
        <v>3.7471483622379123</v>
      </c>
      <c r="D76" s="9">
        <f>'1_Du_lieu'!W214</f>
        <v>4.3694478524670215</v>
      </c>
      <c r="E76" s="9">
        <f>'1_Du_lieu'!L214</f>
        <v>6.0430000000000001</v>
      </c>
      <c r="F76" s="9">
        <f>'1_Du_lieu'!M214</f>
        <v>16.52</v>
      </c>
      <c r="G76" s="9">
        <f>'1_Du_lieu'!N214</f>
        <v>26.4</v>
      </c>
      <c r="H76" s="9">
        <f>'1_Du_lieu'!X214</f>
        <v>3.1917424454682166</v>
      </c>
      <c r="I76" s="9">
        <f>'1_Du_lieu'!T214</f>
        <v>1.8123079347569144</v>
      </c>
      <c r="J76" s="9">
        <f>'1_Du_lieu'!Y214</f>
        <v>8.3331501537239419</v>
      </c>
      <c r="K76" s="9">
        <f>'1_Du_lieu'!O214</f>
        <v>23.9</v>
      </c>
      <c r="L76" s="5">
        <f t="shared" si="5"/>
        <v>1</v>
      </c>
      <c r="M76" s="5">
        <f t="shared" si="6"/>
        <v>0</v>
      </c>
      <c r="N76" s="5">
        <f t="shared" si="7"/>
        <v>0</v>
      </c>
      <c r="O76" s="5">
        <f t="shared" si="8"/>
        <v>0</v>
      </c>
      <c r="P76" s="5">
        <f t="shared" si="9"/>
        <v>0</v>
      </c>
      <c r="AA76" s="5">
        <f>'1_Du_lieu'!D214</f>
        <v>1</v>
      </c>
    </row>
    <row r="77" spans="1:27" x14ac:dyDescent="0.25">
      <c r="A77" t="s">
        <v>112</v>
      </c>
      <c r="B77">
        <v>2020</v>
      </c>
      <c r="C77" s="7">
        <f>'1_Du_lieu'!V215</f>
        <v>3.8607297110405954</v>
      </c>
      <c r="D77" s="9">
        <f>'1_Du_lieu'!W215</f>
        <v>4.2253728246285052</v>
      </c>
      <c r="E77" s="9">
        <f>'1_Du_lieu'!L215</f>
        <v>5.0540000000000003</v>
      </c>
      <c r="F77" s="9">
        <f>'1_Du_lieu'!M215</f>
        <v>31.47</v>
      </c>
      <c r="G77" s="9">
        <f>'1_Du_lieu'!N215</f>
        <v>24.8</v>
      </c>
      <c r="H77" s="9">
        <f>'1_Du_lieu'!X215</f>
        <v>2.9572562746849327</v>
      </c>
      <c r="I77" s="9">
        <f>'1_Du_lieu'!T215</f>
        <v>0.52170283806343909</v>
      </c>
      <c r="J77" s="9">
        <f>'1_Du_lieu'!Y215</f>
        <v>8.4325499173471332</v>
      </c>
      <c r="K77" s="9">
        <f>'1_Du_lieu'!O215</f>
        <v>27.5</v>
      </c>
      <c r="L77" s="5">
        <f t="shared" si="5"/>
        <v>1</v>
      </c>
      <c r="M77" s="5">
        <f t="shared" si="6"/>
        <v>0</v>
      </c>
      <c r="N77" s="5">
        <f t="shared" si="7"/>
        <v>0</v>
      </c>
      <c r="O77" s="5">
        <f t="shared" si="8"/>
        <v>0</v>
      </c>
      <c r="P77" s="5">
        <f t="shared" si="9"/>
        <v>0</v>
      </c>
      <c r="AA77" s="5">
        <f>'1_Du_lieu'!D215</f>
        <v>1</v>
      </c>
    </row>
    <row r="78" spans="1:27" x14ac:dyDescent="0.25">
      <c r="A78" t="s">
        <v>113</v>
      </c>
      <c r="B78">
        <v>2020</v>
      </c>
      <c r="C78" s="7">
        <f>'1_Du_lieu'!V216</f>
        <v>4.1042948930752692</v>
      </c>
      <c r="D78" s="9">
        <f>'1_Du_lieu'!W216</f>
        <v>4.8970932526971271</v>
      </c>
      <c r="E78" s="9">
        <f>'1_Du_lieu'!L216</f>
        <v>9.8339999999999996</v>
      </c>
      <c r="F78" s="9">
        <f>'1_Du_lieu'!M216</f>
        <v>45.41</v>
      </c>
      <c r="G78" s="9">
        <f>'1_Du_lieu'!N216</f>
        <v>34.700000000000003</v>
      </c>
      <c r="H78" s="9">
        <f>'1_Du_lieu'!X216</f>
        <v>3.8170726342718257</v>
      </c>
      <c r="I78" s="9">
        <f>'1_Du_lieu'!T216</f>
        <v>1.7531044558071585</v>
      </c>
      <c r="J78" s="9">
        <f>'1_Du_lieu'!Y216</f>
        <v>9.199623147134977</v>
      </c>
      <c r="K78" s="9">
        <f>'1_Du_lieu'!O216</f>
        <v>29</v>
      </c>
      <c r="L78" s="5">
        <f t="shared" si="5"/>
        <v>1</v>
      </c>
      <c r="M78" s="5">
        <f t="shared" si="6"/>
        <v>0</v>
      </c>
      <c r="N78" s="5">
        <f t="shared" si="7"/>
        <v>0</v>
      </c>
      <c r="O78" s="5">
        <f t="shared" si="8"/>
        <v>0</v>
      </c>
      <c r="P78" s="5">
        <f t="shared" si="9"/>
        <v>0</v>
      </c>
      <c r="AA78" s="5">
        <f>'1_Du_lieu'!D216</f>
        <v>1</v>
      </c>
    </row>
    <row r="79" spans="1:27" x14ac:dyDescent="0.25">
      <c r="A79" t="s">
        <v>115</v>
      </c>
      <c r="B79">
        <v>2020</v>
      </c>
      <c r="C79" s="7">
        <f>'1_Du_lieu'!V218</f>
        <v>3.7704594411063592</v>
      </c>
      <c r="D79" s="9">
        <f>'1_Du_lieu'!W218</f>
        <v>4.1635596312435741</v>
      </c>
      <c r="E79" s="9">
        <f>'1_Du_lieu'!L218</f>
        <v>9.0410000000000004</v>
      </c>
      <c r="F79" s="9">
        <f>'1_Du_lieu'!M218</f>
        <v>42.4</v>
      </c>
      <c r="G79" s="9">
        <f>'1_Du_lieu'!N218</f>
        <v>23.9</v>
      </c>
      <c r="H79" s="9">
        <f>'1_Du_lieu'!X218</f>
        <v>2.7153971117261362</v>
      </c>
      <c r="I79" s="9">
        <f>'1_Du_lieu'!T218</f>
        <v>3.3053853595614315</v>
      </c>
      <c r="J79" s="9">
        <f>'1_Du_lieu'!Y218</f>
        <v>8.1649654866904893</v>
      </c>
      <c r="K79" s="9">
        <f>'1_Du_lieu'!O218</f>
        <v>31.1</v>
      </c>
      <c r="L79" s="5">
        <f t="shared" si="5"/>
        <v>1</v>
      </c>
      <c r="M79" s="5">
        <f t="shared" si="6"/>
        <v>0</v>
      </c>
      <c r="N79" s="5">
        <f t="shared" si="7"/>
        <v>0</v>
      </c>
      <c r="O79" s="5">
        <f t="shared" si="8"/>
        <v>0</v>
      </c>
      <c r="P79" s="5">
        <f t="shared" si="9"/>
        <v>0</v>
      </c>
      <c r="AA79" s="5">
        <f>'1_Du_lieu'!D218</f>
        <v>0</v>
      </c>
    </row>
    <row r="80" spans="1:27" x14ac:dyDescent="0.25">
      <c r="A80" t="s">
        <v>116</v>
      </c>
      <c r="B80">
        <v>2020</v>
      </c>
      <c r="C80" s="7">
        <f>'1_Du_lieu'!V219</f>
        <v>3.6375861597263857</v>
      </c>
      <c r="D80" s="9">
        <f>'1_Du_lieu'!W219</f>
        <v>4.0181832012565364</v>
      </c>
      <c r="E80" s="9">
        <f>'1_Du_lieu'!L219</f>
        <v>4.4980000000000002</v>
      </c>
      <c r="F80" s="9">
        <f>'1_Du_lieu'!M219</f>
        <v>28.45</v>
      </c>
      <c r="G80" s="9">
        <f>'1_Du_lieu'!N219</f>
        <v>14.8</v>
      </c>
      <c r="H80" s="9">
        <f>'1_Du_lieu'!X219</f>
        <v>0.64897932070702102</v>
      </c>
      <c r="I80" s="9">
        <f>'1_Du_lieu'!T219</f>
        <v>0.98328416912487704</v>
      </c>
      <c r="J80" s="9">
        <f>'1_Du_lieu'!Y219</f>
        <v>7.9309253724833884</v>
      </c>
      <c r="K80" s="9">
        <f>'1_Du_lieu'!O219</f>
        <v>17.8</v>
      </c>
      <c r="L80" s="5">
        <f t="shared" si="5"/>
        <v>1</v>
      </c>
      <c r="M80" s="5">
        <f t="shared" si="6"/>
        <v>0</v>
      </c>
      <c r="N80" s="5">
        <f t="shared" si="7"/>
        <v>0</v>
      </c>
      <c r="O80" s="5">
        <f t="shared" si="8"/>
        <v>0</v>
      </c>
      <c r="P80" s="5">
        <f t="shared" si="9"/>
        <v>0</v>
      </c>
      <c r="AA80" s="5">
        <f>'1_Du_lieu'!D219</f>
        <v>0</v>
      </c>
    </row>
    <row r="81" spans="1:27" x14ac:dyDescent="0.25">
      <c r="A81" t="s">
        <v>117</v>
      </c>
      <c r="B81">
        <v>2020</v>
      </c>
      <c r="C81" s="7">
        <f>'1_Du_lieu'!V220</f>
        <v>3.4372078191851885</v>
      </c>
      <c r="D81" s="9">
        <f>'1_Du_lieu'!W220</f>
        <v>3.7612001156935624</v>
      </c>
      <c r="E81" s="9">
        <f>'1_Du_lieu'!L220</f>
        <v>3.3119999999999998</v>
      </c>
      <c r="F81" s="9">
        <f>'1_Du_lieu'!M220</f>
        <v>32.74</v>
      </c>
      <c r="G81" s="9">
        <f>'1_Du_lieu'!N220</f>
        <v>16</v>
      </c>
      <c r="H81" s="9">
        <f>'1_Du_lieu'!X220</f>
        <v>2.4049714277383649</v>
      </c>
      <c r="I81" s="9">
        <f>'1_Du_lieu'!T220</f>
        <v>0.89992800575953924</v>
      </c>
      <c r="J81" s="9">
        <f>'1_Du_lieu'!Y220</f>
        <v>5.1357984370502621</v>
      </c>
      <c r="K81" s="9">
        <f>'1_Du_lieu'!O220</f>
        <v>20.8</v>
      </c>
      <c r="L81" s="5">
        <f t="shared" si="5"/>
        <v>1</v>
      </c>
      <c r="M81" s="5">
        <f t="shared" si="6"/>
        <v>0</v>
      </c>
      <c r="N81" s="5">
        <f t="shared" si="7"/>
        <v>0</v>
      </c>
      <c r="O81" s="5">
        <f t="shared" si="8"/>
        <v>0</v>
      </c>
      <c r="P81" s="5">
        <f t="shared" si="9"/>
        <v>0</v>
      </c>
      <c r="AA81" s="5">
        <f>'1_Du_lieu'!D220</f>
        <v>0</v>
      </c>
    </row>
    <row r="82" spans="1:27" x14ac:dyDescent="0.25">
      <c r="A82" t="s">
        <v>119</v>
      </c>
      <c r="B82">
        <v>2020</v>
      </c>
      <c r="C82" s="7">
        <f>'1_Du_lieu'!V222</f>
        <v>3.7612001156935624</v>
      </c>
      <c r="D82" s="9">
        <f>'1_Du_lieu'!W222</f>
        <v>4.3359826961724748</v>
      </c>
      <c r="E82" s="9">
        <f>'1_Du_lieu'!L222</f>
        <v>6.1130000000000004</v>
      </c>
      <c r="F82" s="9">
        <f>'1_Du_lieu'!M222</f>
        <v>18.239999999999998</v>
      </c>
      <c r="G82" s="9">
        <f>'1_Du_lieu'!N222</f>
        <v>15.9</v>
      </c>
      <c r="H82" s="9">
        <f>'1_Du_lieu'!X222</f>
        <v>1.2452909119757585</v>
      </c>
      <c r="I82" s="9">
        <f>'1_Du_lieu'!T222</f>
        <v>0.46682616560658224</v>
      </c>
      <c r="J82" s="9">
        <f>'1_Du_lieu'!Y222</f>
        <v>8.5092416616286179</v>
      </c>
      <c r="K82" s="9">
        <f>'1_Du_lieu'!O222</f>
        <v>19.8</v>
      </c>
      <c r="L82" s="5">
        <f t="shared" si="5"/>
        <v>1</v>
      </c>
      <c r="M82" s="5">
        <f t="shared" si="6"/>
        <v>0</v>
      </c>
      <c r="N82" s="5">
        <f t="shared" si="7"/>
        <v>0</v>
      </c>
      <c r="O82" s="5">
        <f t="shared" si="8"/>
        <v>0</v>
      </c>
      <c r="P82" s="5">
        <f t="shared" si="9"/>
        <v>0</v>
      </c>
      <c r="AA82" s="5">
        <f>'1_Du_lieu'!D222</f>
        <v>0</v>
      </c>
    </row>
    <row r="83" spans="1:27" x14ac:dyDescent="0.25">
      <c r="A83" t="s">
        <v>120</v>
      </c>
      <c r="B83">
        <v>2020</v>
      </c>
      <c r="C83" s="7">
        <f>'1_Du_lieu'!V223</f>
        <v>3.5862928653388351</v>
      </c>
      <c r="D83" s="9">
        <f>'1_Du_lieu'!W223</f>
        <v>4.2766661190160553</v>
      </c>
      <c r="E83" s="9">
        <f>'1_Du_lieu'!L223</f>
        <v>3.8340000000000001</v>
      </c>
      <c r="F83" s="9">
        <f>'1_Du_lieu'!M223</f>
        <v>26.42</v>
      </c>
      <c r="G83" s="9">
        <f>'1_Du_lieu'!N223</f>
        <v>21</v>
      </c>
      <c r="H83" s="9">
        <f>'1_Du_lieu'!X223</f>
        <v>1.8359413008432575</v>
      </c>
      <c r="I83" s="9">
        <f>'1_Du_lieu'!T223</f>
        <v>1.741693461950697</v>
      </c>
      <c r="J83" s="9">
        <f>'1_Du_lieu'!Y223</f>
        <v>6.6545390434116349</v>
      </c>
      <c r="K83" s="9">
        <f>'1_Du_lieu'!O223</f>
        <v>20.3</v>
      </c>
      <c r="L83" s="5">
        <f t="shared" si="5"/>
        <v>1</v>
      </c>
      <c r="M83" s="5">
        <f t="shared" si="6"/>
        <v>0</v>
      </c>
      <c r="N83" s="5">
        <f t="shared" si="7"/>
        <v>0</v>
      </c>
      <c r="O83" s="5">
        <f t="shared" si="8"/>
        <v>0</v>
      </c>
      <c r="P83" s="5">
        <f t="shared" si="9"/>
        <v>0</v>
      </c>
      <c r="AA83" s="5">
        <f>'1_Du_lieu'!D223</f>
        <v>0</v>
      </c>
    </row>
    <row r="84" spans="1:27" x14ac:dyDescent="0.25">
      <c r="A84" t="s">
        <v>121</v>
      </c>
      <c r="B84">
        <v>2020</v>
      </c>
      <c r="C84" s="7">
        <f>'1_Du_lieu'!V224</f>
        <v>3.7160081215021892</v>
      </c>
      <c r="D84" s="9">
        <f>'1_Du_lieu'!W224</f>
        <v>4.1415461637063951</v>
      </c>
      <c r="E84" s="9">
        <f>'1_Du_lieu'!L224</f>
        <v>5.3209999999999997</v>
      </c>
      <c r="F84" s="9">
        <f>'1_Du_lieu'!M224</f>
        <v>39.26</v>
      </c>
      <c r="G84" s="9">
        <f>'1_Du_lieu'!N224</f>
        <v>18.5</v>
      </c>
      <c r="H84" s="9">
        <f>'1_Du_lieu'!X224</f>
        <v>2.5379004113395909</v>
      </c>
      <c r="I84" s="9">
        <f>'1_Du_lieu'!T224</f>
        <v>0.45808520384791573</v>
      </c>
      <c r="J84" s="9">
        <f>'1_Du_lieu'!Y224</f>
        <v>5.9804035997485574</v>
      </c>
      <c r="K84" s="9">
        <f>'1_Du_lieu'!O224</f>
        <v>30.3</v>
      </c>
      <c r="L84" s="5">
        <f t="shared" si="5"/>
        <v>1</v>
      </c>
      <c r="M84" s="5">
        <f t="shared" si="6"/>
        <v>0</v>
      </c>
      <c r="N84" s="5">
        <f t="shared" si="7"/>
        <v>0</v>
      </c>
      <c r="O84" s="5">
        <f t="shared" si="8"/>
        <v>0</v>
      </c>
      <c r="P84" s="5">
        <f t="shared" si="9"/>
        <v>0</v>
      </c>
      <c r="AA84" s="5">
        <f>'1_Du_lieu'!D224</f>
        <v>0</v>
      </c>
    </row>
    <row r="85" spans="1:27" x14ac:dyDescent="0.25">
      <c r="A85" t="s">
        <v>122</v>
      </c>
      <c r="B85">
        <v>2020</v>
      </c>
      <c r="C85" s="7">
        <f>'1_Du_lieu'!V225</f>
        <v>3.3775875160230218</v>
      </c>
      <c r="D85" s="9">
        <f>'1_Du_lieu'!W225</f>
        <v>3.7887247890836524</v>
      </c>
      <c r="E85" s="9">
        <f>'1_Du_lieu'!L225</f>
        <v>2.5550000000000002</v>
      </c>
      <c r="F85" s="9">
        <f>'1_Du_lieu'!M225</f>
        <v>23.04</v>
      </c>
      <c r="G85" s="9">
        <f>'1_Du_lieu'!N225</f>
        <v>21</v>
      </c>
      <c r="H85" s="9">
        <f>'1_Du_lieu'!X225</f>
        <v>2.1034164457094953</v>
      </c>
      <c r="I85" s="9">
        <f>'1_Du_lieu'!T225</f>
        <v>0.63395460885000632</v>
      </c>
      <c r="J85" s="9">
        <f>'1_Du_lieu'!Y225</f>
        <v>5.7137328055093688</v>
      </c>
      <c r="K85" s="9">
        <f>'1_Du_lieu'!O225</f>
        <v>16</v>
      </c>
      <c r="L85" s="5">
        <f t="shared" si="5"/>
        <v>1</v>
      </c>
      <c r="M85" s="5">
        <f t="shared" si="6"/>
        <v>0</v>
      </c>
      <c r="N85" s="5">
        <f t="shared" si="7"/>
        <v>0</v>
      </c>
      <c r="O85" s="5">
        <f t="shared" si="8"/>
        <v>0</v>
      </c>
      <c r="P85" s="5">
        <f t="shared" si="9"/>
        <v>0</v>
      </c>
      <c r="AA85" s="5">
        <f>'1_Du_lieu'!D225</f>
        <v>0</v>
      </c>
    </row>
    <row r="86" spans="1:27" x14ac:dyDescent="0.25">
      <c r="A86" t="s">
        <v>123</v>
      </c>
      <c r="B86">
        <v>2020</v>
      </c>
      <c r="C86" s="7">
        <f>'1_Du_lieu'!V226</f>
        <v>3.7062280924485496</v>
      </c>
      <c r="D86" s="9">
        <f>'1_Du_lieu'!W226</f>
        <v>3.7541989202345789</v>
      </c>
      <c r="E86" s="9">
        <f>'1_Du_lieu'!L226</f>
        <v>3.36</v>
      </c>
      <c r="F86" s="9">
        <f>'1_Du_lieu'!M226</f>
        <v>20.23</v>
      </c>
      <c r="G86" s="9">
        <f>'1_Du_lieu'!N226</f>
        <v>20.100000000000001</v>
      </c>
      <c r="H86" s="9">
        <f>'1_Du_lieu'!X226</f>
        <v>1.9318494249643563</v>
      </c>
      <c r="I86" s="9">
        <f>'1_Du_lieu'!T226</f>
        <v>1.0110655507498738</v>
      </c>
      <c r="J86" s="9">
        <f>'1_Du_lieu'!Y226</f>
        <v>7.60668570429781</v>
      </c>
      <c r="K86" s="9">
        <f>'1_Du_lieu'!O226</f>
        <v>13.7</v>
      </c>
      <c r="L86" s="5">
        <f t="shared" si="5"/>
        <v>1</v>
      </c>
      <c r="M86" s="5">
        <f t="shared" si="6"/>
        <v>0</v>
      </c>
      <c r="N86" s="5">
        <f t="shared" si="7"/>
        <v>0</v>
      </c>
      <c r="O86" s="5">
        <f t="shared" si="8"/>
        <v>0</v>
      </c>
      <c r="P86" s="5">
        <f t="shared" si="9"/>
        <v>0</v>
      </c>
      <c r="AA86" s="5">
        <f>'1_Du_lieu'!D226</f>
        <v>1</v>
      </c>
    </row>
    <row r="87" spans="1:27" x14ac:dyDescent="0.25">
      <c r="A87" t="s">
        <v>124</v>
      </c>
      <c r="B87">
        <v>2020</v>
      </c>
      <c r="C87" s="7">
        <f>'1_Du_lieu'!V227</f>
        <v>3.8351419610921882</v>
      </c>
      <c r="D87" s="9">
        <f>'1_Du_lieu'!W227</f>
        <v>3.763522997109702</v>
      </c>
      <c r="E87" s="9">
        <f>'1_Du_lieu'!L227</f>
        <v>3.4580000000000002</v>
      </c>
      <c r="F87" s="9">
        <f>'1_Du_lieu'!M227</f>
        <v>15.5</v>
      </c>
      <c r="G87" s="9">
        <f>'1_Du_lieu'!N227</f>
        <v>20.8</v>
      </c>
      <c r="H87" s="9">
        <f>'1_Du_lieu'!X227</f>
        <v>3.5320636705213357</v>
      </c>
      <c r="I87" s="9">
        <f>'1_Du_lieu'!T227</f>
        <v>3.3876144062760014</v>
      </c>
      <c r="J87" s="9">
        <f>'1_Du_lieu'!Y227</f>
        <v>6.4864656205270013</v>
      </c>
      <c r="K87" s="9">
        <f>'1_Du_lieu'!O227</f>
        <v>18.5</v>
      </c>
      <c r="L87" s="5">
        <f t="shared" si="5"/>
        <v>1</v>
      </c>
      <c r="M87" s="5">
        <f t="shared" si="6"/>
        <v>0</v>
      </c>
      <c r="N87" s="5">
        <f t="shared" si="7"/>
        <v>0</v>
      </c>
      <c r="O87" s="5">
        <f t="shared" si="8"/>
        <v>0</v>
      </c>
      <c r="P87" s="5">
        <f t="shared" si="9"/>
        <v>0</v>
      </c>
      <c r="AA87" s="5">
        <f>'1_Du_lieu'!D227</f>
        <v>0</v>
      </c>
    </row>
    <row r="88" spans="1:27" x14ac:dyDescent="0.25">
      <c r="A88" t="s">
        <v>125</v>
      </c>
      <c r="B88">
        <v>2020</v>
      </c>
      <c r="C88" s="7">
        <f>'1_Du_lieu'!V228</f>
        <v>3.7658404952500648</v>
      </c>
      <c r="D88" s="9">
        <f>'1_Du_lieu'!W228</f>
        <v>4.2121275978784842</v>
      </c>
      <c r="E88" s="9">
        <f>'1_Du_lieu'!L228</f>
        <v>4.6379999999999999</v>
      </c>
      <c r="F88" s="9">
        <f>'1_Du_lieu'!M228</f>
        <v>21.39</v>
      </c>
      <c r="G88" s="9">
        <f>'1_Du_lieu'!N228</f>
        <v>30.2</v>
      </c>
      <c r="H88" s="9">
        <f>'1_Du_lieu'!X228</f>
        <v>3.2384949632101967</v>
      </c>
      <c r="I88" s="9">
        <f>'1_Du_lieu'!T228</f>
        <v>3.5214810343092866</v>
      </c>
      <c r="J88" s="9">
        <f>'1_Du_lieu'!Y228</f>
        <v>7.2911792562134208</v>
      </c>
      <c r="K88" s="9">
        <f>'1_Du_lieu'!O228</f>
        <v>20</v>
      </c>
      <c r="L88" s="5">
        <f t="shared" si="5"/>
        <v>1</v>
      </c>
      <c r="M88" s="5">
        <f t="shared" si="6"/>
        <v>0</v>
      </c>
      <c r="N88" s="5">
        <f t="shared" si="7"/>
        <v>0</v>
      </c>
      <c r="O88" s="5">
        <f t="shared" si="8"/>
        <v>0</v>
      </c>
      <c r="P88" s="5">
        <f t="shared" si="9"/>
        <v>0</v>
      </c>
      <c r="AA88" s="5">
        <f>'1_Du_lieu'!D228</f>
        <v>1</v>
      </c>
    </row>
    <row r="89" spans="1:27" x14ac:dyDescent="0.25">
      <c r="A89" t="s">
        <v>126</v>
      </c>
      <c r="B89">
        <v>2020</v>
      </c>
      <c r="C89" s="7">
        <f>'1_Du_lieu'!V229</f>
        <v>3.5263605246161616</v>
      </c>
      <c r="D89" s="9">
        <f>'1_Du_lieu'!W229</f>
        <v>4.0792309244120526</v>
      </c>
      <c r="E89" s="9">
        <f>'1_Du_lieu'!L229</f>
        <v>4.55</v>
      </c>
      <c r="F89" s="9">
        <f>'1_Du_lieu'!M229</f>
        <v>35.31</v>
      </c>
      <c r="G89" s="9">
        <f>'1_Du_lieu'!N229</f>
        <v>16.2</v>
      </c>
      <c r="H89" s="9">
        <f>'1_Du_lieu'!X229</f>
        <v>2.2531343333209515</v>
      </c>
      <c r="I89" s="9">
        <f>'1_Du_lieu'!T229</f>
        <v>1.3477088948787062</v>
      </c>
      <c r="J89" s="9">
        <f>'1_Du_lieu'!Y229</f>
        <v>7.8694399381461775</v>
      </c>
      <c r="K89" s="9">
        <f>'1_Du_lieu'!O229</f>
        <v>15.8</v>
      </c>
      <c r="L89" s="5">
        <f t="shared" si="5"/>
        <v>1</v>
      </c>
      <c r="M89" s="5">
        <f t="shared" si="6"/>
        <v>0</v>
      </c>
      <c r="N89" s="5">
        <f t="shared" si="7"/>
        <v>0</v>
      </c>
      <c r="O89" s="5">
        <f t="shared" si="8"/>
        <v>0</v>
      </c>
      <c r="P89" s="5">
        <f t="shared" si="9"/>
        <v>0</v>
      </c>
      <c r="AA89" s="5">
        <f>'1_Du_lieu'!D229</f>
        <v>0</v>
      </c>
    </row>
    <row r="90" spans="1:27" x14ac:dyDescent="0.25">
      <c r="A90" t="s">
        <v>127</v>
      </c>
      <c r="B90">
        <v>2020</v>
      </c>
      <c r="C90" s="7">
        <f>'1_Du_lieu'!V230</f>
        <v>3.673765816303888</v>
      </c>
      <c r="D90" s="9">
        <f>'1_Du_lieu'!W230</f>
        <v>3.9259259105971376</v>
      </c>
      <c r="E90" s="9">
        <f>'1_Du_lieu'!L230</f>
        <v>3.5779999999999998</v>
      </c>
      <c r="F90" s="9">
        <f>'1_Du_lieu'!M230</f>
        <v>19.02</v>
      </c>
      <c r="G90" s="9">
        <f>'1_Du_lieu'!N230</f>
        <v>25.2</v>
      </c>
      <c r="H90" s="9">
        <f>'1_Du_lieu'!X230</f>
        <v>3.0163959043890363</v>
      </c>
      <c r="I90" s="9">
        <f>'1_Du_lieu'!T230</f>
        <v>1.4170996693434104</v>
      </c>
      <c r="J90" s="9">
        <f>'1_Du_lieu'!Y230</f>
        <v>7.1620098253213991</v>
      </c>
      <c r="K90" s="9">
        <f>'1_Du_lieu'!O230</f>
        <v>23.7</v>
      </c>
      <c r="L90" s="5">
        <f t="shared" si="5"/>
        <v>1</v>
      </c>
      <c r="M90" s="5">
        <f t="shared" si="6"/>
        <v>0</v>
      </c>
      <c r="N90" s="5">
        <f t="shared" si="7"/>
        <v>0</v>
      </c>
      <c r="O90" s="5">
        <f t="shared" si="8"/>
        <v>0</v>
      </c>
      <c r="P90" s="5">
        <f t="shared" si="9"/>
        <v>0</v>
      </c>
      <c r="AA90" s="5">
        <f>'1_Du_lieu'!D230</f>
        <v>0</v>
      </c>
    </row>
    <row r="91" spans="1:27" x14ac:dyDescent="0.25">
      <c r="A91" t="s">
        <v>128</v>
      </c>
      <c r="B91">
        <v>2020</v>
      </c>
      <c r="C91" s="7">
        <f>'1_Du_lieu'!V231</f>
        <v>3.5695326964813701</v>
      </c>
      <c r="D91" s="9">
        <f>'1_Du_lieu'!W231</f>
        <v>3.9219733362813143</v>
      </c>
      <c r="E91" s="9">
        <f>'1_Du_lieu'!L231</f>
        <v>3.4209999999999998</v>
      </c>
      <c r="F91" s="9">
        <f>'1_Du_lieu'!M231</f>
        <v>32.700000000000003</v>
      </c>
      <c r="G91" s="9">
        <f>'1_Du_lieu'!N231</f>
        <v>17.5</v>
      </c>
      <c r="H91" s="9">
        <f>'1_Du_lieu'!X231</f>
        <v>2.6356774965350644</v>
      </c>
      <c r="I91" s="9">
        <f>'1_Du_lieu'!T231</f>
        <v>0.57188608029280563</v>
      </c>
      <c r="J91" s="9">
        <f>'1_Du_lieu'!Y231</f>
        <v>7.752979562422432</v>
      </c>
      <c r="K91" s="9">
        <f>'1_Du_lieu'!O231</f>
        <v>21.1</v>
      </c>
      <c r="L91" s="5">
        <f t="shared" si="5"/>
        <v>1</v>
      </c>
      <c r="M91" s="5">
        <f t="shared" si="6"/>
        <v>0</v>
      </c>
      <c r="N91" s="5">
        <f t="shared" si="7"/>
        <v>0</v>
      </c>
      <c r="O91" s="5">
        <f t="shared" si="8"/>
        <v>0</v>
      </c>
      <c r="P91" s="5">
        <f t="shared" si="9"/>
        <v>0</v>
      </c>
      <c r="AA91" s="5">
        <f>'1_Du_lieu'!D231</f>
        <v>0</v>
      </c>
    </row>
    <row r="92" spans="1:27" x14ac:dyDescent="0.25">
      <c r="A92" t="s">
        <v>129</v>
      </c>
      <c r="B92">
        <v>2020</v>
      </c>
      <c r="C92" s="7">
        <f>'1_Du_lieu'!V232</f>
        <v>3.4781584227982836</v>
      </c>
      <c r="D92" s="9">
        <f>'1_Du_lieu'!W232</f>
        <v>3.8351419610921882</v>
      </c>
      <c r="E92" s="9">
        <f>'1_Du_lieu'!L232</f>
        <v>4.952</v>
      </c>
      <c r="F92" s="9">
        <f>'1_Du_lieu'!M232</f>
        <v>22.96</v>
      </c>
      <c r="G92" s="9">
        <f>'1_Du_lieu'!N232</f>
        <v>21.9</v>
      </c>
      <c r="H92" s="9">
        <f>'1_Du_lieu'!X232</f>
        <v>3.2330323529100875</v>
      </c>
      <c r="I92" s="9">
        <f>'1_Du_lieu'!T232</f>
        <v>0.99778270509977818</v>
      </c>
      <c r="J92" s="9">
        <f>'1_Du_lieu'!Y232</f>
        <v>7.0716582502520735</v>
      </c>
      <c r="K92" s="9">
        <f>'1_Du_lieu'!O232</f>
        <v>15.3</v>
      </c>
      <c r="L92" s="5">
        <f t="shared" si="5"/>
        <v>1</v>
      </c>
      <c r="M92" s="5">
        <f t="shared" si="6"/>
        <v>0</v>
      </c>
      <c r="N92" s="5">
        <f t="shared" si="7"/>
        <v>0</v>
      </c>
      <c r="O92" s="5">
        <f t="shared" si="8"/>
        <v>0</v>
      </c>
      <c r="P92" s="5">
        <f t="shared" si="9"/>
        <v>0</v>
      </c>
      <c r="AA92" s="5">
        <f>'1_Du_lieu'!D232</f>
        <v>0</v>
      </c>
    </row>
    <row r="93" spans="1:27" x14ac:dyDescent="0.25">
      <c r="A93" t="s">
        <v>130</v>
      </c>
      <c r="B93">
        <v>2020</v>
      </c>
      <c r="C93" s="7">
        <f>'1_Du_lieu'!V233</f>
        <v>3.6838669122903918</v>
      </c>
      <c r="D93" s="9">
        <f>'1_Du_lieu'!W233</f>
        <v>4.180522258463153</v>
      </c>
      <c r="E93" s="9">
        <f>'1_Du_lieu'!L233</f>
        <v>5.1319999999999997</v>
      </c>
      <c r="F93" s="9">
        <f>'1_Du_lieu'!M233</f>
        <v>26.33</v>
      </c>
      <c r="G93" s="9">
        <f>'1_Du_lieu'!N233</f>
        <v>21.5</v>
      </c>
      <c r="H93" s="9">
        <f>'1_Du_lieu'!X233</f>
        <v>2.1939412307003638</v>
      </c>
      <c r="I93" s="9">
        <f>'1_Du_lieu'!T233</f>
        <v>0.26578073089700999</v>
      </c>
      <c r="J93" s="9">
        <f>'1_Du_lieu'!Y233</f>
        <v>8.2999820087551353</v>
      </c>
      <c r="K93" s="9">
        <f>'1_Du_lieu'!O233</f>
        <v>20.100000000000001</v>
      </c>
      <c r="L93" s="5">
        <f t="shared" si="5"/>
        <v>1</v>
      </c>
      <c r="M93" s="5">
        <f t="shared" si="6"/>
        <v>0</v>
      </c>
      <c r="N93" s="5">
        <f t="shared" si="7"/>
        <v>0</v>
      </c>
      <c r="O93" s="5">
        <f t="shared" si="8"/>
        <v>0</v>
      </c>
      <c r="P93" s="5">
        <f t="shared" si="9"/>
        <v>0</v>
      </c>
      <c r="AA93" s="5">
        <f>'1_Du_lieu'!D233</f>
        <v>0</v>
      </c>
    </row>
    <row r="94" spans="1:27" x14ac:dyDescent="0.25">
      <c r="A94" t="s">
        <v>131</v>
      </c>
      <c r="B94">
        <v>2020</v>
      </c>
      <c r="C94" s="7">
        <f>'1_Du_lieu'!V234</f>
        <v>3.5553480614894135</v>
      </c>
      <c r="D94" s="9">
        <f>'1_Du_lieu'!W234</f>
        <v>4.2413267525707461</v>
      </c>
      <c r="E94" s="9">
        <f>'1_Du_lieu'!L234</f>
        <v>4.2949999999999999</v>
      </c>
      <c r="F94" s="9">
        <f>'1_Du_lieu'!M234</f>
        <v>21.1</v>
      </c>
      <c r="G94" s="9">
        <f>'1_Du_lieu'!N234</f>
        <v>22</v>
      </c>
      <c r="H94" s="9">
        <f>'1_Du_lieu'!X234</f>
        <v>2.1421719389565141</v>
      </c>
      <c r="I94" s="9">
        <f>'1_Du_lieu'!T234</f>
        <v>0.81076698556834748</v>
      </c>
      <c r="J94" s="9">
        <f>'1_Du_lieu'!Y234</f>
        <v>7.3729347908623808</v>
      </c>
      <c r="K94" s="9">
        <f>'1_Du_lieu'!O234</f>
        <v>19.3</v>
      </c>
      <c r="L94" s="5">
        <f t="shared" si="5"/>
        <v>1</v>
      </c>
      <c r="M94" s="5">
        <f t="shared" si="6"/>
        <v>0</v>
      </c>
      <c r="N94" s="5">
        <f t="shared" si="7"/>
        <v>0</v>
      </c>
      <c r="O94" s="5">
        <f t="shared" si="8"/>
        <v>0</v>
      </c>
      <c r="P94" s="5">
        <f t="shared" si="9"/>
        <v>0</v>
      </c>
      <c r="AA94" s="5">
        <f>'1_Du_lieu'!D234</f>
        <v>0</v>
      </c>
    </row>
    <row r="95" spans="1:27" x14ac:dyDescent="0.25">
      <c r="A95" t="s">
        <v>132</v>
      </c>
      <c r="B95">
        <v>2020</v>
      </c>
      <c r="C95" s="7">
        <f>'1_Du_lieu'!V235</f>
        <v>3.8979240810486444</v>
      </c>
      <c r="D95" s="9">
        <f>'1_Du_lieu'!W235</f>
        <v>5.0472886117442908</v>
      </c>
      <c r="E95" s="9">
        <f>'1_Du_lieu'!L235</f>
        <v>6.9009999999999998</v>
      </c>
      <c r="F95" s="9">
        <f>'1_Du_lieu'!M235</f>
        <v>64.44</v>
      </c>
      <c r="G95" s="9">
        <f>'1_Du_lieu'!N235</f>
        <v>38.700000000000003</v>
      </c>
      <c r="H95" s="9">
        <f>'1_Du_lieu'!X235</f>
        <v>3.4470021567975442</v>
      </c>
      <c r="I95" s="9">
        <f>'1_Du_lieu'!T235</f>
        <v>2.5418660287081343</v>
      </c>
      <c r="J95" s="9">
        <f>'1_Du_lieu'!Y235</f>
        <v>8.5321803212244856</v>
      </c>
      <c r="K95" s="9">
        <f>'1_Du_lieu'!O235</f>
        <v>26.4</v>
      </c>
      <c r="L95" s="5">
        <f t="shared" si="5"/>
        <v>1</v>
      </c>
      <c r="M95" s="5">
        <f t="shared" si="6"/>
        <v>0</v>
      </c>
      <c r="N95" s="5">
        <f t="shared" si="7"/>
        <v>0</v>
      </c>
      <c r="O95" s="5">
        <f t="shared" si="8"/>
        <v>0</v>
      </c>
      <c r="P95" s="5">
        <f t="shared" si="9"/>
        <v>0</v>
      </c>
      <c r="AA95" s="5">
        <f>'1_Du_lieu'!D235</f>
        <v>1</v>
      </c>
    </row>
    <row r="96" spans="1:27" x14ac:dyDescent="0.25">
      <c r="A96" t="s">
        <v>133</v>
      </c>
      <c r="B96">
        <v>2020</v>
      </c>
      <c r="C96" s="7">
        <f>'1_Du_lieu'!V236</f>
        <v>3.4404180948154366</v>
      </c>
      <c r="D96" s="9">
        <f>'1_Du_lieu'!W236</f>
        <v>3.9665111907122159</v>
      </c>
      <c r="E96" s="9">
        <f>'1_Du_lieu'!L236</f>
        <v>4.49</v>
      </c>
      <c r="F96" s="9">
        <f>'1_Du_lieu'!M236</f>
        <v>32.46</v>
      </c>
      <c r="G96" s="9">
        <f>'1_Du_lieu'!N236</f>
        <v>25.6</v>
      </c>
      <c r="H96" s="9">
        <f>'1_Du_lieu'!X236</f>
        <v>2.7821133472927264</v>
      </c>
      <c r="I96" s="9">
        <f>'1_Du_lieu'!T236</f>
        <v>3.4515218073423282</v>
      </c>
      <c r="J96" s="9">
        <f>'1_Du_lieu'!Y236</f>
        <v>5.2246708263797386</v>
      </c>
      <c r="K96" s="9">
        <f>'1_Du_lieu'!O236</f>
        <v>22</v>
      </c>
      <c r="L96" s="5">
        <f t="shared" si="5"/>
        <v>1</v>
      </c>
      <c r="M96" s="5">
        <f t="shared" si="6"/>
        <v>0</v>
      </c>
      <c r="N96" s="5">
        <f t="shared" si="7"/>
        <v>0</v>
      </c>
      <c r="O96" s="5">
        <f t="shared" si="8"/>
        <v>0</v>
      </c>
      <c r="P96" s="5">
        <f t="shared" si="9"/>
        <v>0</v>
      </c>
      <c r="AA96" s="5">
        <f>'1_Du_lieu'!D236</f>
        <v>0</v>
      </c>
    </row>
    <row r="97" spans="1:27" x14ac:dyDescent="0.25">
      <c r="A97" t="s">
        <v>136</v>
      </c>
      <c r="B97">
        <v>2020</v>
      </c>
      <c r="C97" s="7">
        <f>'1_Du_lieu'!V239</f>
        <v>4.4897593344767639</v>
      </c>
      <c r="D97" s="9">
        <f>'1_Du_lieu'!W239</f>
        <v>5.0012581322836587</v>
      </c>
      <c r="E97" s="9">
        <f>'1_Du_lieu'!L239</f>
        <v>27.602</v>
      </c>
      <c r="F97" s="9">
        <f>'1_Du_lieu'!M239</f>
        <v>79.010000000000005</v>
      </c>
      <c r="G97" s="9">
        <f>'1_Du_lieu'!N239</f>
        <v>38.700000000000003</v>
      </c>
      <c r="H97" s="9">
        <f>'1_Du_lieu'!X239</f>
        <v>2.441180665348742</v>
      </c>
      <c r="I97" s="9">
        <f>'1_Du_lieu'!T239</f>
        <v>3.0560492435736268</v>
      </c>
      <c r="J97" s="9">
        <f>'1_Du_lieu'!Y239</f>
        <v>8.561573647096969</v>
      </c>
      <c r="K97" s="9">
        <f>'1_Du_lieu'!O239</f>
        <v>51.2</v>
      </c>
      <c r="L97" s="5">
        <f t="shared" si="5"/>
        <v>1</v>
      </c>
      <c r="M97" s="5">
        <f t="shared" si="6"/>
        <v>0</v>
      </c>
      <c r="N97" s="5">
        <f t="shared" si="7"/>
        <v>0</v>
      </c>
      <c r="O97" s="5">
        <f t="shared" si="8"/>
        <v>0</v>
      </c>
      <c r="P97" s="5">
        <f t="shared" si="9"/>
        <v>0</v>
      </c>
      <c r="AA97" s="5">
        <f>'1_Du_lieu'!D239</f>
        <v>1</v>
      </c>
    </row>
    <row r="98" spans="1:27" x14ac:dyDescent="0.25">
      <c r="A98" t="s">
        <v>137</v>
      </c>
      <c r="B98">
        <v>2020</v>
      </c>
      <c r="C98" s="7">
        <f>'1_Du_lieu'!V240</f>
        <v>3.7541989202345789</v>
      </c>
      <c r="D98" s="9">
        <f>'1_Du_lieu'!W240</f>
        <v>3.9376907521767239</v>
      </c>
      <c r="E98" s="9">
        <f>'1_Du_lieu'!L240</f>
        <v>3.589</v>
      </c>
      <c r="F98" s="9">
        <f>'1_Du_lieu'!M240</f>
        <v>23.28</v>
      </c>
      <c r="G98" s="9">
        <f>'1_Du_lieu'!N240</f>
        <v>21.4</v>
      </c>
      <c r="H98" s="9">
        <f>'1_Du_lieu'!X240</f>
        <v>2.5701808339622447</v>
      </c>
      <c r="I98" s="9">
        <f>'1_Du_lieu'!T240</f>
        <v>0.70943272667739909</v>
      </c>
      <c r="J98" s="9">
        <f>'1_Du_lieu'!Y240</f>
        <v>8.2849332114557459</v>
      </c>
      <c r="K98" s="9">
        <f>'1_Du_lieu'!O240</f>
        <v>16.2</v>
      </c>
      <c r="L98" s="5">
        <f t="shared" si="5"/>
        <v>1</v>
      </c>
      <c r="M98" s="5">
        <f t="shared" si="6"/>
        <v>0</v>
      </c>
      <c r="N98" s="5">
        <f t="shared" si="7"/>
        <v>0</v>
      </c>
      <c r="O98" s="5">
        <f t="shared" si="8"/>
        <v>0</v>
      </c>
      <c r="P98" s="5">
        <f t="shared" si="9"/>
        <v>0</v>
      </c>
      <c r="AA98" s="5">
        <f>'1_Du_lieu'!D240</f>
        <v>0</v>
      </c>
    </row>
    <row r="99" spans="1:27" x14ac:dyDescent="0.25">
      <c r="A99" t="s">
        <v>138</v>
      </c>
      <c r="B99">
        <v>2020</v>
      </c>
      <c r="C99" s="7">
        <f>'1_Du_lieu'!V241</f>
        <v>3.6506582412937387</v>
      </c>
      <c r="D99" s="9">
        <f>'1_Du_lieu'!W241</f>
        <v>3.8691155044168695</v>
      </c>
      <c r="E99" s="9">
        <f>'1_Du_lieu'!L241</f>
        <v>2.7549999999999999</v>
      </c>
      <c r="F99" s="9">
        <f>'1_Du_lieu'!M241</f>
        <v>11.74</v>
      </c>
      <c r="G99" s="9">
        <f>'1_Du_lieu'!N241</f>
        <v>17.899999999999999</v>
      </c>
      <c r="H99" s="9">
        <f>'1_Du_lieu'!X241</f>
        <v>1.4077709866343509</v>
      </c>
      <c r="I99" s="9">
        <f>'1_Du_lieu'!T241</f>
        <v>0.74858303924713931</v>
      </c>
      <c r="J99" s="9">
        <f>'1_Du_lieu'!Y241</f>
        <v>6.081990573807353</v>
      </c>
      <c r="K99" s="9">
        <f>'1_Du_lieu'!O241</f>
        <v>13.4</v>
      </c>
      <c r="L99" s="5">
        <f t="shared" si="5"/>
        <v>1</v>
      </c>
      <c r="M99" s="5">
        <f t="shared" si="6"/>
        <v>0</v>
      </c>
      <c r="N99" s="5">
        <f t="shared" si="7"/>
        <v>0</v>
      </c>
      <c r="O99" s="5">
        <f t="shared" si="8"/>
        <v>0</v>
      </c>
      <c r="P99" s="5">
        <f t="shared" si="9"/>
        <v>0</v>
      </c>
      <c r="AA99" s="5">
        <f>'1_Du_lieu'!D241</f>
        <v>1</v>
      </c>
    </row>
    <row r="100" spans="1:27" x14ac:dyDescent="0.25">
      <c r="A100" t="s">
        <v>139</v>
      </c>
      <c r="B100">
        <v>2020</v>
      </c>
      <c r="C100" s="7">
        <f>'1_Du_lieu'!V242</f>
        <v>3.6838669122903918</v>
      </c>
      <c r="D100" s="9">
        <f>'1_Du_lieu'!W242</f>
        <v>4.5464811896394117</v>
      </c>
      <c r="E100" s="9">
        <f>'1_Du_lieu'!L242</f>
        <v>3.6619999999999999</v>
      </c>
      <c r="F100" s="9">
        <f>'1_Du_lieu'!M242</f>
        <v>32.090000000000003</v>
      </c>
      <c r="G100" s="9">
        <f>'1_Du_lieu'!N242</f>
        <v>28.2</v>
      </c>
      <c r="H100" s="9">
        <f>'1_Du_lieu'!X242</f>
        <v>3.2720030509182005</v>
      </c>
      <c r="I100" s="9">
        <f>'1_Du_lieu'!T242</f>
        <v>1.1468766725284807</v>
      </c>
      <c r="J100" s="9">
        <f>'1_Du_lieu'!Y242</f>
        <v>8.8088473646204193</v>
      </c>
      <c r="K100" s="9">
        <f>'1_Du_lieu'!O242</f>
        <v>24.4</v>
      </c>
      <c r="L100" s="5">
        <f t="shared" si="5"/>
        <v>1</v>
      </c>
      <c r="M100" s="5">
        <f t="shared" si="6"/>
        <v>0</v>
      </c>
      <c r="N100" s="5">
        <f t="shared" si="7"/>
        <v>0</v>
      </c>
      <c r="O100" s="5">
        <f t="shared" si="8"/>
        <v>0</v>
      </c>
      <c r="P100" s="5">
        <f t="shared" si="9"/>
        <v>0</v>
      </c>
      <c r="AA100" s="5">
        <f>'1_Du_lieu'!D242</f>
        <v>0</v>
      </c>
    </row>
    <row r="101" spans="1:27" x14ac:dyDescent="0.25">
      <c r="A101" t="s">
        <v>141</v>
      </c>
      <c r="B101">
        <v>2020</v>
      </c>
      <c r="C101" s="7">
        <f>'1_Du_lieu'!V244</f>
        <v>3.6888794541139363</v>
      </c>
      <c r="D101" s="9">
        <f>'1_Du_lieu'!W244</f>
        <v>4.0217738693872649</v>
      </c>
      <c r="E101" s="9">
        <f>'1_Du_lieu'!L244</f>
        <v>2.738</v>
      </c>
      <c r="F101" s="9">
        <f>'1_Du_lieu'!M244</f>
        <v>14.21</v>
      </c>
      <c r="G101" s="9">
        <f>'1_Du_lieu'!N244</f>
        <v>14.2</v>
      </c>
      <c r="H101" s="9">
        <f>'1_Du_lieu'!X244</f>
        <v>0.66499725844119417</v>
      </c>
      <c r="I101" s="9">
        <f>'1_Du_lieu'!T244</f>
        <v>0.7334273624823695</v>
      </c>
      <c r="J101" s="9">
        <f>'1_Du_lieu'!Y244</f>
        <v>7.3458166427932889</v>
      </c>
      <c r="K101" s="9">
        <f>'1_Du_lieu'!O244</f>
        <v>18.3</v>
      </c>
      <c r="L101" s="5">
        <f t="shared" si="5"/>
        <v>1</v>
      </c>
      <c r="M101" s="5">
        <f t="shared" si="6"/>
        <v>0</v>
      </c>
      <c r="N101" s="5">
        <f t="shared" si="7"/>
        <v>0</v>
      </c>
      <c r="O101" s="5">
        <f t="shared" si="8"/>
        <v>0</v>
      </c>
      <c r="P101" s="5">
        <f t="shared" si="9"/>
        <v>0</v>
      </c>
      <c r="AA101" s="5">
        <f>'1_Du_lieu'!D244</f>
        <v>0</v>
      </c>
    </row>
    <row r="102" spans="1:27" x14ac:dyDescent="0.25">
      <c r="A102" t="s">
        <v>142</v>
      </c>
      <c r="B102">
        <v>2020</v>
      </c>
      <c r="C102" s="7">
        <f>'1_Du_lieu'!V245</f>
        <v>3.4468078929142076</v>
      </c>
      <c r="D102" s="9">
        <f>'1_Du_lieu'!W245</f>
        <v>4.1108738641733114</v>
      </c>
      <c r="E102" s="9">
        <f>'1_Du_lieu'!L245</f>
        <v>2.278</v>
      </c>
      <c r="F102" s="9">
        <f>'1_Du_lieu'!M245</f>
        <v>17.41</v>
      </c>
      <c r="G102" s="9">
        <f>'1_Du_lieu'!N245</f>
        <v>11.6</v>
      </c>
      <c r="H102" s="9">
        <f>'1_Du_lieu'!X245</f>
        <v>1.2813078499544777</v>
      </c>
      <c r="I102" s="9">
        <f>'1_Du_lieu'!T245</f>
        <v>0.89117734429151396</v>
      </c>
      <c r="J102" s="9">
        <f>'1_Du_lieu'!Y245</f>
        <v>8.1018898461721687</v>
      </c>
      <c r="K102" s="9">
        <f>'1_Du_lieu'!O245</f>
        <v>12.8</v>
      </c>
      <c r="L102" s="5">
        <f t="shared" si="5"/>
        <v>1</v>
      </c>
      <c r="M102" s="5">
        <f t="shared" si="6"/>
        <v>0</v>
      </c>
      <c r="N102" s="5">
        <f t="shared" si="7"/>
        <v>0</v>
      </c>
      <c r="O102" s="5">
        <f t="shared" si="8"/>
        <v>0</v>
      </c>
      <c r="P102" s="5">
        <f t="shared" si="9"/>
        <v>0</v>
      </c>
      <c r="AA102" s="5">
        <f>'1_Du_lieu'!D245</f>
        <v>0</v>
      </c>
    </row>
    <row r="103" spans="1:27" x14ac:dyDescent="0.25">
      <c r="A103" t="s">
        <v>143</v>
      </c>
      <c r="B103">
        <v>2020</v>
      </c>
      <c r="C103" s="7">
        <f>'1_Du_lieu'!V246</f>
        <v>3.380994674344636</v>
      </c>
      <c r="D103" s="9">
        <f>'1_Du_lieu'!W246</f>
        <v>3.7727609380946383</v>
      </c>
      <c r="E103" s="9">
        <f>'1_Du_lieu'!L246</f>
        <v>1.841</v>
      </c>
      <c r="F103" s="9">
        <f>'1_Du_lieu'!M246</f>
        <v>13.82</v>
      </c>
      <c r="G103" s="9">
        <f>'1_Du_lieu'!N246</f>
        <v>21.3</v>
      </c>
      <c r="H103" s="9">
        <f>'1_Du_lieu'!X246</f>
        <v>2.8888922654216747</v>
      </c>
      <c r="I103" s="9">
        <f>'1_Du_lieu'!T246</f>
        <v>0.88283516206331192</v>
      </c>
      <c r="J103" s="9">
        <f>'1_Du_lieu'!Y246</f>
        <v>5.6182245862945548</v>
      </c>
      <c r="K103" s="9">
        <f>'1_Du_lieu'!O246</f>
        <v>14.1</v>
      </c>
      <c r="L103" s="5">
        <f t="shared" si="5"/>
        <v>1</v>
      </c>
      <c r="M103" s="5">
        <f t="shared" si="6"/>
        <v>0</v>
      </c>
      <c r="N103" s="5">
        <f t="shared" si="7"/>
        <v>0</v>
      </c>
      <c r="O103" s="5">
        <f t="shared" si="8"/>
        <v>0</v>
      </c>
      <c r="P103" s="5">
        <f t="shared" si="9"/>
        <v>0</v>
      </c>
      <c r="AA103" s="5">
        <f>'1_Du_lieu'!D246</f>
        <v>0</v>
      </c>
    </row>
    <row r="104" spans="1:27" x14ac:dyDescent="0.25">
      <c r="A104" t="s">
        <v>144</v>
      </c>
      <c r="B104">
        <v>2020</v>
      </c>
      <c r="C104" s="7">
        <f>'1_Du_lieu'!V247</f>
        <v>3.673765816303888</v>
      </c>
      <c r="D104" s="9">
        <f>'1_Du_lieu'!W247</f>
        <v>4.3040650932041702</v>
      </c>
      <c r="E104" s="9">
        <f>'1_Du_lieu'!L247</f>
        <v>3.6930000000000001</v>
      </c>
      <c r="F104" s="9">
        <f>'1_Du_lieu'!M247</f>
        <v>32.340000000000003</v>
      </c>
      <c r="G104" s="9">
        <f>'1_Du_lieu'!N247</f>
        <v>14.7</v>
      </c>
      <c r="H104" s="9">
        <f>'1_Du_lieu'!X247</f>
        <v>2.5556293321054997</v>
      </c>
      <c r="I104" s="9">
        <f>'1_Du_lieu'!T247</f>
        <v>1.1881524229822626</v>
      </c>
      <c r="J104" s="9">
        <f>'1_Du_lieu'!Y247</f>
        <v>8.7825376261463042</v>
      </c>
      <c r="K104" s="9">
        <f>'1_Du_lieu'!O247</f>
        <v>15.6</v>
      </c>
      <c r="L104" s="5">
        <f t="shared" si="5"/>
        <v>1</v>
      </c>
      <c r="M104" s="5">
        <f t="shared" si="6"/>
        <v>0</v>
      </c>
      <c r="N104" s="5">
        <f t="shared" si="7"/>
        <v>0</v>
      </c>
      <c r="O104" s="5">
        <f t="shared" si="8"/>
        <v>0</v>
      </c>
      <c r="P104" s="5">
        <f t="shared" si="9"/>
        <v>0</v>
      </c>
      <c r="AA104" s="5">
        <f>'1_Du_lieu'!D247</f>
        <v>1</v>
      </c>
    </row>
    <row r="105" spans="1:27" x14ac:dyDescent="0.25">
      <c r="A105" t="s">
        <v>145</v>
      </c>
      <c r="B105">
        <v>2020</v>
      </c>
      <c r="C105" s="7">
        <f>'1_Du_lieu'!V248</f>
        <v>3.4626060097907989</v>
      </c>
      <c r="D105" s="9">
        <f>'1_Du_lieu'!W248</f>
        <v>4.048300623720694</v>
      </c>
      <c r="E105" s="9">
        <f>'1_Du_lieu'!L248</f>
        <v>2.6030000000000002</v>
      </c>
      <c r="F105" s="9">
        <f>'1_Du_lieu'!M248</f>
        <v>22.69</v>
      </c>
      <c r="G105" s="9">
        <f>'1_Du_lieu'!N248</f>
        <v>15.8</v>
      </c>
      <c r="H105" s="9">
        <f>'1_Du_lieu'!X248</f>
        <v>0.63000227895541705</v>
      </c>
      <c r="I105" s="9">
        <f>'1_Du_lieu'!T248</f>
        <v>0.5865102639296188</v>
      </c>
      <c r="J105" s="9">
        <f>'1_Du_lieu'!Y248</f>
        <v>6.6849866573730008</v>
      </c>
      <c r="K105" s="9">
        <f>'1_Du_lieu'!O248</f>
        <v>16.899999999999999</v>
      </c>
      <c r="L105" s="5">
        <f t="shared" si="5"/>
        <v>1</v>
      </c>
      <c r="M105" s="5">
        <f t="shared" si="6"/>
        <v>0</v>
      </c>
      <c r="N105" s="5">
        <f t="shared" si="7"/>
        <v>0</v>
      </c>
      <c r="O105" s="5">
        <f t="shared" si="8"/>
        <v>0</v>
      </c>
      <c r="P105" s="5">
        <f t="shared" si="9"/>
        <v>0</v>
      </c>
      <c r="AA105" s="5">
        <f>'1_Du_lieu'!D248</f>
        <v>0</v>
      </c>
    </row>
    <row r="106" spans="1:27" x14ac:dyDescent="0.25">
      <c r="A106" t="s">
        <v>146</v>
      </c>
      <c r="B106">
        <v>2020</v>
      </c>
      <c r="C106" s="7">
        <f>'1_Du_lieu'!V249</f>
        <v>3.7887247890836524</v>
      </c>
      <c r="D106" s="9">
        <f>'1_Du_lieu'!W249</f>
        <v>4.6624952526073606</v>
      </c>
      <c r="E106" s="9">
        <f>'1_Du_lieu'!L249</f>
        <v>6.6239999999999997</v>
      </c>
      <c r="F106" s="9">
        <f>'1_Du_lieu'!M249</f>
        <v>29.97</v>
      </c>
      <c r="G106" s="9">
        <f>'1_Du_lieu'!N249</f>
        <v>28.6</v>
      </c>
      <c r="H106" s="9">
        <f>'1_Du_lieu'!X249</f>
        <v>2.9784778824002407</v>
      </c>
      <c r="I106" s="9">
        <f>'1_Du_lieu'!T249</f>
        <v>0.76844262295081966</v>
      </c>
      <c r="J106" s="9">
        <f>'1_Du_lieu'!Y249</f>
        <v>8.4123214451800639</v>
      </c>
      <c r="K106" s="9">
        <f>'1_Du_lieu'!O249</f>
        <v>31.5</v>
      </c>
      <c r="L106" s="5">
        <f t="shared" si="5"/>
        <v>1</v>
      </c>
      <c r="M106" s="5">
        <f t="shared" si="6"/>
        <v>0</v>
      </c>
      <c r="N106" s="5">
        <f t="shared" si="7"/>
        <v>0</v>
      </c>
      <c r="O106" s="5">
        <f t="shared" si="8"/>
        <v>0</v>
      </c>
      <c r="P106" s="5">
        <f t="shared" si="9"/>
        <v>0</v>
      </c>
      <c r="AA106" s="5">
        <f>'1_Du_lieu'!D249</f>
        <v>1</v>
      </c>
    </row>
    <row r="107" spans="1:27" x14ac:dyDescent="0.25">
      <c r="A107" t="s">
        <v>147</v>
      </c>
      <c r="B107">
        <v>2020</v>
      </c>
      <c r="C107" s="7">
        <f>'1_Du_lieu'!V250</f>
        <v>3.535145354171894</v>
      </c>
      <c r="D107" s="9">
        <f>'1_Du_lieu'!W250</f>
        <v>3.6863763238958178</v>
      </c>
      <c r="E107" s="9">
        <f>'1_Du_lieu'!L250</f>
        <v>2.0760000000000001</v>
      </c>
      <c r="F107" s="9">
        <f>'1_Du_lieu'!M250</f>
        <v>20.63</v>
      </c>
      <c r="G107" s="9">
        <f>'1_Du_lieu'!N250</f>
        <v>19.100000000000001</v>
      </c>
      <c r="H107" s="9">
        <f>'1_Du_lieu'!X250</f>
        <v>2.5107639346430943</v>
      </c>
      <c r="I107" s="9">
        <f>'1_Du_lieu'!T250</f>
        <v>0.36075036075036077</v>
      </c>
      <c r="J107" s="9">
        <f>'1_Du_lieu'!Y250</f>
        <v>6.1791881531909318</v>
      </c>
      <c r="K107" s="9">
        <f>'1_Du_lieu'!O250</f>
        <v>12.2</v>
      </c>
      <c r="L107" s="5">
        <f t="shared" si="5"/>
        <v>1</v>
      </c>
      <c r="M107" s="5">
        <f t="shared" si="6"/>
        <v>0</v>
      </c>
      <c r="N107" s="5">
        <f t="shared" si="7"/>
        <v>0</v>
      </c>
      <c r="O107" s="5">
        <f t="shared" si="8"/>
        <v>0</v>
      </c>
      <c r="P107" s="5">
        <f t="shared" si="9"/>
        <v>0</v>
      </c>
      <c r="AA107" s="5">
        <f>'1_Du_lieu'!D250</f>
        <v>0</v>
      </c>
    </row>
    <row r="108" spans="1:27" x14ac:dyDescent="0.25">
      <c r="A108" t="s">
        <v>149</v>
      </c>
      <c r="B108">
        <v>2020</v>
      </c>
      <c r="C108" s="7">
        <f>'1_Du_lieu'!V252</f>
        <v>4.0673158898341812</v>
      </c>
      <c r="D108" s="9">
        <f>'1_Du_lieu'!W252</f>
        <v>4.4863866499981242</v>
      </c>
      <c r="E108" s="9">
        <f>'1_Du_lieu'!L252</f>
        <v>20.236000000000001</v>
      </c>
      <c r="F108" s="9">
        <f>'1_Du_lieu'!M252</f>
        <v>87.25</v>
      </c>
      <c r="G108" s="9">
        <f>'1_Du_lieu'!N252</f>
        <v>44</v>
      </c>
      <c r="H108" s="9">
        <f>'1_Du_lieu'!X252</f>
        <v>3.2759808431445858</v>
      </c>
      <c r="I108" s="9">
        <f>'1_Du_lieu'!T252</f>
        <v>6.7550235143223603</v>
      </c>
      <c r="J108" s="9">
        <f>'1_Du_lieu'!Y252</f>
        <v>8.4658998970286863</v>
      </c>
      <c r="K108" s="9">
        <f>'1_Du_lieu'!O252</f>
        <v>54.2</v>
      </c>
      <c r="L108" s="5">
        <f t="shared" si="5"/>
        <v>1</v>
      </c>
      <c r="M108" s="5">
        <f t="shared" si="6"/>
        <v>0</v>
      </c>
      <c r="N108" s="5">
        <f t="shared" si="7"/>
        <v>0</v>
      </c>
      <c r="O108" s="5">
        <f t="shared" si="8"/>
        <v>0</v>
      </c>
      <c r="P108" s="5">
        <f t="shared" si="9"/>
        <v>0</v>
      </c>
      <c r="AA108" s="5">
        <f>'1_Du_lieu'!D252</f>
        <v>0</v>
      </c>
    </row>
    <row r="109" spans="1:27" x14ac:dyDescent="0.25">
      <c r="A109" t="s">
        <v>150</v>
      </c>
      <c r="B109">
        <v>2020</v>
      </c>
      <c r="C109" s="7">
        <f>'1_Du_lieu'!V253</f>
        <v>3.5890591188317256</v>
      </c>
      <c r="D109" s="9">
        <f>'1_Du_lieu'!W253</f>
        <v>3.8308129500026027</v>
      </c>
      <c r="E109" s="9">
        <f>'1_Du_lieu'!L253</f>
        <v>3.5859999999999999</v>
      </c>
      <c r="F109" s="9">
        <f>'1_Du_lieu'!M253</f>
        <v>24.72</v>
      </c>
      <c r="G109" s="9">
        <f>'1_Du_lieu'!N253</f>
        <v>17.2</v>
      </c>
      <c r="H109" s="9">
        <f>'1_Du_lieu'!X253</f>
        <v>2.25137268546117</v>
      </c>
      <c r="I109" s="9">
        <f>'1_Du_lieu'!T253</f>
        <v>0.52996979172187186</v>
      </c>
      <c r="J109" s="9">
        <f>'1_Du_lieu'!Y253</f>
        <v>5.0807830539983376</v>
      </c>
      <c r="K109" s="9">
        <f>'1_Du_lieu'!O253</f>
        <v>23.2</v>
      </c>
      <c r="L109" s="5">
        <f t="shared" si="5"/>
        <v>1</v>
      </c>
      <c r="M109" s="5">
        <f t="shared" si="6"/>
        <v>0</v>
      </c>
      <c r="N109" s="5">
        <f t="shared" si="7"/>
        <v>0</v>
      </c>
      <c r="O109" s="5">
        <f t="shared" si="8"/>
        <v>0</v>
      </c>
      <c r="P109" s="5">
        <f t="shared" si="9"/>
        <v>0</v>
      </c>
      <c r="AA109" s="5">
        <f>'1_Du_lieu'!D253</f>
        <v>0</v>
      </c>
    </row>
    <row r="110" spans="1:27" x14ac:dyDescent="0.25">
      <c r="A110" t="s">
        <v>151</v>
      </c>
      <c r="B110">
        <v>2020</v>
      </c>
      <c r="C110" s="7">
        <f>'1_Du_lieu'!V254</f>
        <v>3.4781584227982836</v>
      </c>
      <c r="D110" s="9">
        <f>'1_Du_lieu'!W254</f>
        <v>3.8732821771117156</v>
      </c>
      <c r="E110" s="9">
        <f>'1_Du_lieu'!L254</f>
        <v>3.4820000000000002</v>
      </c>
      <c r="F110" s="9">
        <f>'1_Du_lieu'!M254</f>
        <v>15.28</v>
      </c>
      <c r="G110" s="9">
        <f>'1_Du_lieu'!N254</f>
        <v>14.3</v>
      </c>
      <c r="H110" s="9">
        <f>'1_Du_lieu'!X254</f>
        <v>1.0246128398138439</v>
      </c>
      <c r="I110" s="9">
        <f>'1_Du_lieu'!T254</f>
        <v>0.47029314939645711</v>
      </c>
      <c r="J110" s="9">
        <f>'1_Du_lieu'!Y254</f>
        <v>5.5138318906977553</v>
      </c>
      <c r="K110" s="9">
        <f>'1_Du_lieu'!O254</f>
        <v>25.3</v>
      </c>
      <c r="L110" s="5">
        <f t="shared" si="5"/>
        <v>1</v>
      </c>
      <c r="M110" s="5">
        <f t="shared" si="6"/>
        <v>0</v>
      </c>
      <c r="N110" s="5">
        <f t="shared" si="7"/>
        <v>0</v>
      </c>
      <c r="O110" s="5">
        <f t="shared" si="8"/>
        <v>0</v>
      </c>
      <c r="P110" s="5">
        <f t="shared" si="9"/>
        <v>0</v>
      </c>
      <c r="AA110" s="5">
        <f>'1_Du_lieu'!D254</f>
        <v>0</v>
      </c>
    </row>
    <row r="111" spans="1:27" x14ac:dyDescent="0.25">
      <c r="A111" t="s">
        <v>152</v>
      </c>
      <c r="B111">
        <v>2020</v>
      </c>
      <c r="C111" s="7">
        <f>'1_Du_lieu'!V255</f>
        <v>4.0055133485154846</v>
      </c>
      <c r="D111" s="9">
        <f>'1_Du_lieu'!W255</f>
        <v>4.7458013157278369</v>
      </c>
      <c r="E111" s="9">
        <f>'1_Du_lieu'!L255</f>
        <v>7.6379999999999999</v>
      </c>
      <c r="F111" s="9">
        <f>'1_Du_lieu'!M255</f>
        <v>44.27</v>
      </c>
      <c r="G111" s="9">
        <f>'1_Du_lieu'!N255</f>
        <v>22.5</v>
      </c>
      <c r="H111" s="9">
        <f>'1_Du_lieu'!X255</f>
        <v>2.6366918656208997</v>
      </c>
      <c r="I111" s="9">
        <f>'1_Du_lieu'!T255</f>
        <v>0.59797318562346569</v>
      </c>
      <c r="J111" s="9">
        <f>'1_Du_lieu'!Y255</f>
        <v>9.2098302418819493</v>
      </c>
      <c r="K111" s="9">
        <f>'1_Du_lieu'!O255</f>
        <v>25.5</v>
      </c>
      <c r="L111" s="5">
        <f t="shared" si="5"/>
        <v>1</v>
      </c>
      <c r="M111" s="5">
        <f t="shared" si="6"/>
        <v>0</v>
      </c>
      <c r="N111" s="5">
        <f t="shared" si="7"/>
        <v>0</v>
      </c>
      <c r="O111" s="5">
        <f t="shared" si="8"/>
        <v>0</v>
      </c>
      <c r="P111" s="5">
        <f t="shared" si="9"/>
        <v>0</v>
      </c>
      <c r="AA111" s="5">
        <f>'1_Du_lieu'!D255</f>
        <v>1</v>
      </c>
    </row>
    <row r="112" spans="1:27" x14ac:dyDescent="0.25">
      <c r="A112" t="s">
        <v>153</v>
      </c>
      <c r="B112">
        <v>2020</v>
      </c>
      <c r="C112" s="7">
        <f>'1_Du_lieu'!V256</f>
        <v>3.6532522764707851</v>
      </c>
      <c r="D112" s="9">
        <f>'1_Du_lieu'!W256</f>
        <v>3.9778107459661491</v>
      </c>
      <c r="E112" s="9">
        <f>'1_Du_lieu'!L256</f>
        <v>2.2570000000000001</v>
      </c>
      <c r="F112" s="9">
        <f>'1_Du_lieu'!M256</f>
        <v>19.13</v>
      </c>
      <c r="G112" s="9">
        <f>'1_Du_lieu'!N256</f>
        <v>15</v>
      </c>
      <c r="H112" s="9">
        <f>'1_Du_lieu'!X256</f>
        <v>0.47662230242449244</v>
      </c>
      <c r="I112" s="9">
        <f>'1_Du_lieu'!T256</f>
        <v>0.625</v>
      </c>
      <c r="J112" s="9">
        <f>'1_Du_lieu'!Y256</f>
        <v>4.6876714074998347</v>
      </c>
      <c r="K112" s="9">
        <f>'1_Du_lieu'!O256</f>
        <v>18.3</v>
      </c>
      <c r="L112" s="5">
        <f t="shared" si="5"/>
        <v>1</v>
      </c>
      <c r="M112" s="5">
        <f t="shared" si="6"/>
        <v>0</v>
      </c>
      <c r="N112" s="5">
        <f t="shared" si="7"/>
        <v>0</v>
      </c>
      <c r="O112" s="5">
        <f t="shared" si="8"/>
        <v>0</v>
      </c>
      <c r="P112" s="5">
        <f t="shared" si="9"/>
        <v>0</v>
      </c>
      <c r="AA112" s="5">
        <f>'1_Du_lieu'!D256</f>
        <v>0</v>
      </c>
    </row>
    <row r="113" spans="1:27" x14ac:dyDescent="0.25">
      <c r="A113" t="s">
        <v>85</v>
      </c>
      <c r="B113">
        <v>2021</v>
      </c>
      <c r="C113" s="7">
        <f>'1_Du_lieu'!V257</f>
        <v>1.6937790608678513</v>
      </c>
      <c r="D113" s="9">
        <f>'1_Du_lieu'!W257</f>
        <v>3.8649313978942956</v>
      </c>
      <c r="E113" s="9">
        <f>'1_Du_lieu'!L257</f>
        <v>2.5430000000000001</v>
      </c>
      <c r="F113" s="9">
        <f>'1_Du_lieu'!M257</f>
        <v>33.83</v>
      </c>
      <c r="G113" s="9">
        <f>'1_Du_lieu'!N257</f>
        <v>13.4</v>
      </c>
      <c r="H113" s="9">
        <f>'1_Du_lieu'!X257</f>
        <v>1.4629474402226359</v>
      </c>
      <c r="I113" s="9">
        <f>'1_Du_lieu'!T257</f>
        <v>0.47132757266300079</v>
      </c>
      <c r="J113" s="9">
        <f>'1_Du_lieu'!Y257</f>
        <v>5.0388987593691148</v>
      </c>
      <c r="K113" s="9">
        <f>'1_Du_lieu'!O257</f>
        <v>20.399999999999999</v>
      </c>
      <c r="L113" s="5">
        <f t="shared" si="5"/>
        <v>0</v>
      </c>
      <c r="M113" s="5">
        <f t="shared" si="6"/>
        <v>1</v>
      </c>
      <c r="N113" s="5">
        <f t="shared" si="7"/>
        <v>0</v>
      </c>
      <c r="O113" s="5">
        <f t="shared" si="8"/>
        <v>0</v>
      </c>
      <c r="P113" s="5">
        <f t="shared" si="9"/>
        <v>0</v>
      </c>
      <c r="AA113" s="5">
        <f>'1_Du_lieu'!D257</f>
        <v>0</v>
      </c>
    </row>
    <row r="114" spans="1:27" x14ac:dyDescent="0.25">
      <c r="A114" t="s">
        <v>87</v>
      </c>
      <c r="B114">
        <v>2021</v>
      </c>
      <c r="C114" s="7">
        <f>'1_Du_lieu'!V258</f>
        <v>2.3015845926604621</v>
      </c>
      <c r="D114" s="9">
        <f>'1_Du_lieu'!W258</f>
        <v>5.6957503029589365</v>
      </c>
      <c r="E114" s="9">
        <f>'1_Du_lieu'!L258</f>
        <v>9.6869999999999994</v>
      </c>
      <c r="F114" s="9">
        <f>'1_Du_lieu'!M258</f>
        <v>58.4</v>
      </c>
      <c r="G114" s="9">
        <f>'1_Du_lieu'!N258</f>
        <v>29.9</v>
      </c>
      <c r="H114" s="9">
        <f>'1_Du_lieu'!X258</f>
        <v>1.9398671720527669</v>
      </c>
      <c r="I114" s="9">
        <f>'1_Du_lieu'!T258</f>
        <v>1.1903749681149565</v>
      </c>
      <c r="J114" s="9">
        <f>'1_Du_lieu'!Y258</f>
        <v>10.242531479525159</v>
      </c>
      <c r="K114" s="9">
        <f>'1_Du_lieu'!O258</f>
        <v>28.5</v>
      </c>
      <c r="L114" s="5">
        <f t="shared" si="5"/>
        <v>0</v>
      </c>
      <c r="M114" s="5">
        <f t="shared" si="6"/>
        <v>1</v>
      </c>
      <c r="N114" s="5">
        <f t="shared" si="7"/>
        <v>0</v>
      </c>
      <c r="O114" s="5">
        <f t="shared" si="8"/>
        <v>0</v>
      </c>
      <c r="P114" s="5">
        <f t="shared" si="9"/>
        <v>0</v>
      </c>
      <c r="AA114" s="5">
        <f>'1_Du_lieu'!D258</f>
        <v>1</v>
      </c>
    </row>
    <row r="115" spans="1:27" x14ac:dyDescent="0.25">
      <c r="A115" t="s">
        <v>89</v>
      </c>
      <c r="B115">
        <v>2021</v>
      </c>
      <c r="C115" s="7">
        <f>'1_Du_lieu'!V259</f>
        <v>2.6919208191723265</v>
      </c>
      <c r="D115" s="9">
        <f>'1_Du_lieu'!W259</f>
        <v>5.0587903359833026</v>
      </c>
      <c r="E115" s="9">
        <f>'1_Du_lieu'!L259</f>
        <v>14.506</v>
      </c>
      <c r="F115" s="9">
        <f>'1_Du_lieu'!M259</f>
        <v>84.32</v>
      </c>
      <c r="G115" s="9">
        <f>'1_Du_lieu'!N259</f>
        <v>21</v>
      </c>
      <c r="H115" s="9">
        <f>'1_Du_lieu'!X259</f>
        <v>3.1894784236488696</v>
      </c>
      <c r="I115" s="9">
        <f>'1_Du_lieu'!T259</f>
        <v>0.65465187923598278</v>
      </c>
      <c r="J115" s="9">
        <f>'1_Du_lieu'!Y259</f>
        <v>9.5856280198467356</v>
      </c>
      <c r="K115" s="9">
        <f>'1_Du_lieu'!O259</f>
        <v>20.3</v>
      </c>
      <c r="L115" s="5">
        <f t="shared" si="5"/>
        <v>0</v>
      </c>
      <c r="M115" s="5">
        <f t="shared" si="6"/>
        <v>1</v>
      </c>
      <c r="N115" s="5">
        <f t="shared" si="7"/>
        <v>0</v>
      </c>
      <c r="O115" s="5">
        <f t="shared" si="8"/>
        <v>0</v>
      </c>
      <c r="P115" s="5">
        <f t="shared" si="9"/>
        <v>0</v>
      </c>
      <c r="AA115" s="5">
        <f>'1_Du_lieu'!D259</f>
        <v>1</v>
      </c>
    </row>
    <row r="116" spans="1:27" x14ac:dyDescent="0.25">
      <c r="A116" t="s">
        <v>90</v>
      </c>
      <c r="B116">
        <v>2021</v>
      </c>
      <c r="C116" s="7">
        <f>'1_Du_lieu'!V260</f>
        <v>1.6272778305624314</v>
      </c>
      <c r="D116" s="9">
        <f>'1_Du_lieu'!W260</f>
        <v>4.3320482648676402</v>
      </c>
      <c r="E116" s="9">
        <f>'1_Du_lieu'!L260</f>
        <v>6.069</v>
      </c>
      <c r="F116" s="9">
        <f>'1_Du_lieu'!M260</f>
        <v>24.16</v>
      </c>
      <c r="G116" s="9">
        <f>'1_Du_lieu'!N260</f>
        <v>19.2</v>
      </c>
      <c r="H116" s="9">
        <f>'1_Du_lieu'!X260</f>
        <v>0.91400363148611896</v>
      </c>
      <c r="I116" s="9">
        <f>'1_Du_lieu'!T260</f>
        <v>0.87864883334960475</v>
      </c>
      <c r="J116" s="9">
        <f>'1_Du_lieu'!Y260</f>
        <v>8.2010842092241667</v>
      </c>
      <c r="K116" s="9">
        <f>'1_Du_lieu'!O260</f>
        <v>19.7</v>
      </c>
      <c r="L116" s="5">
        <f t="shared" si="5"/>
        <v>0</v>
      </c>
      <c r="M116" s="5">
        <f t="shared" si="6"/>
        <v>1</v>
      </c>
      <c r="N116" s="5">
        <f t="shared" si="7"/>
        <v>0</v>
      </c>
      <c r="O116" s="5">
        <f t="shared" si="8"/>
        <v>0</v>
      </c>
      <c r="P116" s="5">
        <f t="shared" si="9"/>
        <v>0</v>
      </c>
      <c r="AA116" s="5">
        <f>'1_Du_lieu'!D260</f>
        <v>1</v>
      </c>
    </row>
    <row r="117" spans="1:27" x14ac:dyDescent="0.25">
      <c r="A117" t="s">
        <v>91</v>
      </c>
      <c r="B117">
        <v>2021</v>
      </c>
      <c r="C117" s="7">
        <f>'1_Du_lieu'!V261</f>
        <v>1.7613002617433464</v>
      </c>
      <c r="D117" s="9">
        <f>'1_Du_lieu'!W261</f>
        <v>4.2959239356204701</v>
      </c>
      <c r="E117" s="9">
        <f>'1_Du_lieu'!L261</f>
        <v>4.3860000000000001</v>
      </c>
      <c r="F117" s="9">
        <f>'1_Du_lieu'!M261</f>
        <v>38.5</v>
      </c>
      <c r="G117" s="9">
        <f>'1_Du_lieu'!N261</f>
        <v>18.3</v>
      </c>
      <c r="H117" s="9">
        <f>'1_Du_lieu'!X261</f>
        <v>1.3082655913743744</v>
      </c>
      <c r="I117" s="9">
        <f>'1_Du_lieu'!T261</f>
        <v>0.32095001203562545</v>
      </c>
      <c r="J117" s="9">
        <f>'1_Du_lieu'!Y261</f>
        <v>8.0287485674318138</v>
      </c>
      <c r="K117" s="9">
        <f>'1_Du_lieu'!O261</f>
        <v>21.9</v>
      </c>
      <c r="L117" s="5">
        <f t="shared" si="5"/>
        <v>0</v>
      </c>
      <c r="M117" s="5">
        <f t="shared" si="6"/>
        <v>1</v>
      </c>
      <c r="N117" s="5">
        <f t="shared" si="7"/>
        <v>0</v>
      </c>
      <c r="O117" s="5">
        <f t="shared" si="8"/>
        <v>0</v>
      </c>
      <c r="P117" s="5">
        <f t="shared" si="9"/>
        <v>0</v>
      </c>
      <c r="AA117" s="5">
        <f>'1_Du_lieu'!D261</f>
        <v>0</v>
      </c>
    </row>
    <row r="118" spans="1:27" x14ac:dyDescent="0.25">
      <c r="A118" t="s">
        <v>93</v>
      </c>
      <c r="B118">
        <v>2021</v>
      </c>
      <c r="C118" s="7">
        <f>'1_Du_lieu'!V262</f>
        <v>1.8453002361560848</v>
      </c>
      <c r="D118" s="9">
        <f>'1_Du_lieu'!W262</f>
        <v>4.1541845625781173</v>
      </c>
      <c r="E118" s="9">
        <f>'1_Du_lieu'!L262</f>
        <v>4.6790000000000003</v>
      </c>
      <c r="F118" s="9">
        <f>'1_Du_lieu'!M262</f>
        <v>41.16</v>
      </c>
      <c r="G118" s="9">
        <f>'1_Du_lieu'!N262</f>
        <v>25</v>
      </c>
      <c r="H118" s="9">
        <f>'1_Du_lieu'!X262</f>
        <v>2.8253474112841697</v>
      </c>
      <c r="I118" s="9">
        <f>'1_Du_lieu'!T262</f>
        <v>0.79559769276669101</v>
      </c>
      <c r="J118" s="9">
        <f>'1_Du_lieu'!Y262</f>
        <v>6.6705128032884256</v>
      </c>
      <c r="K118" s="9">
        <f>'1_Du_lieu'!O262</f>
        <v>26.1</v>
      </c>
      <c r="L118" s="5">
        <f t="shared" si="5"/>
        <v>0</v>
      </c>
      <c r="M118" s="5">
        <f t="shared" si="6"/>
        <v>1</v>
      </c>
      <c r="N118" s="5">
        <f t="shared" si="7"/>
        <v>0</v>
      </c>
      <c r="O118" s="5">
        <f t="shared" si="8"/>
        <v>0</v>
      </c>
      <c r="P118" s="5">
        <f t="shared" si="9"/>
        <v>0</v>
      </c>
      <c r="AA118" s="5">
        <f>'1_Du_lieu'!D262</f>
        <v>0</v>
      </c>
    </row>
    <row r="119" spans="1:27" x14ac:dyDescent="0.25">
      <c r="A119" t="s">
        <v>95</v>
      </c>
      <c r="B119">
        <v>2021</v>
      </c>
      <c r="C119" s="7">
        <f>'1_Du_lieu'!V264</f>
        <v>1.8578592709325787</v>
      </c>
      <c r="D119" s="9">
        <f>'1_Du_lieu'!W264</f>
        <v>4.2527717988166192</v>
      </c>
      <c r="E119" s="9">
        <f>'1_Du_lieu'!L264</f>
        <v>3.7949999999999999</v>
      </c>
      <c r="F119" s="9">
        <f>'1_Du_lieu'!M264</f>
        <v>18.22</v>
      </c>
      <c r="G119" s="9">
        <f>'1_Du_lieu'!N264</f>
        <v>26.7</v>
      </c>
      <c r="H119" s="9">
        <f>'1_Du_lieu'!X264</f>
        <v>2.5595528323543606</v>
      </c>
      <c r="I119" s="9">
        <f>'1_Du_lieu'!T264</f>
        <v>0.63993174061433444</v>
      </c>
      <c r="J119" s="9">
        <f>'1_Du_lieu'!Y264</f>
        <v>8.4331156882250244</v>
      </c>
      <c r="K119" s="9">
        <f>'1_Du_lieu'!O264</f>
        <v>20.7</v>
      </c>
      <c r="L119" s="5">
        <f t="shared" si="5"/>
        <v>0</v>
      </c>
      <c r="M119" s="5">
        <f t="shared" si="6"/>
        <v>1</v>
      </c>
      <c r="N119" s="5">
        <f t="shared" si="7"/>
        <v>0</v>
      </c>
      <c r="O119" s="5">
        <f t="shared" si="8"/>
        <v>0</v>
      </c>
      <c r="P119" s="5">
        <f t="shared" si="9"/>
        <v>0</v>
      </c>
      <c r="AA119" s="5">
        <f>'1_Du_lieu'!D264</f>
        <v>0</v>
      </c>
    </row>
    <row r="120" spans="1:27" x14ac:dyDescent="0.25">
      <c r="A120" t="s">
        <v>97</v>
      </c>
      <c r="B120">
        <v>2021</v>
      </c>
      <c r="C120" s="7">
        <f>'1_Du_lieu'!V265</f>
        <v>1.3812818192963463</v>
      </c>
      <c r="D120" s="9">
        <f>'1_Du_lieu'!W265</f>
        <v>3.7495040759303713</v>
      </c>
      <c r="E120" s="9">
        <f>'1_Du_lieu'!L265</f>
        <v>2.0230000000000001</v>
      </c>
      <c r="F120" s="9">
        <f>'1_Du_lieu'!M265</f>
        <v>22.58</v>
      </c>
      <c r="G120" s="9">
        <f>'1_Du_lieu'!N265</f>
        <v>27</v>
      </c>
      <c r="H120" s="9">
        <f>'1_Du_lieu'!X265</f>
        <v>1.3645900193889404</v>
      </c>
      <c r="I120" s="9">
        <f>'1_Du_lieu'!T265</f>
        <v>0.92678405931417984</v>
      </c>
      <c r="J120" s="9">
        <f>'1_Du_lieu'!Y265</f>
        <v>3.2347491740244907</v>
      </c>
      <c r="K120" s="9">
        <f>'1_Du_lieu'!O265</f>
        <v>19.3</v>
      </c>
      <c r="L120" s="5">
        <f t="shared" si="5"/>
        <v>0</v>
      </c>
      <c r="M120" s="5">
        <f t="shared" si="6"/>
        <v>1</v>
      </c>
      <c r="N120" s="5">
        <f t="shared" si="7"/>
        <v>0</v>
      </c>
      <c r="O120" s="5">
        <f t="shared" si="8"/>
        <v>0</v>
      </c>
      <c r="P120" s="5">
        <f t="shared" si="9"/>
        <v>0</v>
      </c>
      <c r="AA120" s="5">
        <f>'1_Du_lieu'!D265</f>
        <v>0</v>
      </c>
    </row>
    <row r="121" spans="1:27" x14ac:dyDescent="0.25">
      <c r="A121" t="s">
        <v>98</v>
      </c>
      <c r="B121">
        <v>2021</v>
      </c>
      <c r="C121" s="7">
        <f>'1_Du_lieu'!V266</f>
        <v>2.2417729535972883</v>
      </c>
      <c r="D121" s="9">
        <f>'1_Du_lieu'!W266</f>
        <v>5.0606944939689926</v>
      </c>
      <c r="E121" s="9">
        <f>'1_Du_lieu'!L266</f>
        <v>9.532</v>
      </c>
      <c r="F121" s="9">
        <f>'1_Du_lieu'!M266</f>
        <v>36.65</v>
      </c>
      <c r="G121" s="9">
        <f>'1_Du_lieu'!N266</f>
        <v>33.5</v>
      </c>
      <c r="H121" s="9">
        <f>'1_Du_lieu'!X266</f>
        <v>2.5245111422255913</v>
      </c>
      <c r="I121" s="9">
        <f>'1_Du_lieu'!T266</f>
        <v>1.914006425593</v>
      </c>
      <c r="J121" s="9">
        <f>'1_Du_lieu'!Y266</f>
        <v>9.6402574133072587</v>
      </c>
      <c r="K121" s="9">
        <f>'1_Du_lieu'!O266</f>
        <v>28.7</v>
      </c>
      <c r="L121" s="5">
        <f t="shared" si="5"/>
        <v>0</v>
      </c>
      <c r="M121" s="5">
        <f t="shared" si="6"/>
        <v>1</v>
      </c>
      <c r="N121" s="5">
        <f t="shared" si="7"/>
        <v>0</v>
      </c>
      <c r="O121" s="5">
        <f t="shared" si="8"/>
        <v>0</v>
      </c>
      <c r="P121" s="5">
        <f t="shared" si="9"/>
        <v>0</v>
      </c>
      <c r="AA121" s="5">
        <f>'1_Du_lieu'!D266</f>
        <v>1</v>
      </c>
    </row>
    <row r="122" spans="1:27" x14ac:dyDescent="0.25">
      <c r="A122" t="s">
        <v>100</v>
      </c>
      <c r="B122">
        <v>2021</v>
      </c>
      <c r="C122" s="7">
        <f>'1_Du_lieu'!V267</f>
        <v>1.8961194845522977</v>
      </c>
      <c r="D122" s="9">
        <f>'1_Du_lieu'!W267</f>
        <v>3.7977338590260183</v>
      </c>
      <c r="E122" s="9">
        <f>'1_Du_lieu'!L267</f>
        <v>2.68</v>
      </c>
      <c r="F122" s="9">
        <f>'1_Du_lieu'!M267</f>
        <v>9.9</v>
      </c>
      <c r="G122" s="9">
        <f>'1_Du_lieu'!N267</f>
        <v>12.9</v>
      </c>
      <c r="H122" s="9">
        <f>'1_Du_lieu'!X267</f>
        <v>0.9859676841093088</v>
      </c>
      <c r="I122" s="9">
        <f>'1_Du_lieu'!T267</f>
        <v>0.46307015512850197</v>
      </c>
      <c r="J122" s="9">
        <f>'1_Du_lieu'!Y267</f>
        <v>7.1093891468084642</v>
      </c>
      <c r="K122" s="9">
        <f>'1_Du_lieu'!O267</f>
        <v>14.6</v>
      </c>
      <c r="L122" s="5">
        <f t="shared" si="5"/>
        <v>0</v>
      </c>
      <c r="M122" s="5">
        <f t="shared" si="6"/>
        <v>1</v>
      </c>
      <c r="N122" s="5">
        <f t="shared" si="7"/>
        <v>0</v>
      </c>
      <c r="O122" s="5">
        <f t="shared" si="8"/>
        <v>0</v>
      </c>
      <c r="P122" s="5">
        <f t="shared" si="9"/>
        <v>0</v>
      </c>
      <c r="AA122" s="5">
        <f>'1_Du_lieu'!D267</f>
        <v>0</v>
      </c>
    </row>
    <row r="123" spans="1:27" x14ac:dyDescent="0.25">
      <c r="A123" t="s">
        <v>102</v>
      </c>
      <c r="B123">
        <v>2021</v>
      </c>
      <c r="C123" s="7">
        <f>'1_Du_lieu'!V269</f>
        <v>1.5432981099295553</v>
      </c>
      <c r="D123" s="9">
        <f>'1_Du_lieu'!W269</f>
        <v>3.9473901492654373</v>
      </c>
      <c r="E123" s="9">
        <f>'1_Du_lieu'!L269</f>
        <v>3.0270000000000001</v>
      </c>
      <c r="F123" s="9">
        <f>'1_Du_lieu'!M269</f>
        <v>22.77</v>
      </c>
      <c r="G123" s="9">
        <f>'1_Du_lieu'!N269</f>
        <v>14.1</v>
      </c>
      <c r="H123" s="9">
        <f>'1_Du_lieu'!X269</f>
        <v>-0.51757679765672882</v>
      </c>
      <c r="I123" s="9">
        <f>'1_Du_lieu'!T269</f>
        <v>0.5790866975512905</v>
      </c>
      <c r="J123" s="9">
        <f>'1_Du_lieu'!Y269</f>
        <v>4.8790068516178193</v>
      </c>
      <c r="K123" s="9">
        <f>'1_Du_lieu'!O269</f>
        <v>14.3</v>
      </c>
      <c r="L123" s="5">
        <f t="shared" si="5"/>
        <v>0</v>
      </c>
      <c r="M123" s="5">
        <f t="shared" si="6"/>
        <v>1</v>
      </c>
      <c r="N123" s="5">
        <f t="shared" si="7"/>
        <v>0</v>
      </c>
      <c r="O123" s="5">
        <f t="shared" si="8"/>
        <v>0</v>
      </c>
      <c r="P123" s="5">
        <f t="shared" si="9"/>
        <v>0</v>
      </c>
      <c r="AA123" s="5">
        <f>'1_Du_lieu'!D269</f>
        <v>0</v>
      </c>
    </row>
    <row r="124" spans="1:27" x14ac:dyDescent="0.25">
      <c r="A124" t="s">
        <v>103</v>
      </c>
      <c r="B124">
        <v>2021</v>
      </c>
      <c r="C124" s="7">
        <f>'1_Du_lieu'!V270</f>
        <v>2.150598735996164</v>
      </c>
      <c r="D124" s="9">
        <f>'1_Du_lieu'!W270</f>
        <v>4.3027128279541564</v>
      </c>
      <c r="E124" s="9">
        <f>'1_Du_lieu'!L270</f>
        <v>7.7160000000000002</v>
      </c>
      <c r="F124" s="9">
        <f>'1_Du_lieu'!M270</f>
        <v>70.319999999999993</v>
      </c>
      <c r="G124" s="9">
        <f>'1_Du_lieu'!N270</f>
        <v>24.2</v>
      </c>
      <c r="H124" s="9">
        <f>'1_Du_lieu'!X270</f>
        <v>0.57766702451953889</v>
      </c>
      <c r="I124" s="9">
        <f>'1_Du_lieu'!T270</f>
        <v>1.36327185244587</v>
      </c>
      <c r="J124" s="9">
        <f>'1_Du_lieu'!Y270</f>
        <v>7.4068928629529367</v>
      </c>
      <c r="K124" s="9">
        <f>'1_Du_lieu'!O270</f>
        <v>27.3</v>
      </c>
      <c r="L124" s="5">
        <f t="shared" si="5"/>
        <v>0</v>
      </c>
      <c r="M124" s="5">
        <f t="shared" si="6"/>
        <v>1</v>
      </c>
      <c r="N124" s="5">
        <f t="shared" si="7"/>
        <v>0</v>
      </c>
      <c r="O124" s="5">
        <f t="shared" si="8"/>
        <v>0</v>
      </c>
      <c r="P124" s="5">
        <f t="shared" si="9"/>
        <v>0</v>
      </c>
      <c r="AA124" s="5">
        <f>'1_Du_lieu'!D270</f>
        <v>0</v>
      </c>
    </row>
    <row r="125" spans="1:27" x14ac:dyDescent="0.25">
      <c r="A125" t="s">
        <v>104</v>
      </c>
      <c r="B125">
        <v>2021</v>
      </c>
      <c r="C125" s="7">
        <f>'1_Du_lieu'!V271</f>
        <v>1.6174060820832772</v>
      </c>
      <c r="D125" s="9">
        <f>'1_Du_lieu'!W271</f>
        <v>3.8753590210565547</v>
      </c>
      <c r="E125" s="9">
        <f>'1_Du_lieu'!L271</f>
        <v>3.081</v>
      </c>
      <c r="F125" s="9">
        <f>'1_Du_lieu'!M271</f>
        <v>29.23</v>
      </c>
      <c r="G125" s="9">
        <f>'1_Du_lieu'!N271</f>
        <v>15.9</v>
      </c>
      <c r="H125" s="9">
        <f>'1_Du_lieu'!X271</f>
        <v>2.3241387380562166</v>
      </c>
      <c r="I125" s="9">
        <f>'1_Du_lieu'!T271</f>
        <v>1.2104223737019812</v>
      </c>
      <c r="J125" s="9">
        <f>'1_Du_lieu'!Y271</f>
        <v>2.6672282065819548</v>
      </c>
      <c r="K125" s="9">
        <f>'1_Du_lieu'!O271</f>
        <v>16.3</v>
      </c>
      <c r="L125" s="5">
        <f t="shared" si="5"/>
        <v>0</v>
      </c>
      <c r="M125" s="5">
        <f t="shared" si="6"/>
        <v>1</v>
      </c>
      <c r="N125" s="5">
        <f t="shared" si="7"/>
        <v>0</v>
      </c>
      <c r="O125" s="5">
        <f t="shared" si="8"/>
        <v>0</v>
      </c>
      <c r="P125" s="5">
        <f t="shared" si="9"/>
        <v>0</v>
      </c>
      <c r="AA125" s="5">
        <f>'1_Du_lieu'!D271</f>
        <v>0</v>
      </c>
    </row>
    <row r="126" spans="1:27" x14ac:dyDescent="0.25">
      <c r="A126" t="s">
        <v>107</v>
      </c>
      <c r="B126">
        <v>2021</v>
      </c>
      <c r="C126" s="7">
        <f>'1_Du_lieu'!V273</f>
        <v>1.8733394562204779</v>
      </c>
      <c r="D126" s="9">
        <f>'1_Du_lieu'!W273</f>
        <v>4.3307333402863311</v>
      </c>
      <c r="E126" s="9">
        <f>'1_Du_lieu'!L273</f>
        <v>5.484</v>
      </c>
      <c r="F126" s="9">
        <f>'1_Du_lieu'!M273</f>
        <v>27.98</v>
      </c>
      <c r="G126" s="9">
        <f>'1_Du_lieu'!N273</f>
        <v>27.6</v>
      </c>
      <c r="H126" s="9">
        <f>'1_Du_lieu'!X273</f>
        <v>2.7170211154674084</v>
      </c>
      <c r="I126" s="9">
        <f>'1_Du_lieu'!T273</f>
        <v>1.0283363802559415</v>
      </c>
      <c r="J126" s="9">
        <f>'1_Du_lieu'!Y273</f>
        <v>8.6293247318597643</v>
      </c>
      <c r="K126" s="9">
        <f>'1_Du_lieu'!O273</f>
        <v>23.7</v>
      </c>
      <c r="L126" s="5">
        <f t="shared" si="5"/>
        <v>0</v>
      </c>
      <c r="M126" s="5">
        <f t="shared" si="6"/>
        <v>1</v>
      </c>
      <c r="N126" s="5">
        <f t="shared" si="7"/>
        <v>0</v>
      </c>
      <c r="O126" s="5">
        <f t="shared" si="8"/>
        <v>0</v>
      </c>
      <c r="P126" s="5">
        <f t="shared" si="9"/>
        <v>0</v>
      </c>
      <c r="AA126" s="5">
        <f>'1_Du_lieu'!D273</f>
        <v>1</v>
      </c>
    </row>
    <row r="127" spans="1:27" x14ac:dyDescent="0.25">
      <c r="A127" t="s">
        <v>108</v>
      </c>
      <c r="B127">
        <v>2021</v>
      </c>
      <c r="C127" s="7">
        <f>'1_Du_lieu'!V274</f>
        <v>4.0192617560977446</v>
      </c>
      <c r="D127" s="9">
        <f>'1_Du_lieu'!W274</f>
        <v>4.8543712716215905</v>
      </c>
      <c r="E127" s="9">
        <f>'1_Du_lieu'!L274</f>
        <v>21.425999999999998</v>
      </c>
      <c r="F127" s="9">
        <f>'1_Du_lieu'!M274</f>
        <v>49.16</v>
      </c>
      <c r="G127" s="9">
        <f>'1_Du_lieu'!N274</f>
        <v>50.3</v>
      </c>
      <c r="H127" s="9">
        <f>'1_Du_lieu'!X274</f>
        <v>2.721267313647274</v>
      </c>
      <c r="I127" s="9">
        <f>'1_Du_lieu'!T274</f>
        <v>1.8125510155087148</v>
      </c>
      <c r="J127" s="9">
        <f>'1_Du_lieu'!Y274</f>
        <v>8.4145401184366513</v>
      </c>
      <c r="K127" s="9">
        <f>'1_Du_lieu'!O274</f>
        <v>53.7</v>
      </c>
      <c r="L127" s="5">
        <f t="shared" si="5"/>
        <v>0</v>
      </c>
      <c r="M127" s="5">
        <f t="shared" si="6"/>
        <v>1</v>
      </c>
      <c r="N127" s="5">
        <f t="shared" si="7"/>
        <v>0</v>
      </c>
      <c r="O127" s="5">
        <f t="shared" si="8"/>
        <v>0</v>
      </c>
      <c r="P127" s="5">
        <f t="shared" si="9"/>
        <v>0</v>
      </c>
      <c r="AA127" s="5">
        <f>'1_Du_lieu'!D274</f>
        <v>1</v>
      </c>
    </row>
    <row r="128" spans="1:27" x14ac:dyDescent="0.25">
      <c r="A128" t="s">
        <v>109</v>
      </c>
      <c r="B128">
        <v>2021</v>
      </c>
      <c r="C128" s="7">
        <f>'1_Du_lieu'!V275</f>
        <v>1.7509374747077999</v>
      </c>
      <c r="D128" s="9">
        <f>'1_Du_lieu'!W275</f>
        <v>4.2326561780196128</v>
      </c>
      <c r="E128" s="9">
        <f>'1_Du_lieu'!L275</f>
        <v>3.956</v>
      </c>
      <c r="F128" s="9">
        <f>'1_Du_lieu'!M275</f>
        <v>22.3</v>
      </c>
      <c r="G128" s="9">
        <f>'1_Du_lieu'!N275</f>
        <v>30.5</v>
      </c>
      <c r="H128" s="9">
        <f>'1_Du_lieu'!X275</f>
        <v>3.118856606735112</v>
      </c>
      <c r="I128" s="9">
        <f>'1_Du_lieu'!T275</f>
        <v>0.38048854729472648</v>
      </c>
      <c r="J128" s="9">
        <f>'1_Du_lieu'!Y275</f>
        <v>9.0976530809318952</v>
      </c>
      <c r="K128" s="9">
        <f>'1_Du_lieu'!O275</f>
        <v>19.600000000000001</v>
      </c>
      <c r="L128" s="5">
        <f t="shared" si="5"/>
        <v>0</v>
      </c>
      <c r="M128" s="5">
        <f t="shared" si="6"/>
        <v>1</v>
      </c>
      <c r="N128" s="5">
        <f t="shared" si="7"/>
        <v>0</v>
      </c>
      <c r="O128" s="5">
        <f t="shared" si="8"/>
        <v>0</v>
      </c>
      <c r="P128" s="5">
        <f t="shared" si="9"/>
        <v>0</v>
      </c>
      <c r="AA128" s="5">
        <f>'1_Du_lieu'!D275</f>
        <v>0</v>
      </c>
    </row>
    <row r="129" spans="1:27" x14ac:dyDescent="0.25">
      <c r="A129" t="s">
        <v>110</v>
      </c>
      <c r="B129">
        <v>2021</v>
      </c>
      <c r="C129" s="7">
        <f>'1_Du_lieu'!V276</f>
        <v>1.5260563034950492</v>
      </c>
      <c r="D129" s="9">
        <f>'1_Du_lieu'!W276</f>
        <v>4.0809215418899605</v>
      </c>
      <c r="E129" s="9">
        <f>'1_Du_lieu'!L276</f>
        <v>3.05</v>
      </c>
      <c r="F129" s="9">
        <f>'1_Du_lieu'!M276</f>
        <v>23.95</v>
      </c>
      <c r="G129" s="9">
        <f>'1_Du_lieu'!N276</f>
        <v>23.6</v>
      </c>
      <c r="H129" s="9">
        <f>'1_Du_lieu'!X276</f>
        <v>2.1568555115548667</v>
      </c>
      <c r="I129" s="9">
        <f>'1_Du_lieu'!T276</f>
        <v>1.0324652976941608</v>
      </c>
      <c r="J129" s="9">
        <f>'1_Du_lieu'!Y276</f>
        <v>6.717925606697861</v>
      </c>
      <c r="K129" s="9">
        <f>'1_Du_lieu'!O276</f>
        <v>15</v>
      </c>
      <c r="L129" s="5">
        <f t="shared" si="5"/>
        <v>0</v>
      </c>
      <c r="M129" s="5">
        <f t="shared" si="6"/>
        <v>1</v>
      </c>
      <c r="N129" s="5">
        <f t="shared" si="7"/>
        <v>0</v>
      </c>
      <c r="O129" s="5">
        <f t="shared" si="8"/>
        <v>0</v>
      </c>
      <c r="P129" s="5">
        <f t="shared" si="9"/>
        <v>0</v>
      </c>
      <c r="AA129" s="5">
        <f>'1_Du_lieu'!D276</f>
        <v>0</v>
      </c>
    </row>
    <row r="130" spans="1:27" x14ac:dyDescent="0.25">
      <c r="A130" t="s">
        <v>111</v>
      </c>
      <c r="B130">
        <v>2021</v>
      </c>
      <c r="C130" s="7">
        <f>'1_Du_lieu'!V277</f>
        <v>1.9960599327407849</v>
      </c>
      <c r="D130" s="9">
        <f>'1_Du_lieu'!W277</f>
        <v>4.4773368144782069</v>
      </c>
      <c r="E130" s="9">
        <f>'1_Du_lieu'!L277</f>
        <v>6.48</v>
      </c>
      <c r="F130" s="9">
        <f>'1_Du_lieu'!M277</f>
        <v>16.63</v>
      </c>
      <c r="G130" s="9">
        <f>'1_Du_lieu'!N277</f>
        <v>26.7</v>
      </c>
      <c r="H130" s="9">
        <f>'1_Du_lieu'!X277</f>
        <v>3.1871783524341519</v>
      </c>
      <c r="I130" s="9">
        <f>'1_Du_lieu'!T277</f>
        <v>1.8682858477347037</v>
      </c>
      <c r="J130" s="9">
        <f>'1_Du_lieu'!Y277</f>
        <v>8.4657314617916377</v>
      </c>
      <c r="K130" s="9">
        <f>'1_Du_lieu'!O277</f>
        <v>31.1</v>
      </c>
      <c r="L130" s="5">
        <f t="shared" si="5"/>
        <v>0</v>
      </c>
      <c r="M130" s="5">
        <f t="shared" si="6"/>
        <v>1</v>
      </c>
      <c r="N130" s="5">
        <f t="shared" si="7"/>
        <v>0</v>
      </c>
      <c r="O130" s="5">
        <f t="shared" si="8"/>
        <v>0</v>
      </c>
      <c r="P130" s="5">
        <f t="shared" si="9"/>
        <v>0</v>
      </c>
      <c r="AA130" s="5">
        <f>'1_Du_lieu'!D277</f>
        <v>1</v>
      </c>
    </row>
    <row r="131" spans="1:27" x14ac:dyDescent="0.25">
      <c r="A131" t="s">
        <v>112</v>
      </c>
      <c r="B131">
        <v>2021</v>
      </c>
      <c r="C131" s="7">
        <f>'1_Du_lieu'!V278</f>
        <v>1.9169226121820611</v>
      </c>
      <c r="D131" s="9">
        <f>'1_Du_lieu'!W278</f>
        <v>4.3476939555933765</v>
      </c>
      <c r="E131" s="9">
        <f>'1_Du_lieu'!L278</f>
        <v>5.2279999999999998</v>
      </c>
      <c r="F131" s="9">
        <f>'1_Du_lieu'!M278</f>
        <v>31.66</v>
      </c>
      <c r="G131" s="9">
        <f>'1_Du_lieu'!N278</f>
        <v>30.4</v>
      </c>
      <c r="H131" s="9">
        <f>'1_Du_lieu'!X278</f>
        <v>2.9528574324724923</v>
      </c>
      <c r="I131" s="9">
        <f>'1_Du_lieu'!T278</f>
        <v>0.56794712928541924</v>
      </c>
      <c r="J131" s="9">
        <f>'1_Du_lieu'!Y278</f>
        <v>8.4314174143948328</v>
      </c>
      <c r="K131" s="9">
        <f>'1_Du_lieu'!O278</f>
        <v>35</v>
      </c>
      <c r="L131" s="5">
        <f t="shared" si="5"/>
        <v>0</v>
      </c>
      <c r="M131" s="5">
        <f t="shared" si="6"/>
        <v>1</v>
      </c>
      <c r="N131" s="5">
        <f t="shared" si="7"/>
        <v>0</v>
      </c>
      <c r="O131" s="5">
        <f t="shared" si="8"/>
        <v>0</v>
      </c>
      <c r="P131" s="5">
        <f t="shared" si="9"/>
        <v>0</v>
      </c>
      <c r="AA131" s="5">
        <f>'1_Du_lieu'!D278</f>
        <v>1</v>
      </c>
    </row>
    <row r="132" spans="1:27" x14ac:dyDescent="0.25">
      <c r="A132" t="s">
        <v>113</v>
      </c>
      <c r="B132">
        <v>2021</v>
      </c>
      <c r="C132" s="7">
        <f>'1_Du_lieu'!V279</f>
        <v>2.4078456036515385</v>
      </c>
      <c r="D132" s="9">
        <f>'1_Du_lieu'!W279</f>
        <v>5.0179418692786939</v>
      </c>
      <c r="E132" s="9">
        <f>'1_Du_lieu'!L279</f>
        <v>9.5570000000000004</v>
      </c>
      <c r="F132" s="9">
        <f>'1_Du_lieu'!M279</f>
        <v>45.51</v>
      </c>
      <c r="G132" s="9">
        <f>'1_Du_lieu'!N279</f>
        <v>36</v>
      </c>
      <c r="H132" s="9">
        <f>'1_Du_lieu'!X279</f>
        <v>3.9155142980925031</v>
      </c>
      <c r="I132" s="9">
        <f>'1_Du_lieu'!T279</f>
        <v>1.7853696197645244</v>
      </c>
      <c r="J132" s="9">
        <f>'1_Du_lieu'!Y279</f>
        <v>9.3407719651828476</v>
      </c>
      <c r="K132" s="9">
        <f>'1_Du_lieu'!O279</f>
        <v>32.6</v>
      </c>
      <c r="L132" s="5">
        <f t="shared" si="5"/>
        <v>0</v>
      </c>
      <c r="M132" s="5">
        <f t="shared" si="6"/>
        <v>1</v>
      </c>
      <c r="N132" s="5">
        <f t="shared" si="7"/>
        <v>0</v>
      </c>
      <c r="O132" s="5">
        <f t="shared" si="8"/>
        <v>0</v>
      </c>
      <c r="P132" s="5">
        <f t="shared" si="9"/>
        <v>0</v>
      </c>
      <c r="AA132" s="5">
        <f>'1_Du_lieu'!D279</f>
        <v>1</v>
      </c>
    </row>
    <row r="133" spans="1:27" x14ac:dyDescent="0.25">
      <c r="A133" t="s">
        <v>114</v>
      </c>
      <c r="B133">
        <v>2021</v>
      </c>
      <c r="C133" s="7">
        <f>'1_Du_lieu'!V280</f>
        <v>1.4929040961781488</v>
      </c>
      <c r="D133" s="9">
        <f>'1_Du_lieu'!W280</f>
        <v>3.9963641538618968</v>
      </c>
      <c r="E133" s="9">
        <f>'1_Du_lieu'!L280</f>
        <v>3.218</v>
      </c>
      <c r="F133" s="9">
        <f>'1_Du_lieu'!M280</f>
        <v>29.14</v>
      </c>
      <c r="G133" s="9">
        <f>'1_Du_lieu'!N280</f>
        <v>13.5</v>
      </c>
      <c r="H133" s="9">
        <f>'1_Du_lieu'!X280</f>
        <v>1.1202516034301633</v>
      </c>
      <c r="I133" s="9">
        <f>'1_Du_lieu'!T280</f>
        <v>0.68502534593779973</v>
      </c>
      <c r="J133" s="9">
        <f>'1_Du_lieu'!Y280</f>
        <v>6.8469431395853793</v>
      </c>
      <c r="K133" s="9">
        <f>'1_Du_lieu'!O280</f>
        <v>19</v>
      </c>
      <c r="L133" s="5">
        <f t="shared" si="5"/>
        <v>0</v>
      </c>
      <c r="M133" s="5">
        <f t="shared" si="6"/>
        <v>1</v>
      </c>
      <c r="N133" s="5">
        <f t="shared" si="7"/>
        <v>0</v>
      </c>
      <c r="O133" s="5">
        <f t="shared" si="8"/>
        <v>0</v>
      </c>
      <c r="P133" s="5">
        <f t="shared" si="9"/>
        <v>0</v>
      </c>
      <c r="AA133" s="5">
        <f>'1_Du_lieu'!D280</f>
        <v>0</v>
      </c>
    </row>
    <row r="134" spans="1:27" x14ac:dyDescent="0.25">
      <c r="A134" t="s">
        <v>115</v>
      </c>
      <c r="B134">
        <v>2021</v>
      </c>
      <c r="C134" s="7">
        <f>'1_Du_lieu'!V281</f>
        <v>2.2731562823032334</v>
      </c>
      <c r="D134" s="9">
        <f>'1_Du_lieu'!W281</f>
        <v>4.1510399058986458</v>
      </c>
      <c r="E134" s="9">
        <f>'1_Du_lieu'!L281</f>
        <v>8.9290000000000003</v>
      </c>
      <c r="F134" s="9">
        <f>'1_Du_lieu'!M281</f>
        <v>42.36</v>
      </c>
      <c r="G134" s="9">
        <f>'1_Du_lieu'!N281</f>
        <v>25.6</v>
      </c>
      <c r="H134" s="9">
        <f>'1_Du_lieu'!X281</f>
        <v>2.6380438479329342</v>
      </c>
      <c r="I134" s="9">
        <f>'1_Du_lieu'!T281</f>
        <v>3.2849931896482656</v>
      </c>
      <c r="J134" s="9">
        <f>'1_Du_lieu'!Y281</f>
        <v>8.1667275015266778</v>
      </c>
      <c r="K134" s="9">
        <f>'1_Du_lieu'!O281</f>
        <v>32.1</v>
      </c>
      <c r="L134" s="5">
        <f t="shared" ref="L134:L197" si="10">IF(B134=2020,1,0)</f>
        <v>0</v>
      </c>
      <c r="M134" s="5">
        <f t="shared" ref="M134:M197" si="11">IF(B134=2021,1,0)</f>
        <v>1</v>
      </c>
      <c r="N134" s="5">
        <f t="shared" ref="N134:N197" si="12">IF(B134=2022,1,0)</f>
        <v>0</v>
      </c>
      <c r="O134" s="5">
        <f t="shared" ref="O134:O197" si="13">IF(B134=2023,1,0)</f>
        <v>0</v>
      </c>
      <c r="P134" s="5">
        <f t="shared" ref="P134:P197" si="14">IF(B134=2024,1,0)</f>
        <v>0</v>
      </c>
      <c r="AA134" s="5">
        <f>'1_Du_lieu'!D281</f>
        <v>0</v>
      </c>
    </row>
    <row r="135" spans="1:27" x14ac:dyDescent="0.25">
      <c r="A135" t="s">
        <v>116</v>
      </c>
      <c r="B135">
        <v>2021</v>
      </c>
      <c r="C135" s="7">
        <f>'1_Du_lieu'!V282</f>
        <v>1.7387102481382397</v>
      </c>
      <c r="D135" s="9">
        <f>'1_Du_lieu'!W282</f>
        <v>4.0775374439057197</v>
      </c>
      <c r="E135" s="9">
        <f>'1_Du_lieu'!L282</f>
        <v>4.6059999999999999</v>
      </c>
      <c r="F135" s="9">
        <f>'1_Du_lieu'!M282</f>
        <v>28.79</v>
      </c>
      <c r="G135" s="9">
        <f>'1_Du_lieu'!N282</f>
        <v>15.7</v>
      </c>
      <c r="H135" s="9">
        <f>'1_Du_lieu'!X282</f>
        <v>0.18575873675573884</v>
      </c>
      <c r="I135" s="9">
        <f>'1_Du_lieu'!T282</f>
        <v>3.6523426353934831</v>
      </c>
      <c r="J135" s="9">
        <f>'1_Du_lieu'!Y282</f>
        <v>7.9174999234075516</v>
      </c>
      <c r="K135" s="9">
        <f>'1_Du_lieu'!O282</f>
        <v>14.8</v>
      </c>
      <c r="L135" s="5">
        <f t="shared" si="10"/>
        <v>0</v>
      </c>
      <c r="M135" s="5">
        <f t="shared" si="11"/>
        <v>1</v>
      </c>
      <c r="N135" s="5">
        <f t="shared" si="12"/>
        <v>0</v>
      </c>
      <c r="O135" s="5">
        <f t="shared" si="13"/>
        <v>0</v>
      </c>
      <c r="P135" s="5">
        <f t="shared" si="14"/>
        <v>0</v>
      </c>
      <c r="AA135" s="5">
        <f>'1_Du_lieu'!D282</f>
        <v>0</v>
      </c>
    </row>
    <row r="136" spans="1:27" x14ac:dyDescent="0.25">
      <c r="A136" t="s">
        <v>117</v>
      </c>
      <c r="B136">
        <v>2021</v>
      </c>
      <c r="C136" s="7">
        <f>'1_Du_lieu'!V283</f>
        <v>1.5040773967762742</v>
      </c>
      <c r="D136" s="9">
        <f>'1_Du_lieu'!W283</f>
        <v>3.8649313978942956</v>
      </c>
      <c r="E136" s="9">
        <f>'1_Du_lieu'!L283</f>
        <v>3.4670000000000001</v>
      </c>
      <c r="F136" s="9">
        <f>'1_Du_lieu'!M283</f>
        <v>32.58</v>
      </c>
      <c r="G136" s="9">
        <f>'1_Du_lieu'!N283</f>
        <v>18.2</v>
      </c>
      <c r="H136" s="9">
        <f>'1_Du_lieu'!X283</f>
        <v>2.391835522614858</v>
      </c>
      <c r="I136" s="9">
        <f>'1_Du_lieu'!T283</f>
        <v>0.87904360056258801</v>
      </c>
      <c r="J136" s="9">
        <f>'1_Du_lieu'!Y283</f>
        <v>6.0746561379947464</v>
      </c>
      <c r="K136" s="9">
        <f>'1_Du_lieu'!O283</f>
        <v>26.5</v>
      </c>
      <c r="L136" s="5">
        <f t="shared" si="10"/>
        <v>0</v>
      </c>
      <c r="M136" s="5">
        <f t="shared" si="11"/>
        <v>1</v>
      </c>
      <c r="N136" s="5">
        <f t="shared" si="12"/>
        <v>0</v>
      </c>
      <c r="O136" s="5">
        <f t="shared" si="13"/>
        <v>0</v>
      </c>
      <c r="P136" s="5">
        <f t="shared" si="14"/>
        <v>0</v>
      </c>
      <c r="AA136" s="5">
        <f>'1_Du_lieu'!D283</f>
        <v>0</v>
      </c>
    </row>
    <row r="137" spans="1:27" x14ac:dyDescent="0.25">
      <c r="A137" t="s">
        <v>119</v>
      </c>
      <c r="B137">
        <v>2021</v>
      </c>
      <c r="C137" s="7">
        <f>'1_Du_lieu'!V285</f>
        <v>1.9906103279732201</v>
      </c>
      <c r="D137" s="9">
        <f>'1_Du_lieu'!W285</f>
        <v>4.3807758527722287</v>
      </c>
      <c r="E137" s="9">
        <f>'1_Du_lieu'!L285</f>
        <v>6.4249999999999998</v>
      </c>
      <c r="F137" s="9">
        <f>'1_Du_lieu'!M285</f>
        <v>18.34</v>
      </c>
      <c r="G137" s="9">
        <f>'1_Du_lieu'!N285</f>
        <v>15.1</v>
      </c>
      <c r="H137" s="9">
        <f>'1_Du_lieu'!X285</f>
        <v>1.2550945693432973</v>
      </c>
      <c r="I137" s="9">
        <f>'1_Du_lieu'!T285</f>
        <v>0.46355313477807392</v>
      </c>
      <c r="J137" s="9">
        <f>'1_Du_lieu'!Y285</f>
        <v>8.8694262849274654</v>
      </c>
      <c r="K137" s="9">
        <f>'1_Du_lieu'!O285</f>
        <v>21.6</v>
      </c>
      <c r="L137" s="5">
        <f t="shared" si="10"/>
        <v>0</v>
      </c>
      <c r="M137" s="5">
        <f t="shared" si="11"/>
        <v>1</v>
      </c>
      <c r="N137" s="5">
        <f t="shared" si="12"/>
        <v>0</v>
      </c>
      <c r="O137" s="5">
        <f t="shared" si="13"/>
        <v>0</v>
      </c>
      <c r="P137" s="5">
        <f t="shared" si="14"/>
        <v>0</v>
      </c>
      <c r="AA137" s="5">
        <f>'1_Du_lieu'!D285</f>
        <v>0</v>
      </c>
    </row>
    <row r="138" spans="1:27" x14ac:dyDescent="0.25">
      <c r="A138" t="s">
        <v>120</v>
      </c>
      <c r="B138">
        <v>2021</v>
      </c>
      <c r="C138" s="7">
        <f>'1_Du_lieu'!V286</f>
        <v>1.6014057407368361</v>
      </c>
      <c r="D138" s="9">
        <f>'1_Du_lieu'!W286</f>
        <v>4.3094559418390466</v>
      </c>
      <c r="E138" s="9">
        <f>'1_Du_lieu'!L286</f>
        <v>4.0060000000000002</v>
      </c>
      <c r="F138" s="9">
        <f>'1_Du_lieu'!M286</f>
        <v>26.5</v>
      </c>
      <c r="G138" s="9">
        <f>'1_Du_lieu'!N286</f>
        <v>24.6</v>
      </c>
      <c r="H138" s="9">
        <f>'1_Du_lieu'!X286</f>
        <v>2.0605277435655931</v>
      </c>
      <c r="I138" s="9">
        <f>'1_Du_lieu'!T286</f>
        <v>1.3125082031762698</v>
      </c>
      <c r="J138" s="9">
        <f>'1_Du_lieu'!Y286</f>
        <v>6.6407904481190778</v>
      </c>
      <c r="K138" s="9">
        <f>'1_Du_lieu'!O286</f>
        <v>16</v>
      </c>
      <c r="L138" s="5">
        <f t="shared" si="10"/>
        <v>0</v>
      </c>
      <c r="M138" s="5">
        <f t="shared" si="11"/>
        <v>1</v>
      </c>
      <c r="N138" s="5">
        <f t="shared" si="12"/>
        <v>0</v>
      </c>
      <c r="O138" s="5">
        <f t="shared" si="13"/>
        <v>0</v>
      </c>
      <c r="P138" s="5">
        <f t="shared" si="14"/>
        <v>0</v>
      </c>
      <c r="AA138" s="5">
        <f>'1_Du_lieu'!D286</f>
        <v>0</v>
      </c>
    </row>
    <row r="139" spans="1:27" x14ac:dyDescent="0.25">
      <c r="A139" t="s">
        <v>121</v>
      </c>
      <c r="B139">
        <v>2021</v>
      </c>
      <c r="C139" s="7">
        <f>'1_Du_lieu'!V287</f>
        <v>1.8946168546677629</v>
      </c>
      <c r="D139" s="9">
        <f>'1_Du_lieu'!W287</f>
        <v>4.2046926193909657</v>
      </c>
      <c r="E139" s="9">
        <f>'1_Du_lieu'!L287</f>
        <v>5.5830000000000002</v>
      </c>
      <c r="F139" s="9">
        <f>'1_Du_lieu'!M287</f>
        <v>39.270000000000003</v>
      </c>
      <c r="G139" s="9">
        <f>'1_Du_lieu'!N287</f>
        <v>20.5</v>
      </c>
      <c r="H139" s="9">
        <f>'1_Du_lieu'!X287</f>
        <v>2.5688521867361809</v>
      </c>
      <c r="I139" s="9">
        <f>'1_Du_lieu'!T287</f>
        <v>0.45389212497163173</v>
      </c>
      <c r="J139" s="9">
        <f>'1_Du_lieu'!Y287</f>
        <v>5.9967008139032281</v>
      </c>
      <c r="K139" s="9">
        <f>'1_Du_lieu'!O287</f>
        <v>29.8</v>
      </c>
      <c r="L139" s="5">
        <f t="shared" si="10"/>
        <v>0</v>
      </c>
      <c r="M139" s="5">
        <f t="shared" si="11"/>
        <v>1</v>
      </c>
      <c r="N139" s="5">
        <f t="shared" si="12"/>
        <v>0</v>
      </c>
      <c r="O139" s="5">
        <f t="shared" si="13"/>
        <v>0</v>
      </c>
      <c r="P139" s="5">
        <f t="shared" si="14"/>
        <v>0</v>
      </c>
      <c r="AA139" s="5">
        <f>'1_Du_lieu'!D287</f>
        <v>0</v>
      </c>
    </row>
    <row r="140" spans="1:27" x14ac:dyDescent="0.25">
      <c r="A140" t="s">
        <v>122</v>
      </c>
      <c r="B140">
        <v>2021</v>
      </c>
      <c r="C140" s="7">
        <f>'1_Du_lieu'!V288</f>
        <v>1.43746264769429</v>
      </c>
      <c r="D140" s="9">
        <f>'1_Du_lieu'!W288</f>
        <v>3.8543938925915096</v>
      </c>
      <c r="E140" s="9">
        <f>'1_Du_lieu'!L288</f>
        <v>2.786</v>
      </c>
      <c r="F140" s="9">
        <f>'1_Du_lieu'!M288</f>
        <v>23.08</v>
      </c>
      <c r="G140" s="9">
        <f>'1_Du_lieu'!N288</f>
        <v>27.8</v>
      </c>
      <c r="H140" s="9">
        <f>'1_Du_lieu'!X288</f>
        <v>1.8667991908086079</v>
      </c>
      <c r="I140" s="9">
        <f>'1_Du_lieu'!T288</f>
        <v>0.62743129627305805</v>
      </c>
      <c r="J140" s="9">
        <f>'1_Du_lieu'!Y288</f>
        <v>5.7127422160276726</v>
      </c>
      <c r="K140" s="9">
        <f>'1_Du_lieu'!O288</f>
        <v>16.899999999999999</v>
      </c>
      <c r="L140" s="5">
        <f t="shared" si="10"/>
        <v>0</v>
      </c>
      <c r="M140" s="5">
        <f t="shared" si="11"/>
        <v>1</v>
      </c>
      <c r="N140" s="5">
        <f t="shared" si="12"/>
        <v>0</v>
      </c>
      <c r="O140" s="5">
        <f t="shared" si="13"/>
        <v>0</v>
      </c>
      <c r="P140" s="5">
        <f t="shared" si="14"/>
        <v>0</v>
      </c>
      <c r="AA140" s="5">
        <f>'1_Du_lieu'!D288</f>
        <v>0</v>
      </c>
    </row>
    <row r="141" spans="1:27" x14ac:dyDescent="0.25">
      <c r="A141" t="s">
        <v>123</v>
      </c>
      <c r="B141">
        <v>2021</v>
      </c>
      <c r="C141" s="7">
        <f>'1_Du_lieu'!V289</f>
        <v>1.9065751436566365</v>
      </c>
      <c r="D141" s="9">
        <f>'1_Du_lieu'!W289</f>
        <v>3.7954891891721947</v>
      </c>
      <c r="E141" s="9">
        <f>'1_Du_lieu'!L289</f>
        <v>3.5150000000000001</v>
      </c>
      <c r="F141" s="9">
        <f>'1_Du_lieu'!M289</f>
        <v>20.239999999999998</v>
      </c>
      <c r="G141" s="9">
        <f>'1_Du_lieu'!N289</f>
        <v>22</v>
      </c>
      <c r="H141" s="9">
        <f>'1_Du_lieu'!X289</f>
        <v>1.9256821973494891</v>
      </c>
      <c r="I141" s="9">
        <f>'1_Du_lieu'!T289</f>
        <v>0.98023198823721613</v>
      </c>
      <c r="J141" s="9">
        <f>'1_Du_lieu'!Y289</f>
        <v>7.5979480997156461</v>
      </c>
      <c r="K141" s="9">
        <f>'1_Du_lieu'!O289</f>
        <v>17.2</v>
      </c>
      <c r="L141" s="5">
        <f t="shared" si="10"/>
        <v>0</v>
      </c>
      <c r="M141" s="5">
        <f t="shared" si="11"/>
        <v>1</v>
      </c>
      <c r="N141" s="5">
        <f t="shared" si="12"/>
        <v>0</v>
      </c>
      <c r="O141" s="5">
        <f t="shared" si="13"/>
        <v>0</v>
      </c>
      <c r="P141" s="5">
        <f t="shared" si="14"/>
        <v>0</v>
      </c>
      <c r="AA141" s="5">
        <f>'1_Du_lieu'!D289</f>
        <v>1</v>
      </c>
    </row>
    <row r="142" spans="1:27" x14ac:dyDescent="0.25">
      <c r="A142" t="s">
        <v>124</v>
      </c>
      <c r="B142">
        <v>2021</v>
      </c>
      <c r="C142" s="7">
        <f>'1_Du_lieu'!V290</f>
        <v>1.9021075263969205</v>
      </c>
      <c r="D142" s="9">
        <f>'1_Du_lieu'!W290</f>
        <v>3.8329797980876932</v>
      </c>
      <c r="E142" s="9">
        <f>'1_Du_lieu'!L290</f>
        <v>3.641</v>
      </c>
      <c r="F142" s="9">
        <f>'1_Du_lieu'!M290</f>
        <v>15.53</v>
      </c>
      <c r="G142" s="9">
        <f>'1_Du_lieu'!N290</f>
        <v>23.4</v>
      </c>
      <c r="H142" s="9">
        <f>'1_Du_lieu'!X290</f>
        <v>3.5961360693583755</v>
      </c>
      <c r="I142" s="9">
        <f>'1_Du_lieu'!T290</f>
        <v>3.0500322599565957</v>
      </c>
      <c r="J142" s="9">
        <f>'1_Du_lieu'!Y290</f>
        <v>6.3645786249984866</v>
      </c>
      <c r="K142" s="9">
        <f>'1_Du_lieu'!O290</f>
        <v>18.2</v>
      </c>
      <c r="L142" s="5">
        <f t="shared" si="10"/>
        <v>0</v>
      </c>
      <c r="M142" s="5">
        <f t="shared" si="11"/>
        <v>1</v>
      </c>
      <c r="N142" s="5">
        <f t="shared" si="12"/>
        <v>0</v>
      </c>
      <c r="O142" s="5">
        <f t="shared" si="13"/>
        <v>0</v>
      </c>
      <c r="P142" s="5">
        <f t="shared" si="14"/>
        <v>0</v>
      </c>
      <c r="AA142" s="5">
        <f>'1_Du_lieu'!D290</f>
        <v>0</v>
      </c>
    </row>
    <row r="143" spans="1:27" x14ac:dyDescent="0.25">
      <c r="A143" t="s">
        <v>125</v>
      </c>
      <c r="B143">
        <v>2021</v>
      </c>
      <c r="C143" s="7">
        <f>'1_Du_lieu'!V291</f>
        <v>1.8421356765531218</v>
      </c>
      <c r="D143" s="9">
        <f>'1_Du_lieu'!W291</f>
        <v>4.2584455729025272</v>
      </c>
      <c r="E143" s="9">
        <f>'1_Du_lieu'!L291</f>
        <v>4.7089999999999996</v>
      </c>
      <c r="F143" s="9">
        <f>'1_Du_lieu'!M291</f>
        <v>21.49</v>
      </c>
      <c r="G143" s="9">
        <f>'1_Du_lieu'!N291</f>
        <v>31.7</v>
      </c>
      <c r="H143" s="9">
        <f>'1_Du_lieu'!X291</f>
        <v>3.2896017445069567</v>
      </c>
      <c r="I143" s="9">
        <f>'1_Du_lieu'!T291</f>
        <v>4.1683207622072249</v>
      </c>
      <c r="J143" s="9">
        <f>'1_Du_lieu'!Y291</f>
        <v>7.3622010093119234</v>
      </c>
      <c r="K143" s="9">
        <f>'1_Du_lieu'!O291</f>
        <v>23.8</v>
      </c>
      <c r="L143" s="5">
        <f t="shared" si="10"/>
        <v>0</v>
      </c>
      <c r="M143" s="5">
        <f t="shared" si="11"/>
        <v>1</v>
      </c>
      <c r="N143" s="5">
        <f t="shared" si="12"/>
        <v>0</v>
      </c>
      <c r="O143" s="5">
        <f t="shared" si="13"/>
        <v>0</v>
      </c>
      <c r="P143" s="5">
        <f t="shared" si="14"/>
        <v>0</v>
      </c>
      <c r="AA143" s="5">
        <f>'1_Du_lieu'!D291</f>
        <v>1</v>
      </c>
    </row>
    <row r="144" spans="1:27" x14ac:dyDescent="0.25">
      <c r="A144" t="s">
        <v>126</v>
      </c>
      <c r="B144">
        <v>2021</v>
      </c>
      <c r="C144" s="7">
        <f>'1_Du_lieu'!V292</f>
        <v>1.6601310267496185</v>
      </c>
      <c r="D144" s="9">
        <f>'1_Du_lieu'!W292</f>
        <v>4.2442003177664782</v>
      </c>
      <c r="E144" s="9">
        <f>'1_Du_lieu'!L292</f>
        <v>4.72</v>
      </c>
      <c r="F144" s="9">
        <f>'1_Du_lieu'!M292</f>
        <v>35.4</v>
      </c>
      <c r="G144" s="9">
        <f>'1_Du_lieu'!N292</f>
        <v>18.8</v>
      </c>
      <c r="H144" s="9">
        <f>'1_Du_lieu'!X292</f>
        <v>2.1183153309552241</v>
      </c>
      <c r="I144" s="9">
        <f>'1_Du_lieu'!T292</f>
        <v>1.3422818791946309</v>
      </c>
      <c r="J144" s="9">
        <f>'1_Du_lieu'!Y292</f>
        <v>7.9727418400005865</v>
      </c>
      <c r="K144" s="9">
        <f>'1_Du_lieu'!O292</f>
        <v>18.899999999999999</v>
      </c>
      <c r="L144" s="5">
        <f t="shared" si="10"/>
        <v>0</v>
      </c>
      <c r="M144" s="5">
        <f t="shared" si="11"/>
        <v>1</v>
      </c>
      <c r="N144" s="5">
        <f t="shared" si="12"/>
        <v>0</v>
      </c>
      <c r="O144" s="5">
        <f t="shared" si="13"/>
        <v>0</v>
      </c>
      <c r="P144" s="5">
        <f t="shared" si="14"/>
        <v>0</v>
      </c>
      <c r="AA144" s="5">
        <f>'1_Du_lieu'!D292</f>
        <v>0</v>
      </c>
    </row>
    <row r="145" spans="1:27" x14ac:dyDescent="0.25">
      <c r="A145" t="s">
        <v>127</v>
      </c>
      <c r="B145">
        <v>2021</v>
      </c>
      <c r="C145" s="7">
        <f>'1_Du_lieu'!V293</f>
        <v>1.6639260977181702</v>
      </c>
      <c r="D145" s="9">
        <f>'1_Du_lieu'!W293</f>
        <v>3.9889840465642745</v>
      </c>
      <c r="E145" s="9">
        <f>'1_Du_lieu'!L293</f>
        <v>3.706</v>
      </c>
      <c r="F145" s="9">
        <f>'1_Du_lieu'!M293</f>
        <v>19.100000000000001</v>
      </c>
      <c r="G145" s="9">
        <f>'1_Du_lieu'!N293</f>
        <v>34.6</v>
      </c>
      <c r="H145" s="9">
        <f>'1_Du_lieu'!X293</f>
        <v>2.9197104926673556</v>
      </c>
      <c r="I145" s="9">
        <f>'1_Du_lieu'!T293</f>
        <v>1.2603648424543947</v>
      </c>
      <c r="J145" s="9">
        <f>'1_Du_lieu'!Y293</f>
        <v>7.4587050538322819</v>
      </c>
      <c r="K145" s="9">
        <f>'1_Du_lieu'!O293</f>
        <v>26</v>
      </c>
      <c r="L145" s="5">
        <f t="shared" si="10"/>
        <v>0</v>
      </c>
      <c r="M145" s="5">
        <f t="shared" si="11"/>
        <v>1</v>
      </c>
      <c r="N145" s="5">
        <f t="shared" si="12"/>
        <v>0</v>
      </c>
      <c r="O145" s="5">
        <f t="shared" si="13"/>
        <v>0</v>
      </c>
      <c r="P145" s="5">
        <f t="shared" si="14"/>
        <v>0</v>
      </c>
      <c r="AA145" s="5">
        <f>'1_Du_lieu'!D293</f>
        <v>0</v>
      </c>
    </row>
    <row r="146" spans="1:27" x14ac:dyDescent="0.25">
      <c r="A146" t="s">
        <v>128</v>
      </c>
      <c r="B146">
        <v>2021</v>
      </c>
      <c r="C146" s="7">
        <f>'1_Du_lieu'!V294</f>
        <v>1.6094379124341003</v>
      </c>
      <c r="D146" s="9">
        <f>'1_Du_lieu'!W294</f>
        <v>3.9415818076696905</v>
      </c>
      <c r="E146" s="9">
        <f>'1_Du_lieu'!L294</f>
        <v>3.5270000000000001</v>
      </c>
      <c r="F146" s="9">
        <f>'1_Du_lieu'!M294</f>
        <v>32.700000000000003</v>
      </c>
      <c r="G146" s="9">
        <f>'1_Du_lieu'!N294</f>
        <v>21.6</v>
      </c>
      <c r="H146" s="9">
        <f>'1_Du_lieu'!X294</f>
        <v>2.4054776886278812</v>
      </c>
      <c r="I146" s="9">
        <f>'1_Du_lieu'!T294</f>
        <v>0.45688178183894917</v>
      </c>
      <c r="J146" s="9">
        <f>'1_Du_lieu'!Y294</f>
        <v>7.7521202712847028</v>
      </c>
      <c r="K146" s="9">
        <f>'1_Du_lieu'!O294</f>
        <v>23.4</v>
      </c>
      <c r="L146" s="5">
        <f t="shared" si="10"/>
        <v>0</v>
      </c>
      <c r="M146" s="5">
        <f t="shared" si="11"/>
        <v>1</v>
      </c>
      <c r="N146" s="5">
        <f t="shared" si="12"/>
        <v>0</v>
      </c>
      <c r="O146" s="5">
        <f t="shared" si="13"/>
        <v>0</v>
      </c>
      <c r="P146" s="5">
        <f t="shared" si="14"/>
        <v>0</v>
      </c>
      <c r="AA146" s="5">
        <f>'1_Du_lieu'!D294</f>
        <v>0</v>
      </c>
    </row>
    <row r="147" spans="1:27" x14ac:dyDescent="0.25">
      <c r="A147" t="s">
        <v>129</v>
      </c>
      <c r="B147">
        <v>2021</v>
      </c>
      <c r="C147" s="7">
        <f>'1_Du_lieu'!V295</f>
        <v>1.6714733033535532</v>
      </c>
      <c r="D147" s="9">
        <f>'1_Du_lieu'!W295</f>
        <v>3.8979240810486444</v>
      </c>
      <c r="E147" s="9">
        <f>'1_Du_lieu'!L295</f>
        <v>5.1980000000000004</v>
      </c>
      <c r="F147" s="9">
        <f>'1_Du_lieu'!M295</f>
        <v>23.07</v>
      </c>
      <c r="G147" s="9">
        <f>'1_Du_lieu'!N295</f>
        <v>26.5</v>
      </c>
      <c r="H147" s="9">
        <f>'1_Du_lieu'!X295</f>
        <v>3.2920270892288088</v>
      </c>
      <c r="I147" s="9">
        <f>'1_Du_lieu'!T295</f>
        <v>0.87844515208081697</v>
      </c>
      <c r="J147" s="9">
        <f>'1_Du_lieu'!Y295</f>
        <v>7.1121644322400961</v>
      </c>
      <c r="K147" s="9">
        <f>'1_Du_lieu'!O295</f>
        <v>17.100000000000001</v>
      </c>
      <c r="L147" s="5">
        <f t="shared" si="10"/>
        <v>0</v>
      </c>
      <c r="M147" s="5">
        <f t="shared" si="11"/>
        <v>1</v>
      </c>
      <c r="N147" s="5">
        <f t="shared" si="12"/>
        <v>0</v>
      </c>
      <c r="O147" s="5">
        <f t="shared" si="13"/>
        <v>0</v>
      </c>
      <c r="P147" s="5">
        <f t="shared" si="14"/>
        <v>0</v>
      </c>
      <c r="AA147" s="5">
        <f>'1_Du_lieu'!D295</f>
        <v>0</v>
      </c>
    </row>
    <row r="148" spans="1:27" x14ac:dyDescent="0.25">
      <c r="A148" t="s">
        <v>130</v>
      </c>
      <c r="B148">
        <v>2021</v>
      </c>
      <c r="C148" s="7">
        <f>'1_Du_lieu'!V296</f>
        <v>1.8325814637483102</v>
      </c>
      <c r="D148" s="9">
        <f>'1_Du_lieu'!W296</f>
        <v>4.2456340097683265</v>
      </c>
      <c r="E148" s="9">
        <f>'1_Du_lieu'!L296</f>
        <v>5.2060000000000004</v>
      </c>
      <c r="F148" s="9">
        <f>'1_Du_lieu'!M296</f>
        <v>26.43</v>
      </c>
      <c r="G148" s="9">
        <f>'1_Du_lieu'!N296</f>
        <v>26.6</v>
      </c>
      <c r="H148" s="9">
        <f>'1_Du_lieu'!X296</f>
        <v>2.2978653786368319</v>
      </c>
      <c r="I148" s="9">
        <f>'1_Du_lieu'!T296</f>
        <v>0.26341784655910438</v>
      </c>
      <c r="J148" s="9">
        <f>'1_Du_lieu'!Y296</f>
        <v>8.29172193309285</v>
      </c>
      <c r="K148" s="9">
        <f>'1_Du_lieu'!O296</f>
        <v>23.3</v>
      </c>
      <c r="L148" s="5">
        <f t="shared" si="10"/>
        <v>0</v>
      </c>
      <c r="M148" s="5">
        <f t="shared" si="11"/>
        <v>1</v>
      </c>
      <c r="N148" s="5">
        <f t="shared" si="12"/>
        <v>0</v>
      </c>
      <c r="O148" s="5">
        <f t="shared" si="13"/>
        <v>0</v>
      </c>
      <c r="P148" s="5">
        <f t="shared" si="14"/>
        <v>0</v>
      </c>
      <c r="AA148" s="5">
        <f>'1_Du_lieu'!D296</f>
        <v>0</v>
      </c>
    </row>
    <row r="149" spans="1:27" x14ac:dyDescent="0.25">
      <c r="A149" t="s">
        <v>131</v>
      </c>
      <c r="B149">
        <v>2021</v>
      </c>
      <c r="C149" s="7">
        <f>'1_Du_lieu'!V297</f>
        <v>1.7101878155342434</v>
      </c>
      <c r="D149" s="9">
        <f>'1_Du_lieu'!W297</f>
        <v>4.4006030202468169</v>
      </c>
      <c r="E149" s="9">
        <f>'1_Du_lieu'!L297</f>
        <v>4.3529999999999998</v>
      </c>
      <c r="F149" s="9">
        <f>'1_Du_lieu'!M297</f>
        <v>21.12</v>
      </c>
      <c r="G149" s="9">
        <f>'1_Du_lieu'!N297</f>
        <v>26.1</v>
      </c>
      <c r="H149" s="9">
        <f>'1_Du_lieu'!X297</f>
        <v>2.0659680114008911</v>
      </c>
      <c r="I149" s="9">
        <f>'1_Du_lieu'!T297</f>
        <v>0.80379390724218314</v>
      </c>
      <c r="J149" s="9">
        <f>'1_Du_lieu'!Y297</f>
        <v>7.3976840770351426</v>
      </c>
      <c r="K149" s="9">
        <f>'1_Du_lieu'!O297</f>
        <v>22.2</v>
      </c>
      <c r="L149" s="5">
        <f t="shared" si="10"/>
        <v>0</v>
      </c>
      <c r="M149" s="5">
        <f t="shared" si="11"/>
        <v>1</v>
      </c>
      <c r="N149" s="5">
        <f t="shared" si="12"/>
        <v>0</v>
      </c>
      <c r="O149" s="5">
        <f t="shared" si="13"/>
        <v>0</v>
      </c>
      <c r="P149" s="5">
        <f t="shared" si="14"/>
        <v>0</v>
      </c>
      <c r="AA149" s="5">
        <f>'1_Du_lieu'!D297</f>
        <v>0</v>
      </c>
    </row>
    <row r="150" spans="1:27" x14ac:dyDescent="0.25">
      <c r="A150" t="s">
        <v>132</v>
      </c>
      <c r="B150">
        <v>2021</v>
      </c>
      <c r="C150" s="7">
        <f>'1_Du_lieu'!V298</f>
        <v>2.0819384218784229</v>
      </c>
      <c r="D150" s="9">
        <f>'1_Du_lieu'!W298</f>
        <v>5.136974216139274</v>
      </c>
      <c r="E150" s="9">
        <f>'1_Du_lieu'!L298</f>
        <v>7.0090000000000003</v>
      </c>
      <c r="F150" s="9">
        <f>'1_Du_lieu'!M298</f>
        <v>67.36</v>
      </c>
      <c r="G150" s="9">
        <f>'1_Du_lieu'!N298</f>
        <v>41.4</v>
      </c>
      <c r="H150" s="9">
        <f>'1_Du_lieu'!X298</f>
        <v>3.5549651462729521</v>
      </c>
      <c r="I150" s="9">
        <f>'1_Du_lieu'!T298</f>
        <v>2.517026946994374</v>
      </c>
      <c r="J150" s="9">
        <f>'1_Du_lieu'!Y298</f>
        <v>8.6803998843505106</v>
      </c>
      <c r="K150" s="9">
        <f>'1_Du_lieu'!O298</f>
        <v>25.3</v>
      </c>
      <c r="L150" s="5">
        <f t="shared" si="10"/>
        <v>0</v>
      </c>
      <c r="M150" s="5">
        <f t="shared" si="11"/>
        <v>1</v>
      </c>
      <c r="N150" s="5">
        <f t="shared" si="12"/>
        <v>0</v>
      </c>
      <c r="O150" s="5">
        <f t="shared" si="13"/>
        <v>0</v>
      </c>
      <c r="P150" s="5">
        <f t="shared" si="14"/>
        <v>0</v>
      </c>
      <c r="AA150" s="5">
        <f>'1_Du_lieu'!D298</f>
        <v>1</v>
      </c>
    </row>
    <row r="151" spans="1:27" x14ac:dyDescent="0.25">
      <c r="A151" t="s">
        <v>133</v>
      </c>
      <c r="B151">
        <v>2021</v>
      </c>
      <c r="C151" s="7">
        <f>'1_Du_lieu'!V299</f>
        <v>1.6863989535702288</v>
      </c>
      <c r="D151" s="9">
        <f>'1_Du_lieu'!W299</f>
        <v>4.0587173845789497</v>
      </c>
      <c r="E151" s="9">
        <f>'1_Du_lieu'!L299</f>
        <v>4.7220000000000004</v>
      </c>
      <c r="F151" s="9">
        <f>'1_Du_lieu'!M299</f>
        <v>32.57</v>
      </c>
      <c r="G151" s="9">
        <f>'1_Du_lieu'!N299</f>
        <v>27.7</v>
      </c>
      <c r="H151" s="9">
        <f>'1_Du_lieu'!X299</f>
        <v>2.8465361105571962</v>
      </c>
      <c r="I151" s="9">
        <f>'1_Du_lieu'!T299</f>
        <v>3.3961099104661931</v>
      </c>
      <c r="J151" s="9">
        <f>'1_Du_lieu'!Y299</f>
        <v>8.2691420043958423</v>
      </c>
      <c r="K151" s="9">
        <f>'1_Du_lieu'!O299</f>
        <v>26.3</v>
      </c>
      <c r="L151" s="5">
        <f t="shared" si="10"/>
        <v>0</v>
      </c>
      <c r="M151" s="5">
        <f t="shared" si="11"/>
        <v>1</v>
      </c>
      <c r="N151" s="5">
        <f t="shared" si="12"/>
        <v>0</v>
      </c>
      <c r="O151" s="5">
        <f t="shared" si="13"/>
        <v>0</v>
      </c>
      <c r="P151" s="5">
        <f t="shared" si="14"/>
        <v>0</v>
      </c>
      <c r="AA151" s="5">
        <f>'1_Du_lieu'!D299</f>
        <v>0</v>
      </c>
    </row>
    <row r="152" spans="1:27" x14ac:dyDescent="0.25">
      <c r="A152" t="s">
        <v>136</v>
      </c>
      <c r="B152">
        <v>2021</v>
      </c>
      <c r="C152" s="7">
        <f>'1_Du_lieu'!V302</f>
        <v>4.2140516715868488</v>
      </c>
      <c r="D152" s="9">
        <f>'1_Du_lieu'!W302</f>
        <v>4.9836066217083363</v>
      </c>
      <c r="E152" s="9">
        <f>'1_Du_lieu'!L302</f>
        <v>29.286999999999999</v>
      </c>
      <c r="F152" s="9">
        <f>'1_Du_lieu'!M302</f>
        <v>78.98</v>
      </c>
      <c r="G152" s="9">
        <f>'1_Du_lieu'!N302</f>
        <v>35.6</v>
      </c>
      <c r="H152" s="9">
        <f>'1_Du_lieu'!X302</f>
        <v>2.4792900787168963</v>
      </c>
      <c r="I152" s="9">
        <f>'1_Du_lieu'!T302</f>
        <v>3.0872278221407692</v>
      </c>
      <c r="J152" s="9">
        <f>'1_Du_lieu'!Y302</f>
        <v>8.661154997655558</v>
      </c>
      <c r="K152" s="9">
        <f>'1_Du_lieu'!O302</f>
        <v>48</v>
      </c>
      <c r="L152" s="5">
        <f t="shared" si="10"/>
        <v>0</v>
      </c>
      <c r="M152" s="5">
        <f t="shared" si="11"/>
        <v>1</v>
      </c>
      <c r="N152" s="5">
        <f t="shared" si="12"/>
        <v>0</v>
      </c>
      <c r="O152" s="5">
        <f t="shared" si="13"/>
        <v>0</v>
      </c>
      <c r="P152" s="5">
        <f t="shared" si="14"/>
        <v>0</v>
      </c>
      <c r="AA152" s="5">
        <f>'1_Du_lieu'!D302</f>
        <v>1</v>
      </c>
    </row>
    <row r="153" spans="1:27" x14ac:dyDescent="0.25">
      <c r="A153" t="s">
        <v>137</v>
      </c>
      <c r="B153">
        <v>2021</v>
      </c>
      <c r="C153" s="7">
        <f>'1_Du_lieu'!V303</f>
        <v>1.9169226121820611</v>
      </c>
      <c r="D153" s="9">
        <f>'1_Du_lieu'!W303</f>
        <v>4.0535225677018456</v>
      </c>
      <c r="E153" s="9">
        <f>'1_Du_lieu'!L303</f>
        <v>3.7909999999999999</v>
      </c>
      <c r="F153" s="9">
        <f>'1_Du_lieu'!M303</f>
        <v>26.73</v>
      </c>
      <c r="G153" s="9">
        <f>'1_Du_lieu'!N303</f>
        <v>25.1</v>
      </c>
      <c r="H153" s="9">
        <f>'1_Du_lieu'!X303</f>
        <v>2.6355589746238302</v>
      </c>
      <c r="I153" s="9">
        <f>'1_Du_lieu'!T303</f>
        <v>0.80723280594123348</v>
      </c>
      <c r="J153" s="9">
        <f>'1_Du_lieu'!Y303</f>
        <v>8.2841508079227797</v>
      </c>
      <c r="K153" s="9">
        <f>'1_Du_lieu'!O303</f>
        <v>15.7</v>
      </c>
      <c r="L153" s="5">
        <f t="shared" si="10"/>
        <v>0</v>
      </c>
      <c r="M153" s="5">
        <f t="shared" si="11"/>
        <v>1</v>
      </c>
      <c r="N153" s="5">
        <f t="shared" si="12"/>
        <v>0</v>
      </c>
      <c r="O153" s="5">
        <f t="shared" si="13"/>
        <v>0</v>
      </c>
      <c r="P153" s="5">
        <f t="shared" si="14"/>
        <v>0</v>
      </c>
      <c r="AA153" s="5">
        <f>'1_Du_lieu'!D303</f>
        <v>0</v>
      </c>
    </row>
    <row r="154" spans="1:27" x14ac:dyDescent="0.25">
      <c r="A154" t="s">
        <v>138</v>
      </c>
      <c r="B154">
        <v>2021</v>
      </c>
      <c r="C154" s="7">
        <f>'1_Du_lieu'!V304</f>
        <v>1.7011051009599243</v>
      </c>
      <c r="D154" s="9">
        <f>'1_Du_lieu'!W304</f>
        <v>3.9435216724875173</v>
      </c>
      <c r="E154" s="9">
        <f>'1_Du_lieu'!L304</f>
        <v>2.9249999999999998</v>
      </c>
      <c r="F154" s="9">
        <f>'1_Du_lieu'!M304</f>
        <v>11.75</v>
      </c>
      <c r="G154" s="9">
        <f>'1_Du_lieu'!N304</f>
        <v>19.3</v>
      </c>
      <c r="H154" s="9">
        <f>'1_Du_lieu'!X304</f>
        <v>1.5029204939427558</v>
      </c>
      <c r="I154" s="9">
        <f>'1_Du_lieu'!T304</f>
        <v>0.85383424942633013</v>
      </c>
      <c r="J154" s="9">
        <f>'1_Du_lieu'!Y304</f>
        <v>6.616868075581408</v>
      </c>
      <c r="K154" s="9">
        <f>'1_Du_lieu'!O304</f>
        <v>12.5</v>
      </c>
      <c r="L154" s="5">
        <f t="shared" si="10"/>
        <v>0</v>
      </c>
      <c r="M154" s="5">
        <f t="shared" si="11"/>
        <v>1</v>
      </c>
      <c r="N154" s="5">
        <f t="shared" si="12"/>
        <v>0</v>
      </c>
      <c r="O154" s="5">
        <f t="shared" si="13"/>
        <v>0</v>
      </c>
      <c r="P154" s="5">
        <f t="shared" si="14"/>
        <v>0</v>
      </c>
      <c r="AA154" s="5">
        <f>'1_Du_lieu'!D304</f>
        <v>1</v>
      </c>
    </row>
    <row r="155" spans="1:27" x14ac:dyDescent="0.25">
      <c r="A155" t="s">
        <v>139</v>
      </c>
      <c r="B155">
        <v>2021</v>
      </c>
      <c r="C155" s="7">
        <f>'1_Du_lieu'!V305</f>
        <v>1.8531680973566984</v>
      </c>
      <c r="D155" s="9">
        <f>'1_Du_lieu'!W305</f>
        <v>4.6051701859880918</v>
      </c>
      <c r="E155" s="9">
        <f>'1_Du_lieu'!L305</f>
        <v>3.9049999999999998</v>
      </c>
      <c r="F155" s="9">
        <f>'1_Du_lieu'!M305</f>
        <v>32.14</v>
      </c>
      <c r="G155" s="9">
        <f>'1_Du_lieu'!N305</f>
        <v>35.4</v>
      </c>
      <c r="H155" s="9">
        <f>'1_Du_lieu'!X305</f>
        <v>3.5295695036265586</v>
      </c>
      <c r="I155" s="9">
        <f>'1_Du_lieu'!T305</f>
        <v>1.7382103990326481</v>
      </c>
      <c r="J155" s="9">
        <f>'1_Du_lieu'!Y305</f>
        <v>8.9143976070946085</v>
      </c>
      <c r="K155" s="9">
        <f>'1_Du_lieu'!O305</f>
        <v>25</v>
      </c>
      <c r="L155" s="5">
        <f t="shared" si="10"/>
        <v>0</v>
      </c>
      <c r="M155" s="5">
        <f t="shared" si="11"/>
        <v>1</v>
      </c>
      <c r="N155" s="5">
        <f t="shared" si="12"/>
        <v>0</v>
      </c>
      <c r="O155" s="5">
        <f t="shared" si="13"/>
        <v>0</v>
      </c>
      <c r="P155" s="5">
        <f t="shared" si="14"/>
        <v>0</v>
      </c>
      <c r="AA155" s="5">
        <f>'1_Du_lieu'!D305</f>
        <v>0</v>
      </c>
    </row>
    <row r="156" spans="1:27" x14ac:dyDescent="0.25">
      <c r="A156" t="s">
        <v>141</v>
      </c>
      <c r="B156">
        <v>2021</v>
      </c>
      <c r="C156" s="7">
        <f>'1_Du_lieu'!V307</f>
        <v>1.6789639750827108</v>
      </c>
      <c r="D156" s="9">
        <f>'1_Du_lieu'!W307</f>
        <v>4.0217738693872649</v>
      </c>
      <c r="E156" s="9">
        <f>'1_Du_lieu'!L307</f>
        <v>2.8439999999999999</v>
      </c>
      <c r="F156" s="9">
        <f>'1_Du_lieu'!M307</f>
        <v>14.25</v>
      </c>
      <c r="G156" s="9">
        <f>'1_Du_lieu'!N307</f>
        <v>13.8</v>
      </c>
      <c r="H156" s="9">
        <f>'1_Du_lieu'!X307</f>
        <v>0.31813692452630776</v>
      </c>
      <c r="I156" s="9">
        <f>'1_Du_lieu'!T307</f>
        <v>0.73058334269978642</v>
      </c>
      <c r="J156" s="9">
        <f>'1_Du_lieu'!Y307</f>
        <v>7.3916001744163529</v>
      </c>
      <c r="K156" s="9">
        <f>'1_Du_lieu'!O307</f>
        <v>17.600000000000001</v>
      </c>
      <c r="L156" s="5">
        <f t="shared" si="10"/>
        <v>0</v>
      </c>
      <c r="M156" s="5">
        <f t="shared" si="11"/>
        <v>1</v>
      </c>
      <c r="N156" s="5">
        <f t="shared" si="12"/>
        <v>0</v>
      </c>
      <c r="O156" s="5">
        <f t="shared" si="13"/>
        <v>0</v>
      </c>
      <c r="P156" s="5">
        <f t="shared" si="14"/>
        <v>0</v>
      </c>
      <c r="AA156" s="5">
        <f>'1_Du_lieu'!D307</f>
        <v>0</v>
      </c>
    </row>
    <row r="157" spans="1:27" x14ac:dyDescent="0.25">
      <c r="A157" t="s">
        <v>142</v>
      </c>
      <c r="B157">
        <v>2021</v>
      </c>
      <c r="C157" s="7">
        <f>'1_Du_lieu'!V308</f>
        <v>1.4770487243883548</v>
      </c>
      <c r="D157" s="9">
        <f>'1_Du_lieu'!W308</f>
        <v>4.1447207695471677</v>
      </c>
      <c r="E157" s="9">
        <f>'1_Du_lieu'!L308</f>
        <v>2.3919999999999999</v>
      </c>
      <c r="F157" s="9">
        <f>'1_Du_lieu'!M308</f>
        <v>17.510000000000002</v>
      </c>
      <c r="G157" s="9">
        <f>'1_Du_lieu'!N308</f>
        <v>10.8</v>
      </c>
      <c r="H157" s="9">
        <f>'1_Du_lieu'!X308</f>
        <v>1.0020414153154515</v>
      </c>
      <c r="I157" s="9">
        <f>'1_Du_lieu'!T308</f>
        <v>0.8835656783820931</v>
      </c>
      <c r="J157" s="9">
        <f>'1_Du_lieu'!Y308</f>
        <v>8.0968783700577376</v>
      </c>
      <c r="K157" s="9">
        <f>'1_Du_lieu'!O308</f>
        <v>11.5</v>
      </c>
      <c r="L157" s="5">
        <f t="shared" si="10"/>
        <v>0</v>
      </c>
      <c r="M157" s="5">
        <f t="shared" si="11"/>
        <v>1</v>
      </c>
      <c r="N157" s="5">
        <f t="shared" si="12"/>
        <v>0</v>
      </c>
      <c r="O157" s="5">
        <f t="shared" si="13"/>
        <v>0</v>
      </c>
      <c r="P157" s="5">
        <f t="shared" si="14"/>
        <v>0</v>
      </c>
      <c r="AA157" s="5">
        <f>'1_Du_lieu'!D308</f>
        <v>0</v>
      </c>
    </row>
    <row r="158" spans="1:27" x14ac:dyDescent="0.25">
      <c r="A158" t="s">
        <v>143</v>
      </c>
      <c r="B158">
        <v>2021</v>
      </c>
      <c r="C158" s="7">
        <f>'1_Du_lieu'!V309</f>
        <v>1.3862943611198906</v>
      </c>
      <c r="D158" s="9">
        <f>'1_Du_lieu'!W309</f>
        <v>3.8110970868381857</v>
      </c>
      <c r="E158" s="9">
        <f>'1_Du_lieu'!L309</f>
        <v>1.9830000000000001</v>
      </c>
      <c r="F158" s="9">
        <f>'1_Du_lieu'!M309</f>
        <v>13.88</v>
      </c>
      <c r="G158" s="9">
        <f>'1_Du_lieu'!N309</f>
        <v>23.1</v>
      </c>
      <c r="H158" s="9">
        <f>'1_Du_lieu'!X309</f>
        <v>2.9114432130738548</v>
      </c>
      <c r="I158" s="9">
        <f>'1_Du_lieu'!T309</f>
        <v>0.74840962953723333</v>
      </c>
      <c r="J158" s="9">
        <f>'1_Du_lieu'!Y309</f>
        <v>5.5660518011901212</v>
      </c>
      <c r="K158" s="9">
        <f>'1_Du_lieu'!O309</f>
        <v>13.8</v>
      </c>
      <c r="L158" s="5">
        <f t="shared" si="10"/>
        <v>0</v>
      </c>
      <c r="M158" s="5">
        <f t="shared" si="11"/>
        <v>1</v>
      </c>
      <c r="N158" s="5">
        <f t="shared" si="12"/>
        <v>0</v>
      </c>
      <c r="O158" s="5">
        <f t="shared" si="13"/>
        <v>0</v>
      </c>
      <c r="P158" s="5">
        <f t="shared" si="14"/>
        <v>0</v>
      </c>
      <c r="AA158" s="5">
        <f>'1_Du_lieu'!D309</f>
        <v>0</v>
      </c>
    </row>
    <row r="159" spans="1:27" x14ac:dyDescent="0.25">
      <c r="A159" t="s">
        <v>144</v>
      </c>
      <c r="B159">
        <v>2021</v>
      </c>
      <c r="C159" s="7">
        <f>'1_Du_lieu'!V310</f>
        <v>1.7155981082624909</v>
      </c>
      <c r="D159" s="9">
        <f>'1_Du_lieu'!W310</f>
        <v>4.3385970767465452</v>
      </c>
      <c r="E159" s="9">
        <f>'1_Du_lieu'!L310</f>
        <v>3.8580000000000001</v>
      </c>
      <c r="F159" s="9">
        <f>'1_Du_lieu'!M310</f>
        <v>32.380000000000003</v>
      </c>
      <c r="G159" s="9">
        <f>'1_Du_lieu'!N310</f>
        <v>16</v>
      </c>
      <c r="H159" s="9">
        <f>'1_Du_lieu'!X310</f>
        <v>2.5114225510080193</v>
      </c>
      <c r="I159" s="9">
        <f>'1_Du_lieu'!T310</f>
        <v>1.0999238514256704</v>
      </c>
      <c r="J159" s="9">
        <f>'1_Du_lieu'!Y310</f>
        <v>8.8812666983646373</v>
      </c>
      <c r="K159" s="9">
        <f>'1_Du_lieu'!O310</f>
        <v>16</v>
      </c>
      <c r="L159" s="5">
        <f t="shared" si="10"/>
        <v>0</v>
      </c>
      <c r="M159" s="5">
        <f t="shared" si="11"/>
        <v>1</v>
      </c>
      <c r="N159" s="5">
        <f t="shared" si="12"/>
        <v>0</v>
      </c>
      <c r="O159" s="5">
        <f t="shared" si="13"/>
        <v>0</v>
      </c>
      <c r="P159" s="5">
        <f t="shared" si="14"/>
        <v>0</v>
      </c>
      <c r="AA159" s="5">
        <f>'1_Du_lieu'!D310</f>
        <v>1</v>
      </c>
    </row>
    <row r="160" spans="1:27" x14ac:dyDescent="0.25">
      <c r="A160" t="s">
        <v>145</v>
      </c>
      <c r="B160">
        <v>2021</v>
      </c>
      <c r="C160" s="7">
        <f>'1_Du_lieu'!V311</f>
        <v>1.5260563034950492</v>
      </c>
      <c r="D160" s="9">
        <f>'1_Du_lieu'!W311</f>
        <v>4.0517849478033048</v>
      </c>
      <c r="E160" s="9">
        <f>'1_Du_lieu'!L311</f>
        <v>2.7130000000000001</v>
      </c>
      <c r="F160" s="9">
        <f>'1_Du_lieu'!M311</f>
        <v>22.71</v>
      </c>
      <c r="G160" s="9">
        <f>'1_Du_lieu'!N311</f>
        <v>15.6</v>
      </c>
      <c r="H160" s="9">
        <f>'1_Du_lieu'!X311</f>
        <v>0.67698224370658988</v>
      </c>
      <c r="I160" s="9">
        <f>'1_Du_lieu'!T311</f>
        <v>0.58309037900874638</v>
      </c>
      <c r="J160" s="9">
        <f>'1_Du_lieu'!Y311</f>
        <v>6.7464121285733745</v>
      </c>
      <c r="K160" s="9">
        <f>'1_Du_lieu'!O311</f>
        <v>18</v>
      </c>
      <c r="L160" s="5">
        <f t="shared" si="10"/>
        <v>0</v>
      </c>
      <c r="M160" s="5">
        <f t="shared" si="11"/>
        <v>1</v>
      </c>
      <c r="N160" s="5">
        <f t="shared" si="12"/>
        <v>0</v>
      </c>
      <c r="O160" s="5">
        <f t="shared" si="13"/>
        <v>0</v>
      </c>
      <c r="P160" s="5">
        <f t="shared" si="14"/>
        <v>0</v>
      </c>
      <c r="AA160" s="5">
        <f>'1_Du_lieu'!D311</f>
        <v>0</v>
      </c>
    </row>
    <row r="161" spans="1:27" x14ac:dyDescent="0.25">
      <c r="A161" t="s">
        <v>146</v>
      </c>
      <c r="B161">
        <v>2021</v>
      </c>
      <c r="C161" s="7">
        <f>'1_Du_lieu'!V312</f>
        <v>1.9726911717329554</v>
      </c>
      <c r="D161" s="9">
        <f>'1_Du_lieu'!W312</f>
        <v>4.7397010789456973</v>
      </c>
      <c r="E161" s="9">
        <f>'1_Du_lieu'!L312</f>
        <v>6.9829999999999997</v>
      </c>
      <c r="F161" s="9">
        <f>'1_Du_lieu'!M312</f>
        <v>30.06</v>
      </c>
      <c r="G161" s="9">
        <f>'1_Du_lieu'!N312</f>
        <v>34.700000000000003</v>
      </c>
      <c r="H161" s="9">
        <f>'1_Du_lieu'!X312</f>
        <v>2.5479862283474914</v>
      </c>
      <c r="I161" s="9">
        <f>'1_Du_lieu'!T312</f>
        <v>0.75516026178889073</v>
      </c>
      <c r="J161" s="9">
        <f>'1_Du_lieu'!Y312</f>
        <v>8.6070704578189119</v>
      </c>
      <c r="K161" s="9">
        <f>'1_Du_lieu'!O312</f>
        <v>35.1</v>
      </c>
      <c r="L161" s="5">
        <f t="shared" si="10"/>
        <v>0</v>
      </c>
      <c r="M161" s="5">
        <f t="shared" si="11"/>
        <v>1</v>
      </c>
      <c r="N161" s="5">
        <f t="shared" si="12"/>
        <v>0</v>
      </c>
      <c r="O161" s="5">
        <f t="shared" si="13"/>
        <v>0</v>
      </c>
      <c r="P161" s="5">
        <f t="shared" si="14"/>
        <v>0</v>
      </c>
      <c r="AA161" s="5">
        <f>'1_Du_lieu'!D312</f>
        <v>1</v>
      </c>
    </row>
    <row r="162" spans="1:27" x14ac:dyDescent="0.25">
      <c r="A162" t="s">
        <v>147</v>
      </c>
      <c r="B162">
        <v>2021</v>
      </c>
      <c r="C162" s="7">
        <f>'1_Du_lieu'!V313</f>
        <v>1.6601310267496185</v>
      </c>
      <c r="D162" s="9">
        <f>'1_Du_lieu'!W313</f>
        <v>3.751854253275325</v>
      </c>
      <c r="E162" s="9">
        <f>'1_Du_lieu'!L313</f>
        <v>2.2389999999999999</v>
      </c>
      <c r="F162" s="9">
        <f>'1_Du_lieu'!M313</f>
        <v>20.73</v>
      </c>
      <c r="G162" s="9">
        <f>'1_Du_lieu'!N313</f>
        <v>22.2</v>
      </c>
      <c r="H162" s="9">
        <f>'1_Du_lieu'!X313</f>
        <v>2.2363854484825239</v>
      </c>
      <c r="I162" s="9">
        <f>'1_Du_lieu'!T313</f>
        <v>0.35599857600569595</v>
      </c>
      <c r="J162" s="9">
        <f>'1_Du_lieu'!Y313</f>
        <v>6.2790841176065566</v>
      </c>
      <c r="K162" s="9">
        <f>'1_Du_lieu'!O313</f>
        <v>13.6</v>
      </c>
      <c r="L162" s="5">
        <f t="shared" si="10"/>
        <v>0</v>
      </c>
      <c r="M162" s="5">
        <f t="shared" si="11"/>
        <v>1</v>
      </c>
      <c r="N162" s="5">
        <f t="shared" si="12"/>
        <v>0</v>
      </c>
      <c r="O162" s="5">
        <f t="shared" si="13"/>
        <v>0</v>
      </c>
      <c r="P162" s="5">
        <f t="shared" si="14"/>
        <v>0</v>
      </c>
      <c r="AA162" s="5">
        <f>'1_Du_lieu'!D313</f>
        <v>0</v>
      </c>
    </row>
    <row r="163" spans="1:27" x14ac:dyDescent="0.25">
      <c r="A163" t="s">
        <v>149</v>
      </c>
      <c r="B163">
        <v>2021</v>
      </c>
      <c r="C163" s="7">
        <f>'1_Du_lieu'!V315</f>
        <v>2.9465420293632194</v>
      </c>
      <c r="D163" s="9">
        <f>'1_Du_lieu'!W315</f>
        <v>4.5042442673981311</v>
      </c>
      <c r="E163" s="9">
        <f>'1_Du_lieu'!L315</f>
        <v>20.663</v>
      </c>
      <c r="F163" s="9">
        <f>'1_Du_lieu'!M315</f>
        <v>87.35</v>
      </c>
      <c r="G163" s="9">
        <f>'1_Du_lieu'!N315</f>
        <v>48.1</v>
      </c>
      <c r="H163" s="9">
        <f>'1_Du_lieu'!X315</f>
        <v>3.2363286568748997</v>
      </c>
      <c r="I163" s="9">
        <f>'1_Du_lieu'!T315</f>
        <v>6.6081137599330821</v>
      </c>
      <c r="J163" s="9">
        <f>'1_Du_lieu'!Y315</f>
        <v>8.5098261210706703</v>
      </c>
      <c r="K163" s="9">
        <f>'1_Du_lieu'!O315</f>
        <v>58.1</v>
      </c>
      <c r="L163" s="5">
        <f t="shared" si="10"/>
        <v>0</v>
      </c>
      <c r="M163" s="5">
        <f t="shared" si="11"/>
        <v>1</v>
      </c>
      <c r="N163" s="5">
        <f t="shared" si="12"/>
        <v>0</v>
      </c>
      <c r="O163" s="5">
        <f t="shared" si="13"/>
        <v>0</v>
      </c>
      <c r="P163" s="5">
        <f t="shared" si="14"/>
        <v>0</v>
      </c>
      <c r="AA163" s="5">
        <f>'1_Du_lieu'!D315</f>
        <v>0</v>
      </c>
    </row>
    <row r="164" spans="1:27" x14ac:dyDescent="0.25">
      <c r="A164" t="s">
        <v>150</v>
      </c>
      <c r="B164">
        <v>2021</v>
      </c>
      <c r="C164" s="7">
        <f>'1_Du_lieu'!V316</f>
        <v>1.7227665977411035</v>
      </c>
      <c r="D164" s="9">
        <f>'1_Du_lieu'!W316</f>
        <v>3.9318256327243257</v>
      </c>
      <c r="E164" s="9">
        <f>'1_Du_lieu'!L316</f>
        <v>3.7120000000000002</v>
      </c>
      <c r="F164" s="9">
        <f>'1_Du_lieu'!M316</f>
        <v>24.82</v>
      </c>
      <c r="G164" s="9">
        <f>'1_Du_lieu'!N316</f>
        <v>18.3</v>
      </c>
      <c r="H164" s="9">
        <f>'1_Du_lieu'!X316</f>
        <v>2.2871336977571044</v>
      </c>
      <c r="I164" s="9">
        <f>'1_Du_lieu'!T316</f>
        <v>0.57621791513881615</v>
      </c>
      <c r="J164" s="9">
        <f>'1_Du_lieu'!Y316</f>
        <v>5.8114403493627105</v>
      </c>
      <c r="K164" s="9">
        <f>'1_Du_lieu'!O316</f>
        <v>23.1</v>
      </c>
      <c r="L164" s="5">
        <f t="shared" si="10"/>
        <v>0</v>
      </c>
      <c r="M164" s="5">
        <f t="shared" si="11"/>
        <v>1</v>
      </c>
      <c r="N164" s="5">
        <f t="shared" si="12"/>
        <v>0</v>
      </c>
      <c r="O164" s="5">
        <f t="shared" si="13"/>
        <v>0</v>
      </c>
      <c r="P164" s="5">
        <f t="shared" si="14"/>
        <v>0</v>
      </c>
      <c r="AA164" s="5">
        <f>'1_Du_lieu'!D316</f>
        <v>0</v>
      </c>
    </row>
    <row r="165" spans="1:27" x14ac:dyDescent="0.25">
      <c r="A165" t="s">
        <v>151</v>
      </c>
      <c r="B165">
        <v>2021</v>
      </c>
      <c r="C165" s="7">
        <f>'1_Du_lieu'!V317</f>
        <v>1.5411590716808059</v>
      </c>
      <c r="D165" s="9">
        <f>'1_Du_lieu'!W317</f>
        <v>3.9740583963475986</v>
      </c>
      <c r="E165" s="9">
        <f>'1_Du_lieu'!L317</f>
        <v>3.5539999999999998</v>
      </c>
      <c r="F165" s="9">
        <f>'1_Du_lieu'!M317</f>
        <v>16.260000000000002</v>
      </c>
      <c r="G165" s="9">
        <f>'1_Du_lieu'!N317</f>
        <v>15.4</v>
      </c>
      <c r="H165" s="9">
        <f>'1_Du_lieu'!X317</f>
        <v>0.78181281764560162</v>
      </c>
      <c r="I165" s="9">
        <f>'1_Du_lieu'!T317</f>
        <v>0.45153521974714034</v>
      </c>
      <c r="J165" s="9">
        <f>'1_Du_lieu'!Y317</f>
        <v>6.1520941930329496</v>
      </c>
      <c r="K165" s="9">
        <f>'1_Du_lieu'!O317</f>
        <v>23.2</v>
      </c>
      <c r="L165" s="5">
        <f t="shared" si="10"/>
        <v>0</v>
      </c>
      <c r="M165" s="5">
        <f t="shared" si="11"/>
        <v>1</v>
      </c>
      <c r="N165" s="5">
        <f t="shared" si="12"/>
        <v>0</v>
      </c>
      <c r="O165" s="5">
        <f t="shared" si="13"/>
        <v>0</v>
      </c>
      <c r="P165" s="5">
        <f t="shared" si="14"/>
        <v>0</v>
      </c>
      <c r="AA165" s="5">
        <f>'1_Du_lieu'!D317</f>
        <v>0</v>
      </c>
    </row>
    <row r="166" spans="1:27" x14ac:dyDescent="0.25">
      <c r="A166" t="s">
        <v>152</v>
      </c>
      <c r="B166">
        <v>2021</v>
      </c>
      <c r="C166" s="7">
        <f>'1_Du_lieu'!V318</f>
        <v>2.4105422344991378</v>
      </c>
      <c r="D166" s="9">
        <f>'1_Du_lieu'!W318</f>
        <v>4.779963476361254</v>
      </c>
      <c r="E166" s="9">
        <f>'1_Du_lieu'!L318</f>
        <v>7.9059999999999997</v>
      </c>
      <c r="F166" s="9">
        <f>'1_Du_lieu'!M318</f>
        <v>44.76</v>
      </c>
      <c r="G166" s="9">
        <f>'1_Du_lieu'!N318</f>
        <v>21.9</v>
      </c>
      <c r="H166" s="9">
        <f>'1_Du_lieu'!X318</f>
        <v>2.5423329505205192</v>
      </c>
      <c r="I166" s="9">
        <f>'1_Du_lieu'!T318</f>
        <v>0.56798460130636463</v>
      </c>
      <c r="J166" s="9">
        <f>'1_Du_lieu'!Y318</f>
        <v>9.2807429160743222</v>
      </c>
      <c r="K166" s="9">
        <f>'1_Du_lieu'!O318</f>
        <v>27.7</v>
      </c>
      <c r="L166" s="5">
        <f t="shared" si="10"/>
        <v>0</v>
      </c>
      <c r="M166" s="5">
        <f t="shared" si="11"/>
        <v>1</v>
      </c>
      <c r="N166" s="5">
        <f t="shared" si="12"/>
        <v>0</v>
      </c>
      <c r="O166" s="5">
        <f t="shared" si="13"/>
        <v>0</v>
      </c>
      <c r="P166" s="5">
        <f t="shared" si="14"/>
        <v>0</v>
      </c>
      <c r="AA166" s="5">
        <f>'1_Du_lieu'!D318</f>
        <v>1</v>
      </c>
    </row>
    <row r="167" spans="1:27" x14ac:dyDescent="0.25">
      <c r="A167" t="s">
        <v>153</v>
      </c>
      <c r="B167">
        <v>2021</v>
      </c>
      <c r="C167" s="7">
        <f>'1_Du_lieu'!V319</f>
        <v>1.7191887763932197</v>
      </c>
      <c r="D167" s="9">
        <f>'1_Du_lieu'!W319</f>
        <v>3.9963641538618968</v>
      </c>
      <c r="E167" s="9">
        <f>'1_Du_lieu'!L319</f>
        <v>2.3210000000000002</v>
      </c>
      <c r="F167" s="9">
        <f>'1_Du_lieu'!M319</f>
        <v>20.18</v>
      </c>
      <c r="G167" s="9">
        <f>'1_Du_lieu'!N319</f>
        <v>14.3</v>
      </c>
      <c r="H167" s="9">
        <f>'1_Du_lieu'!X319</f>
        <v>0.56485668954794155</v>
      </c>
      <c r="I167" s="9">
        <f>'1_Du_lieu'!T319</f>
        <v>0.62449259976269278</v>
      </c>
      <c r="J167" s="9">
        <f>'1_Du_lieu'!Y319</f>
        <v>4.9863426015272116</v>
      </c>
      <c r="K167" s="9">
        <f>'1_Du_lieu'!O319</f>
        <v>16.3</v>
      </c>
      <c r="L167" s="5">
        <f t="shared" si="10"/>
        <v>0</v>
      </c>
      <c r="M167" s="5">
        <f t="shared" si="11"/>
        <v>1</v>
      </c>
      <c r="N167" s="5">
        <f t="shared" si="12"/>
        <v>0</v>
      </c>
      <c r="O167" s="5">
        <f t="shared" si="13"/>
        <v>0</v>
      </c>
      <c r="P167" s="5">
        <f t="shared" si="14"/>
        <v>0</v>
      </c>
      <c r="AA167" s="5">
        <f>'1_Du_lieu'!D319</f>
        <v>0</v>
      </c>
    </row>
    <row r="168" spans="1:27" x14ac:dyDescent="0.25">
      <c r="A168" t="s">
        <v>85</v>
      </c>
      <c r="B168">
        <v>2022</v>
      </c>
      <c r="C168" s="7">
        <f>'1_Du_lieu'!V320</f>
        <v>2.8332133440562162</v>
      </c>
      <c r="D168" s="9">
        <f>'1_Du_lieu'!W320</f>
        <v>3.9646154555473165</v>
      </c>
      <c r="E168" s="9">
        <f>'1_Du_lieu'!L320</f>
        <v>2.6539999999999999</v>
      </c>
      <c r="F168" s="9">
        <f>'1_Du_lieu'!M320</f>
        <v>33.840000000000003</v>
      </c>
      <c r="G168" s="9">
        <f>'1_Du_lieu'!N320</f>
        <v>14.5</v>
      </c>
      <c r="H168" s="9">
        <f>'1_Du_lieu'!X320</f>
        <v>1.6657790589637886</v>
      </c>
      <c r="I168" s="9">
        <f>'1_Du_lieu'!T320</f>
        <v>0.47231697717134608</v>
      </c>
      <c r="J168" s="9">
        <f>'1_Du_lieu'!Y320</f>
        <v>5.1209833512651208</v>
      </c>
      <c r="K168" s="9">
        <f>'1_Du_lieu'!O320</f>
        <v>19.3</v>
      </c>
      <c r="L168" s="5">
        <f t="shared" si="10"/>
        <v>0</v>
      </c>
      <c r="M168" s="5">
        <f t="shared" si="11"/>
        <v>0</v>
      </c>
      <c r="N168" s="5">
        <f t="shared" si="12"/>
        <v>1</v>
      </c>
      <c r="O168" s="5">
        <f t="shared" si="13"/>
        <v>0</v>
      </c>
      <c r="P168" s="5">
        <f t="shared" si="14"/>
        <v>0</v>
      </c>
      <c r="AA168" s="5">
        <f>'1_Du_lieu'!D320</f>
        <v>0</v>
      </c>
    </row>
    <row r="169" spans="1:27" x14ac:dyDescent="0.25">
      <c r="A169" t="s">
        <v>87</v>
      </c>
      <c r="B169">
        <v>2022</v>
      </c>
      <c r="C169" s="7">
        <f>'1_Du_lieu'!V321</f>
        <v>3.2308043957334744</v>
      </c>
      <c r="D169" s="9">
        <f>'1_Du_lieu'!W321</f>
        <v>5.9191626353525768</v>
      </c>
      <c r="E169" s="9">
        <f>'1_Du_lieu'!L321</f>
        <v>10.125</v>
      </c>
      <c r="F169" s="9">
        <f>'1_Du_lieu'!M321</f>
        <v>60.4</v>
      </c>
      <c r="G169" s="9">
        <f>'1_Du_lieu'!N321</f>
        <v>28</v>
      </c>
      <c r="H169" s="9">
        <f>'1_Du_lieu'!X321</f>
        <v>2.1022970435051618</v>
      </c>
      <c r="I169" s="9">
        <f>'1_Du_lieu'!T321</f>
        <v>1.5271061338763043</v>
      </c>
      <c r="J169" s="9">
        <f>'1_Du_lieu'!Y321</f>
        <v>10.249057564326076</v>
      </c>
      <c r="K169" s="9">
        <f>'1_Du_lieu'!O321</f>
        <v>29.1</v>
      </c>
      <c r="L169" s="5">
        <f t="shared" si="10"/>
        <v>0</v>
      </c>
      <c r="M169" s="5">
        <f t="shared" si="11"/>
        <v>0</v>
      </c>
      <c r="N169" s="5">
        <f t="shared" si="12"/>
        <v>1</v>
      </c>
      <c r="O169" s="5">
        <f t="shared" si="13"/>
        <v>0</v>
      </c>
      <c r="P169" s="5">
        <f t="shared" si="14"/>
        <v>0</v>
      </c>
      <c r="AA169" s="5">
        <f>'1_Du_lieu'!D321</f>
        <v>1</v>
      </c>
    </row>
    <row r="170" spans="1:27" x14ac:dyDescent="0.25">
      <c r="A170" t="s">
        <v>89</v>
      </c>
      <c r="B170">
        <v>2022</v>
      </c>
      <c r="C170" s="7">
        <f>'1_Du_lieu'!V322</f>
        <v>3.5945687746426951</v>
      </c>
      <c r="D170" s="9">
        <f>'1_Du_lieu'!W322</f>
        <v>5.0968129903373081</v>
      </c>
      <c r="E170" s="9">
        <f>'1_Du_lieu'!L322</f>
        <v>14.743</v>
      </c>
      <c r="F170" s="9">
        <f>'1_Du_lieu'!M322</f>
        <v>84.23</v>
      </c>
      <c r="G170" s="9">
        <f>'1_Du_lieu'!N322</f>
        <v>21.1</v>
      </c>
      <c r="H170" s="9">
        <f>'1_Du_lieu'!X322</f>
        <v>3.242947697575</v>
      </c>
      <c r="I170" s="9">
        <f>'1_Du_lieu'!T322</f>
        <v>0.61525098621113972</v>
      </c>
      <c r="J170" s="9">
        <f>'1_Du_lieu'!Y322</f>
        <v>9.5710521568971654</v>
      </c>
      <c r="K170" s="9">
        <f>'1_Du_lieu'!O322</f>
        <v>22</v>
      </c>
      <c r="L170" s="5">
        <f t="shared" si="10"/>
        <v>0</v>
      </c>
      <c r="M170" s="5">
        <f t="shared" si="11"/>
        <v>0</v>
      </c>
      <c r="N170" s="5">
        <f t="shared" si="12"/>
        <v>1</v>
      </c>
      <c r="O170" s="5">
        <f t="shared" si="13"/>
        <v>0</v>
      </c>
      <c r="P170" s="5">
        <f t="shared" si="14"/>
        <v>0</v>
      </c>
      <c r="AA170" s="5">
        <f>'1_Du_lieu'!D322</f>
        <v>1</v>
      </c>
    </row>
    <row r="171" spans="1:27" x14ac:dyDescent="0.25">
      <c r="A171" t="s">
        <v>90</v>
      </c>
      <c r="B171">
        <v>2022</v>
      </c>
      <c r="C171" s="7">
        <f>'1_Du_lieu'!V323</f>
        <v>2.5802168295923251</v>
      </c>
      <c r="D171" s="9">
        <f>'1_Du_lieu'!W323</f>
        <v>4.4704952826614894</v>
      </c>
      <c r="E171" s="9">
        <f>'1_Du_lieu'!L323</f>
        <v>6.3929999999999998</v>
      </c>
      <c r="F171" s="9">
        <f>'1_Du_lieu'!M323</f>
        <v>29.38</v>
      </c>
      <c r="G171" s="9">
        <f>'1_Du_lieu'!N323</f>
        <v>20.100000000000001</v>
      </c>
      <c r="H171" s="9">
        <f>'1_Du_lieu'!X323</f>
        <v>0.96674091458842459</v>
      </c>
      <c r="I171" s="9">
        <f>'1_Du_lieu'!T323</f>
        <v>0.8698173383589447</v>
      </c>
      <c r="J171" s="9">
        <f>'1_Du_lieu'!Y323</f>
        <v>8.2579560324537891</v>
      </c>
      <c r="K171" s="9">
        <f>'1_Du_lieu'!O323</f>
        <v>25.7</v>
      </c>
      <c r="L171" s="5">
        <f t="shared" si="10"/>
        <v>0</v>
      </c>
      <c r="M171" s="5">
        <f t="shared" si="11"/>
        <v>0</v>
      </c>
      <c r="N171" s="5">
        <f t="shared" si="12"/>
        <v>1</v>
      </c>
      <c r="O171" s="5">
        <f t="shared" si="13"/>
        <v>0</v>
      </c>
      <c r="P171" s="5">
        <f t="shared" si="14"/>
        <v>0</v>
      </c>
      <c r="AA171" s="5">
        <f>'1_Du_lieu'!D323</f>
        <v>1</v>
      </c>
    </row>
    <row r="172" spans="1:27" x14ac:dyDescent="0.25">
      <c r="A172" t="s">
        <v>91</v>
      </c>
      <c r="B172">
        <v>2022</v>
      </c>
      <c r="C172" s="7">
        <f>'1_Du_lieu'!V324</f>
        <v>2.7278528283983898</v>
      </c>
      <c r="D172" s="9">
        <f>'1_Du_lieu'!W324</f>
        <v>4.3944491546724391</v>
      </c>
      <c r="E172" s="9">
        <f>'1_Du_lieu'!L324</f>
        <v>4.6399999999999997</v>
      </c>
      <c r="F172" s="9">
        <f>'1_Du_lieu'!M324</f>
        <v>38.6</v>
      </c>
      <c r="G172" s="9">
        <f>'1_Du_lieu'!N324</f>
        <v>18.5</v>
      </c>
      <c r="H172" s="9">
        <f>'1_Du_lieu'!X324</f>
        <v>1.4568620109471089</v>
      </c>
      <c r="I172" s="9">
        <f>'1_Du_lieu'!T324</f>
        <v>0.31946330165322262</v>
      </c>
      <c r="J172" s="9">
        <f>'1_Du_lieu'!Y324</f>
        <v>8.0284225584310782</v>
      </c>
      <c r="K172" s="9">
        <f>'1_Du_lieu'!O324</f>
        <v>17.7</v>
      </c>
      <c r="L172" s="5">
        <f t="shared" si="10"/>
        <v>0</v>
      </c>
      <c r="M172" s="5">
        <f t="shared" si="11"/>
        <v>0</v>
      </c>
      <c r="N172" s="5">
        <f t="shared" si="12"/>
        <v>1</v>
      </c>
      <c r="O172" s="5">
        <f t="shared" si="13"/>
        <v>0</v>
      </c>
      <c r="P172" s="5">
        <f t="shared" si="14"/>
        <v>0</v>
      </c>
      <c r="AA172" s="5">
        <f>'1_Du_lieu'!D324</f>
        <v>0</v>
      </c>
    </row>
    <row r="173" spans="1:27" x14ac:dyDescent="0.25">
      <c r="A173" t="s">
        <v>93</v>
      </c>
      <c r="B173">
        <v>2022</v>
      </c>
      <c r="C173" s="7">
        <f>'1_Du_lieu'!V325</f>
        <v>2.9496883350525844</v>
      </c>
      <c r="D173" s="9">
        <f>'1_Du_lieu'!W325</f>
        <v>4.2724907476055751</v>
      </c>
      <c r="E173" s="9">
        <f>'1_Du_lieu'!L325</f>
        <v>5.149</v>
      </c>
      <c r="F173" s="9">
        <f>'1_Du_lieu'!M325</f>
        <v>41.19</v>
      </c>
      <c r="G173" s="9">
        <f>'1_Du_lieu'!N325</f>
        <v>25</v>
      </c>
      <c r="H173" s="9">
        <f>'1_Du_lieu'!X325</f>
        <v>3.0194499686958518</v>
      </c>
      <c r="I173" s="9">
        <f>'1_Du_lieu'!T325</f>
        <v>0.79771322209665629</v>
      </c>
      <c r="J173" s="9">
        <f>'1_Du_lieu'!Y325</f>
        <v>6.6876072366477262</v>
      </c>
      <c r="K173" s="9">
        <f>'1_Du_lieu'!O325</f>
        <v>22.8</v>
      </c>
      <c r="L173" s="5">
        <f t="shared" si="10"/>
        <v>0</v>
      </c>
      <c r="M173" s="5">
        <f t="shared" si="11"/>
        <v>0</v>
      </c>
      <c r="N173" s="5">
        <f t="shared" si="12"/>
        <v>1</v>
      </c>
      <c r="O173" s="5">
        <f t="shared" si="13"/>
        <v>0</v>
      </c>
      <c r="P173" s="5">
        <f t="shared" si="14"/>
        <v>0</v>
      </c>
      <c r="AA173" s="5">
        <f>'1_Du_lieu'!D325</f>
        <v>0</v>
      </c>
    </row>
    <row r="174" spans="1:27" x14ac:dyDescent="0.25">
      <c r="A174" t="s">
        <v>95</v>
      </c>
      <c r="B174">
        <v>2022</v>
      </c>
      <c r="C174" s="7">
        <f>'1_Du_lieu'!V327</f>
        <v>2.8449093838194073</v>
      </c>
      <c r="D174" s="9">
        <f>'1_Du_lieu'!W327</f>
        <v>4.4343818650078095</v>
      </c>
      <c r="E174" s="9">
        <f>'1_Du_lieu'!L327</f>
        <v>4.1779999999999999</v>
      </c>
      <c r="F174" s="9">
        <f>'1_Du_lieu'!M327</f>
        <v>19.579999999999998</v>
      </c>
      <c r="G174" s="9">
        <f>'1_Du_lieu'!N327</f>
        <v>32</v>
      </c>
      <c r="H174" s="9">
        <f>'1_Du_lieu'!X327</f>
        <v>2.8277262890959798</v>
      </c>
      <c r="I174" s="9">
        <f>'1_Du_lieu'!T327</f>
        <v>0.47596382674916704</v>
      </c>
      <c r="J174" s="9">
        <f>'1_Du_lieu'!Y327</f>
        <v>8.5124620170403364</v>
      </c>
      <c r="K174" s="9">
        <f>'1_Du_lieu'!O327</f>
        <v>19.8</v>
      </c>
      <c r="L174" s="5">
        <f t="shared" si="10"/>
        <v>0</v>
      </c>
      <c r="M174" s="5">
        <f t="shared" si="11"/>
        <v>0</v>
      </c>
      <c r="N174" s="5">
        <f t="shared" si="12"/>
        <v>1</v>
      </c>
      <c r="O174" s="5">
        <f t="shared" si="13"/>
        <v>0</v>
      </c>
      <c r="P174" s="5">
        <f t="shared" si="14"/>
        <v>0</v>
      </c>
      <c r="AA174" s="5">
        <f>'1_Du_lieu'!D327</f>
        <v>0</v>
      </c>
    </row>
    <row r="175" spans="1:27" x14ac:dyDescent="0.25">
      <c r="A175" t="s">
        <v>97</v>
      </c>
      <c r="B175">
        <v>2022</v>
      </c>
      <c r="C175" s="7">
        <f>'1_Du_lieu'!V328</f>
        <v>2.388762789235098</v>
      </c>
      <c r="D175" s="9">
        <f>'1_Du_lieu'!W328</f>
        <v>3.8501476017100584</v>
      </c>
      <c r="E175" s="9">
        <f>'1_Du_lieu'!L328</f>
        <v>2.1819999999999999</v>
      </c>
      <c r="F175" s="9">
        <f>'1_Du_lieu'!M328</f>
        <v>22.69</v>
      </c>
      <c r="G175" s="9">
        <f>'1_Du_lieu'!N328</f>
        <v>27.6</v>
      </c>
      <c r="H175" s="9">
        <f>'1_Du_lieu'!X328</f>
        <v>1.8907805744012527</v>
      </c>
      <c r="I175" s="9">
        <f>'1_Du_lieu'!T328</f>
        <v>0.92478421701602964</v>
      </c>
      <c r="J175" s="9">
        <f>'1_Du_lieu'!Y328</f>
        <v>3.2347491740244907</v>
      </c>
      <c r="K175" s="9">
        <f>'1_Du_lieu'!O328</f>
        <v>17.100000000000001</v>
      </c>
      <c r="L175" s="5">
        <f t="shared" si="10"/>
        <v>0</v>
      </c>
      <c r="M175" s="5">
        <f t="shared" si="11"/>
        <v>0</v>
      </c>
      <c r="N175" s="5">
        <f t="shared" si="12"/>
        <v>1</v>
      </c>
      <c r="O175" s="5">
        <f t="shared" si="13"/>
        <v>0</v>
      </c>
      <c r="P175" s="5">
        <f t="shared" si="14"/>
        <v>0</v>
      </c>
      <c r="AA175" s="5">
        <f>'1_Du_lieu'!D328</f>
        <v>0</v>
      </c>
    </row>
    <row r="176" spans="1:27" x14ac:dyDescent="0.25">
      <c r="A176" t="s">
        <v>98</v>
      </c>
      <c r="B176">
        <v>2022</v>
      </c>
      <c r="C176" s="7">
        <f>'1_Du_lieu'!V329</f>
        <v>3.2809112157876537</v>
      </c>
      <c r="D176" s="9">
        <f>'1_Du_lieu'!W329</f>
        <v>5.1161957897567483</v>
      </c>
      <c r="E176" s="9">
        <f>'1_Du_lieu'!L329</f>
        <v>10.007</v>
      </c>
      <c r="F176" s="9">
        <f>'1_Du_lieu'!M329</f>
        <v>37.26</v>
      </c>
      <c r="G176" s="9">
        <f>'1_Du_lieu'!N329</f>
        <v>34.4</v>
      </c>
      <c r="H176" s="9">
        <f>'1_Du_lieu'!X329</f>
        <v>2.7160096608008284</v>
      </c>
      <c r="I176" s="9">
        <f>'1_Du_lieu'!T329</f>
        <v>1.8813411274608616</v>
      </c>
      <c r="J176" s="9">
        <f>'1_Du_lieu'!Y329</f>
        <v>9.6593820772008918</v>
      </c>
      <c r="K176" s="9">
        <f>'1_Du_lieu'!O329</f>
        <v>30.8</v>
      </c>
      <c r="L176" s="5">
        <f t="shared" si="10"/>
        <v>0</v>
      </c>
      <c r="M176" s="5">
        <f t="shared" si="11"/>
        <v>0</v>
      </c>
      <c r="N176" s="5">
        <f t="shared" si="12"/>
        <v>1</v>
      </c>
      <c r="O176" s="5">
        <f t="shared" si="13"/>
        <v>0</v>
      </c>
      <c r="P176" s="5">
        <f t="shared" si="14"/>
        <v>0</v>
      </c>
      <c r="AA176" s="5">
        <f>'1_Du_lieu'!D329</f>
        <v>1</v>
      </c>
    </row>
    <row r="177" spans="1:27" x14ac:dyDescent="0.25">
      <c r="A177" t="s">
        <v>100</v>
      </c>
      <c r="B177">
        <v>2022</v>
      </c>
      <c r="C177" s="7">
        <f>'1_Du_lieu'!V330</f>
        <v>2.8678989020441064</v>
      </c>
      <c r="D177" s="9">
        <f>'1_Du_lieu'!W330</f>
        <v>3.8794998137225858</v>
      </c>
      <c r="E177" s="9">
        <f>'1_Du_lieu'!L330</f>
        <v>2.7519999999999998</v>
      </c>
      <c r="F177" s="9">
        <f>'1_Du_lieu'!M330</f>
        <v>10.25</v>
      </c>
      <c r="G177" s="9">
        <f>'1_Du_lieu'!N330</f>
        <v>11.9</v>
      </c>
      <c r="H177" s="9">
        <f>'1_Du_lieu'!X330</f>
        <v>1.262205371411063</v>
      </c>
      <c r="I177" s="9">
        <f>'1_Du_lieu'!T330</f>
        <v>0.46224961479198773</v>
      </c>
      <c r="J177" s="9">
        <f>'1_Du_lieu'!Y330</f>
        <v>7.1083259694439551</v>
      </c>
      <c r="K177" s="9">
        <f>'1_Du_lieu'!O330</f>
        <v>16.399999999999999</v>
      </c>
      <c r="L177" s="5">
        <f t="shared" si="10"/>
        <v>0</v>
      </c>
      <c r="M177" s="5">
        <f t="shared" si="11"/>
        <v>0</v>
      </c>
      <c r="N177" s="5">
        <f t="shared" si="12"/>
        <v>1</v>
      </c>
      <c r="O177" s="5">
        <f t="shared" si="13"/>
        <v>0</v>
      </c>
      <c r="P177" s="5">
        <f t="shared" si="14"/>
        <v>0</v>
      </c>
      <c r="AA177" s="5">
        <f>'1_Du_lieu'!D330</f>
        <v>0</v>
      </c>
    </row>
    <row r="178" spans="1:27" x14ac:dyDescent="0.25">
      <c r="A178" t="s">
        <v>102</v>
      </c>
      <c r="B178">
        <v>2022</v>
      </c>
      <c r="C178" s="7">
        <f>'1_Du_lieu'!V332</f>
        <v>2.5095992623783721</v>
      </c>
      <c r="D178" s="9">
        <f>'1_Du_lieu'!W332</f>
        <v>4.0842942263685993</v>
      </c>
      <c r="E178" s="9">
        <f>'1_Du_lieu'!L332</f>
        <v>3.1819999999999999</v>
      </c>
      <c r="F178" s="9">
        <f>'1_Du_lieu'!M332</f>
        <v>22.84</v>
      </c>
      <c r="G178" s="9">
        <f>'1_Du_lieu'!N332</f>
        <v>14.3</v>
      </c>
      <c r="H178" s="9">
        <f>'1_Du_lieu'!X332</f>
        <v>-0.41115366539591419</v>
      </c>
      <c r="I178" s="9">
        <f>'1_Du_lieu'!T332</f>
        <v>0.57966213978138459</v>
      </c>
      <c r="J178" s="9">
        <f>'1_Du_lieu'!Y332</f>
        <v>4.8528112089026889</v>
      </c>
      <c r="K178" s="9">
        <f>'1_Du_lieu'!O332</f>
        <v>16.5</v>
      </c>
      <c r="L178" s="5">
        <f t="shared" si="10"/>
        <v>0</v>
      </c>
      <c r="M178" s="5">
        <f t="shared" si="11"/>
        <v>0</v>
      </c>
      <c r="N178" s="5">
        <f t="shared" si="12"/>
        <v>1</v>
      </c>
      <c r="O178" s="5">
        <f t="shared" si="13"/>
        <v>0</v>
      </c>
      <c r="P178" s="5">
        <f t="shared" si="14"/>
        <v>0</v>
      </c>
      <c r="AA178" s="5">
        <f>'1_Du_lieu'!D332</f>
        <v>0</v>
      </c>
    </row>
    <row r="179" spans="1:27" x14ac:dyDescent="0.25">
      <c r="A179" t="s">
        <v>103</v>
      </c>
      <c r="B179">
        <v>2022</v>
      </c>
      <c r="C179" s="7">
        <f>'1_Du_lieu'!V333</f>
        <v>3.2884018875168111</v>
      </c>
      <c r="D179" s="9">
        <f>'1_Du_lieu'!W333</f>
        <v>4.4624538837864964</v>
      </c>
      <c r="E179" s="9">
        <f>'1_Du_lieu'!L333</f>
        <v>8.0329999999999995</v>
      </c>
      <c r="F179" s="9">
        <f>'1_Du_lieu'!M333</f>
        <v>70.5</v>
      </c>
      <c r="G179" s="9">
        <f>'1_Du_lieu'!N333</f>
        <v>22.9</v>
      </c>
      <c r="H179" s="9">
        <f>'1_Du_lieu'!X333</f>
        <v>0.87762244934979738</v>
      </c>
      <c r="I179" s="9">
        <f>'1_Du_lieu'!T333</f>
        <v>1.3575021959594347</v>
      </c>
      <c r="J179" s="9">
        <f>'1_Du_lieu'!Y333</f>
        <v>7.501579238247297</v>
      </c>
      <c r="K179" s="9">
        <f>'1_Du_lieu'!O333</f>
        <v>28.4</v>
      </c>
      <c r="L179" s="5">
        <f t="shared" si="10"/>
        <v>0</v>
      </c>
      <c r="M179" s="5">
        <f t="shared" si="11"/>
        <v>0</v>
      </c>
      <c r="N179" s="5">
        <f t="shared" si="12"/>
        <v>1</v>
      </c>
      <c r="O179" s="5">
        <f t="shared" si="13"/>
        <v>0</v>
      </c>
      <c r="P179" s="5">
        <f t="shared" si="14"/>
        <v>0</v>
      </c>
      <c r="AA179" s="5">
        <f>'1_Du_lieu'!D333</f>
        <v>0</v>
      </c>
    </row>
    <row r="180" spans="1:27" x14ac:dyDescent="0.25">
      <c r="A180" t="s">
        <v>104</v>
      </c>
      <c r="B180">
        <v>2022</v>
      </c>
      <c r="C180" s="7">
        <f>'1_Du_lieu'!V334</f>
        <v>2.631888840136646</v>
      </c>
      <c r="D180" s="9">
        <f>'1_Du_lieu'!W334</f>
        <v>3.9908341858524357</v>
      </c>
      <c r="E180" s="9">
        <f>'1_Du_lieu'!L334</f>
        <v>3.2919999999999998</v>
      </c>
      <c r="F180" s="9">
        <f>'1_Du_lieu'!M334</f>
        <v>29.33</v>
      </c>
      <c r="G180" s="9">
        <f>'1_Du_lieu'!N334</f>
        <v>15.3</v>
      </c>
      <c r="H180" s="9">
        <f>'1_Du_lieu'!X334</f>
        <v>2.4487919397710241</v>
      </c>
      <c r="I180" s="9">
        <f>'1_Du_lieu'!T334</f>
        <v>1.1942174732872406</v>
      </c>
      <c r="J180" s="9">
        <f>'1_Du_lieu'!Y334</f>
        <v>4.0758410906575406</v>
      </c>
      <c r="K180" s="9">
        <f>'1_Du_lieu'!O334</f>
        <v>17</v>
      </c>
      <c r="L180" s="5">
        <f t="shared" si="10"/>
        <v>0</v>
      </c>
      <c r="M180" s="5">
        <f t="shared" si="11"/>
        <v>0</v>
      </c>
      <c r="N180" s="5">
        <f t="shared" si="12"/>
        <v>1</v>
      </c>
      <c r="O180" s="5">
        <f t="shared" si="13"/>
        <v>0</v>
      </c>
      <c r="P180" s="5">
        <f t="shared" si="14"/>
        <v>0</v>
      </c>
      <c r="AA180" s="5">
        <f>'1_Du_lieu'!D334</f>
        <v>0</v>
      </c>
    </row>
    <row r="181" spans="1:27" x14ac:dyDescent="0.25">
      <c r="A181" t="s">
        <v>107</v>
      </c>
      <c r="B181">
        <v>2022</v>
      </c>
      <c r="C181" s="7">
        <f>'1_Du_lieu'!V336</f>
        <v>2.8903717578961645</v>
      </c>
      <c r="D181" s="9">
        <f>'1_Du_lieu'!W336</f>
        <v>4.467056883858457</v>
      </c>
      <c r="E181" s="9">
        <f>'1_Du_lieu'!L336</f>
        <v>5.8630000000000004</v>
      </c>
      <c r="F181" s="9">
        <f>'1_Du_lieu'!M336</f>
        <v>28.02</v>
      </c>
      <c r="G181" s="9">
        <f>'1_Du_lieu'!N336</f>
        <v>27.6</v>
      </c>
      <c r="H181" s="9">
        <f>'1_Du_lieu'!X336</f>
        <v>2.8926909988317222</v>
      </c>
      <c r="I181" s="9">
        <f>'1_Du_lieu'!T336</f>
        <v>1.2527047033367498</v>
      </c>
      <c r="J181" s="9">
        <f>'1_Du_lieu'!Y336</f>
        <v>8.7140913251622045</v>
      </c>
      <c r="K181" s="9">
        <f>'1_Du_lieu'!O336</f>
        <v>18.5</v>
      </c>
      <c r="L181" s="5">
        <f t="shared" si="10"/>
        <v>0</v>
      </c>
      <c r="M181" s="5">
        <f t="shared" si="11"/>
        <v>0</v>
      </c>
      <c r="N181" s="5">
        <f t="shared" si="12"/>
        <v>1</v>
      </c>
      <c r="O181" s="5">
        <f t="shared" si="13"/>
        <v>0</v>
      </c>
      <c r="P181" s="5">
        <f t="shared" si="14"/>
        <v>0</v>
      </c>
      <c r="AA181" s="5">
        <f>'1_Du_lieu'!D336</f>
        <v>1</v>
      </c>
    </row>
    <row r="182" spans="1:27" x14ac:dyDescent="0.25">
      <c r="A182" t="s">
        <v>108</v>
      </c>
      <c r="B182">
        <v>2022</v>
      </c>
      <c r="C182" s="7">
        <f>'1_Du_lieu'!V337</f>
        <v>4.4531838289902099</v>
      </c>
      <c r="D182" s="9">
        <f>'1_Du_lieu'!W337</f>
        <v>4.9494688588587685</v>
      </c>
      <c r="E182" s="9">
        <f>'1_Du_lieu'!L337</f>
        <v>22.169</v>
      </c>
      <c r="F182" s="9">
        <f>'1_Du_lieu'!M337</f>
        <v>49.06</v>
      </c>
      <c r="G182" s="9">
        <f>'1_Du_lieu'!N337</f>
        <v>50.3</v>
      </c>
      <c r="H182" s="9">
        <f>'1_Du_lieu'!X337</f>
        <v>3.0496484336472913</v>
      </c>
      <c r="I182" s="9">
        <f>'1_Du_lieu'!T337</f>
        <v>1.9204096873999785</v>
      </c>
      <c r="J182" s="9">
        <f>'1_Du_lieu'!Y337</f>
        <v>8.4351802106955578</v>
      </c>
      <c r="K182" s="9">
        <f>'1_Du_lieu'!O337</f>
        <v>55</v>
      </c>
      <c r="L182" s="5">
        <f t="shared" si="10"/>
        <v>0</v>
      </c>
      <c r="M182" s="5">
        <f t="shared" si="11"/>
        <v>0</v>
      </c>
      <c r="N182" s="5">
        <f t="shared" si="12"/>
        <v>1</v>
      </c>
      <c r="O182" s="5">
        <f t="shared" si="13"/>
        <v>0</v>
      </c>
      <c r="P182" s="5">
        <f t="shared" si="14"/>
        <v>0</v>
      </c>
      <c r="AA182" s="5">
        <f>'1_Du_lieu'!D337</f>
        <v>1</v>
      </c>
    </row>
    <row r="183" spans="1:27" x14ac:dyDescent="0.25">
      <c r="A183" t="s">
        <v>109</v>
      </c>
      <c r="B183">
        <v>2022</v>
      </c>
      <c r="C183" s="7">
        <f>'1_Du_lieu'!V338</f>
        <v>2.6390573296152584</v>
      </c>
      <c r="D183" s="9">
        <f>'1_Du_lieu'!W338</f>
        <v>4.2752762647270011</v>
      </c>
      <c r="E183" s="9">
        <f>'1_Du_lieu'!L338</f>
        <v>4.218</v>
      </c>
      <c r="F183" s="9">
        <f>'1_Du_lieu'!M338</f>
        <v>22.3</v>
      </c>
      <c r="G183" s="9">
        <f>'1_Du_lieu'!N338</f>
        <v>30.8</v>
      </c>
      <c r="H183" s="9">
        <f>'1_Du_lieu'!X338</f>
        <v>3.3859009454391313</v>
      </c>
      <c r="I183" s="9">
        <f>'1_Du_lieu'!T338</f>
        <v>0.37956426022925682</v>
      </c>
      <c r="J183" s="9">
        <f>'1_Du_lieu'!Y338</f>
        <v>9.1183676167696159</v>
      </c>
      <c r="K183" s="9">
        <f>'1_Du_lieu'!O338</f>
        <v>19.8</v>
      </c>
      <c r="L183" s="5">
        <f t="shared" si="10"/>
        <v>0</v>
      </c>
      <c r="M183" s="5">
        <f t="shared" si="11"/>
        <v>0</v>
      </c>
      <c r="N183" s="5">
        <f t="shared" si="12"/>
        <v>1</v>
      </c>
      <c r="O183" s="5">
        <f t="shared" si="13"/>
        <v>0</v>
      </c>
      <c r="P183" s="5">
        <f t="shared" si="14"/>
        <v>0</v>
      </c>
      <c r="AA183" s="5">
        <f>'1_Du_lieu'!D338</f>
        <v>0</v>
      </c>
    </row>
    <row r="184" spans="1:27" x14ac:dyDescent="0.25">
      <c r="A184" t="s">
        <v>110</v>
      </c>
      <c r="B184">
        <v>2022</v>
      </c>
      <c r="C184" s="7">
        <f>'1_Du_lieu'!V339</f>
        <v>2.3702437414678603</v>
      </c>
      <c r="D184" s="9">
        <f>'1_Du_lieu'!W339</f>
        <v>4.2076732475291037</v>
      </c>
      <c r="E184" s="9">
        <f>'1_Du_lieu'!L339</f>
        <v>3.3039999999999998</v>
      </c>
      <c r="F184" s="9">
        <f>'1_Du_lieu'!M339</f>
        <v>25.43</v>
      </c>
      <c r="G184" s="9">
        <f>'1_Du_lieu'!N339</f>
        <v>23.8</v>
      </c>
      <c r="H184" s="9">
        <f>'1_Du_lieu'!X339</f>
        <v>2.2653099386064244</v>
      </c>
      <c r="I184" s="9">
        <f>'1_Du_lieu'!T339</f>
        <v>1.1423349326022392</v>
      </c>
      <c r="J184" s="9">
        <f>'1_Du_lieu'!Y339</f>
        <v>6.713684975153634</v>
      </c>
      <c r="K184" s="9">
        <f>'1_Du_lieu'!O339</f>
        <v>24.7</v>
      </c>
      <c r="L184" s="5">
        <f t="shared" si="10"/>
        <v>0</v>
      </c>
      <c r="M184" s="5">
        <f t="shared" si="11"/>
        <v>0</v>
      </c>
      <c r="N184" s="5">
        <f t="shared" si="12"/>
        <v>1</v>
      </c>
      <c r="O184" s="5">
        <f t="shared" si="13"/>
        <v>0</v>
      </c>
      <c r="P184" s="5">
        <f t="shared" si="14"/>
        <v>0</v>
      </c>
      <c r="AA184" s="5">
        <f>'1_Du_lieu'!D339</f>
        <v>0</v>
      </c>
    </row>
    <row r="185" spans="1:27" x14ac:dyDescent="0.25">
      <c r="A185" t="s">
        <v>111</v>
      </c>
      <c r="B185">
        <v>2022</v>
      </c>
      <c r="C185" s="7">
        <f>'1_Du_lieu'!V340</f>
        <v>3.1527360223636558</v>
      </c>
      <c r="D185" s="9">
        <f>'1_Du_lieu'!W340</f>
        <v>4.6298627985784631</v>
      </c>
      <c r="E185" s="9">
        <f>'1_Du_lieu'!L340</f>
        <v>6.9470000000000001</v>
      </c>
      <c r="F185" s="9">
        <f>'1_Du_lieu'!M340</f>
        <v>16.84</v>
      </c>
      <c r="G185" s="9">
        <f>'1_Du_lieu'!N340</f>
        <v>28.1</v>
      </c>
      <c r="H185" s="9">
        <f>'1_Du_lieu'!X340</f>
        <v>3.282132441752116</v>
      </c>
      <c r="I185" s="9">
        <f>'1_Du_lieu'!T340</f>
        <v>1.8591680223100162</v>
      </c>
      <c r="J185" s="9">
        <f>'1_Du_lieu'!Y340</f>
        <v>8.5471402677841901</v>
      </c>
      <c r="K185" s="9">
        <f>'1_Du_lieu'!O340</f>
        <v>31.8</v>
      </c>
      <c r="L185" s="5">
        <f t="shared" si="10"/>
        <v>0</v>
      </c>
      <c r="M185" s="5">
        <f t="shared" si="11"/>
        <v>0</v>
      </c>
      <c r="N185" s="5">
        <f t="shared" si="12"/>
        <v>1</v>
      </c>
      <c r="O185" s="5">
        <f t="shared" si="13"/>
        <v>0</v>
      </c>
      <c r="P185" s="5">
        <f t="shared" si="14"/>
        <v>0</v>
      </c>
      <c r="AA185" s="5">
        <f>'1_Du_lieu'!D340</f>
        <v>1</v>
      </c>
    </row>
    <row r="186" spans="1:27" x14ac:dyDescent="0.25">
      <c r="A186" t="s">
        <v>112</v>
      </c>
      <c r="B186">
        <v>2022</v>
      </c>
      <c r="C186" s="7">
        <f>'1_Du_lieu'!V341</f>
        <v>3.1090609588609941</v>
      </c>
      <c r="D186" s="9">
        <f>'1_Du_lieu'!W341</f>
        <v>4.4739218993781371</v>
      </c>
      <c r="E186" s="9">
        <f>'1_Du_lieu'!L341</f>
        <v>5.4470000000000001</v>
      </c>
      <c r="F186" s="9">
        <f>'1_Du_lieu'!M341</f>
        <v>31.75</v>
      </c>
      <c r="G186" s="9">
        <f>'1_Du_lieu'!N341</f>
        <v>29.7</v>
      </c>
      <c r="H186" s="9">
        <f>'1_Du_lieu'!X341</f>
        <v>3.1732481091670777</v>
      </c>
      <c r="I186" s="9">
        <f>'1_Du_lieu'!T341</f>
        <v>0.5650297924799671</v>
      </c>
      <c r="J186" s="9">
        <f>'1_Du_lieu'!Y341</f>
        <v>8.4576554787000404</v>
      </c>
      <c r="K186" s="9">
        <f>'1_Du_lieu'!O341</f>
        <v>36.1</v>
      </c>
      <c r="L186" s="5">
        <f t="shared" si="10"/>
        <v>0</v>
      </c>
      <c r="M186" s="5">
        <f t="shared" si="11"/>
        <v>0</v>
      </c>
      <c r="N186" s="5">
        <f t="shared" si="12"/>
        <v>1</v>
      </c>
      <c r="O186" s="5">
        <f t="shared" si="13"/>
        <v>0</v>
      </c>
      <c r="P186" s="5">
        <f t="shared" si="14"/>
        <v>0</v>
      </c>
      <c r="AA186" s="5">
        <f>'1_Du_lieu'!D341</f>
        <v>1</v>
      </c>
    </row>
    <row r="187" spans="1:27" x14ac:dyDescent="0.25">
      <c r="A187" t="s">
        <v>113</v>
      </c>
      <c r="B187">
        <v>2022</v>
      </c>
      <c r="C187" s="7">
        <f>'1_Du_lieu'!V342</f>
        <v>3.4688560301359703</v>
      </c>
      <c r="D187" s="9">
        <f>'1_Du_lieu'!W342</f>
        <v>5.1451661870538619</v>
      </c>
      <c r="E187" s="9">
        <f>'1_Du_lieu'!L342</f>
        <v>9.9280000000000008</v>
      </c>
      <c r="F187" s="9">
        <f>'1_Du_lieu'!M342</f>
        <v>45.58</v>
      </c>
      <c r="G187" s="9">
        <f>'1_Du_lieu'!N342</f>
        <v>36.5</v>
      </c>
      <c r="H187" s="9">
        <f>'1_Du_lieu'!X342</f>
        <v>4.0692829679328932</v>
      </c>
      <c r="I187" s="9">
        <f>'1_Du_lieu'!T342</f>
        <v>1.7241379310344827</v>
      </c>
      <c r="J187" s="9">
        <f>'1_Du_lieu'!Y342</f>
        <v>9.4025297479684866</v>
      </c>
      <c r="K187" s="9">
        <f>'1_Du_lieu'!O342</f>
        <v>32.9</v>
      </c>
      <c r="L187" s="5">
        <f t="shared" si="10"/>
        <v>0</v>
      </c>
      <c r="M187" s="5">
        <f t="shared" si="11"/>
        <v>0</v>
      </c>
      <c r="N187" s="5">
        <f t="shared" si="12"/>
        <v>1</v>
      </c>
      <c r="O187" s="5">
        <f t="shared" si="13"/>
        <v>0</v>
      </c>
      <c r="P187" s="5">
        <f t="shared" si="14"/>
        <v>0</v>
      </c>
      <c r="AA187" s="5">
        <f>'1_Du_lieu'!D342</f>
        <v>1</v>
      </c>
    </row>
    <row r="188" spans="1:27" x14ac:dyDescent="0.25">
      <c r="A188" t="s">
        <v>114</v>
      </c>
      <c r="B188">
        <v>2022</v>
      </c>
      <c r="C188" s="7">
        <f>'1_Du_lieu'!V343</f>
        <v>2.4248027257182949</v>
      </c>
      <c r="D188" s="9">
        <f>'1_Du_lieu'!W343</f>
        <v>4.2150861799182291</v>
      </c>
      <c r="E188" s="9">
        <f>'1_Du_lieu'!L343</f>
        <v>3.4710000000000001</v>
      </c>
      <c r="F188" s="9">
        <f>'1_Du_lieu'!M343</f>
        <v>28.1</v>
      </c>
      <c r="G188" s="9">
        <f>'1_Du_lieu'!N343</f>
        <v>12.5</v>
      </c>
      <c r="H188" s="9">
        <f>'1_Du_lieu'!X343</f>
        <v>1.1417181707316584</v>
      </c>
      <c r="I188" s="9">
        <f>'1_Du_lieu'!T343</f>
        <v>0.68540095956134339</v>
      </c>
      <c r="J188" s="9">
        <f>'1_Du_lieu'!Y343</f>
        <v>6.8474743480972071</v>
      </c>
      <c r="K188" s="9">
        <f>'1_Du_lieu'!O343</f>
        <v>18.100000000000001</v>
      </c>
      <c r="L188" s="5">
        <f t="shared" si="10"/>
        <v>0</v>
      </c>
      <c r="M188" s="5">
        <f t="shared" si="11"/>
        <v>0</v>
      </c>
      <c r="N188" s="5">
        <f t="shared" si="12"/>
        <v>1</v>
      </c>
      <c r="O188" s="5">
        <f t="shared" si="13"/>
        <v>0</v>
      </c>
      <c r="P188" s="5">
        <f t="shared" si="14"/>
        <v>0</v>
      </c>
      <c r="AA188" s="5">
        <f>'1_Du_lieu'!D343</f>
        <v>0</v>
      </c>
    </row>
    <row r="189" spans="1:27" x14ac:dyDescent="0.25">
      <c r="A189" t="s">
        <v>115</v>
      </c>
      <c r="B189">
        <v>2022</v>
      </c>
      <c r="C189" s="7">
        <f>'1_Du_lieu'!V344</f>
        <v>3.1354942159291497</v>
      </c>
      <c r="D189" s="9">
        <f>'1_Du_lieu'!W344</f>
        <v>4.3463994570307305</v>
      </c>
      <c r="E189" s="9">
        <f>'1_Du_lieu'!L344</f>
        <v>8.93</v>
      </c>
      <c r="F189" s="9">
        <f>'1_Du_lieu'!M344</f>
        <v>42.36</v>
      </c>
      <c r="G189" s="9">
        <f>'1_Du_lieu'!N344</f>
        <v>25.3</v>
      </c>
      <c r="H189" s="9">
        <f>'1_Du_lieu'!X344</f>
        <v>2.9604727634774077</v>
      </c>
      <c r="I189" s="9">
        <f>'1_Du_lieu'!T344</f>
        <v>1.9936204146730463</v>
      </c>
      <c r="J189" s="9">
        <f>'1_Du_lieu'!Y344</f>
        <v>8.1622025425416034</v>
      </c>
      <c r="K189" s="9">
        <f>'1_Du_lieu'!O344</f>
        <v>32.200000000000003</v>
      </c>
      <c r="L189" s="5">
        <f t="shared" si="10"/>
        <v>0</v>
      </c>
      <c r="M189" s="5">
        <f t="shared" si="11"/>
        <v>0</v>
      </c>
      <c r="N189" s="5">
        <f t="shared" si="12"/>
        <v>1</v>
      </c>
      <c r="O189" s="5">
        <f t="shared" si="13"/>
        <v>0</v>
      </c>
      <c r="P189" s="5">
        <f t="shared" si="14"/>
        <v>0</v>
      </c>
      <c r="AA189" s="5">
        <f>'1_Du_lieu'!D344</f>
        <v>0</v>
      </c>
    </row>
    <row r="190" spans="1:27" x14ac:dyDescent="0.25">
      <c r="A190" t="s">
        <v>116</v>
      </c>
      <c r="B190">
        <v>2022</v>
      </c>
      <c r="C190" s="7">
        <f>'1_Du_lieu'!V345</f>
        <v>2.6461747973841225</v>
      </c>
      <c r="D190" s="9">
        <f>'1_Du_lieu'!W345</f>
        <v>4.1956970564823886</v>
      </c>
      <c r="E190" s="9">
        <f>'1_Du_lieu'!L345</f>
        <v>4.93</v>
      </c>
      <c r="F190" s="9">
        <f>'1_Du_lieu'!M345</f>
        <v>29.84</v>
      </c>
      <c r="G190" s="9">
        <f>'1_Du_lieu'!N345</f>
        <v>16</v>
      </c>
      <c r="H190" s="9">
        <f>'1_Du_lieu'!X345</f>
        <v>0.47072405696842362</v>
      </c>
      <c r="I190" s="9">
        <f>'1_Du_lieu'!T345</f>
        <v>5.4800776344331545</v>
      </c>
      <c r="J190" s="9">
        <f>'1_Du_lieu'!Y345</f>
        <v>7.9181918767465218</v>
      </c>
      <c r="K190" s="9">
        <f>'1_Du_lieu'!O345</f>
        <v>16.2</v>
      </c>
      <c r="L190" s="5">
        <f t="shared" si="10"/>
        <v>0</v>
      </c>
      <c r="M190" s="5">
        <f t="shared" si="11"/>
        <v>0</v>
      </c>
      <c r="N190" s="5">
        <f t="shared" si="12"/>
        <v>1</v>
      </c>
      <c r="O190" s="5">
        <f t="shared" si="13"/>
        <v>0</v>
      </c>
      <c r="P190" s="5">
        <f t="shared" si="14"/>
        <v>0</v>
      </c>
      <c r="AA190" s="5">
        <f>'1_Du_lieu'!D345</f>
        <v>0</v>
      </c>
    </row>
    <row r="191" spans="1:27" x14ac:dyDescent="0.25">
      <c r="A191" t="s">
        <v>117</v>
      </c>
      <c r="B191">
        <v>2022</v>
      </c>
      <c r="C191" s="7">
        <f>'1_Du_lieu'!V346</f>
        <v>2.3702437414678603</v>
      </c>
      <c r="D191" s="9">
        <f>'1_Du_lieu'!W346</f>
        <v>3.9740583963475986</v>
      </c>
      <c r="E191" s="9">
        <f>'1_Du_lieu'!L346</f>
        <v>3.5369999999999999</v>
      </c>
      <c r="F191" s="9">
        <f>'1_Du_lieu'!M346</f>
        <v>32.51</v>
      </c>
      <c r="G191" s="9">
        <f>'1_Du_lieu'!N346</f>
        <v>17.600000000000001</v>
      </c>
      <c r="H191" s="9">
        <f>'1_Du_lieu'!X346</f>
        <v>2.6196049476791372</v>
      </c>
      <c r="I191" s="9">
        <f>'1_Du_lieu'!T346</f>
        <v>0.86221762372822897</v>
      </c>
      <c r="J191" s="9">
        <f>'1_Du_lieu'!Y346</f>
        <v>6.0502050421305817</v>
      </c>
      <c r="K191" s="9">
        <f>'1_Du_lieu'!O346</f>
        <v>27</v>
      </c>
      <c r="L191" s="5">
        <f t="shared" si="10"/>
        <v>0</v>
      </c>
      <c r="M191" s="5">
        <f t="shared" si="11"/>
        <v>0</v>
      </c>
      <c r="N191" s="5">
        <f t="shared" si="12"/>
        <v>1</v>
      </c>
      <c r="O191" s="5">
        <f t="shared" si="13"/>
        <v>0</v>
      </c>
      <c r="P191" s="5">
        <f t="shared" si="14"/>
        <v>0</v>
      </c>
      <c r="AA191" s="5">
        <f>'1_Du_lieu'!D346</f>
        <v>0</v>
      </c>
    </row>
    <row r="192" spans="1:27" x14ac:dyDescent="0.25">
      <c r="A192" t="s">
        <v>119</v>
      </c>
      <c r="B192">
        <v>2022</v>
      </c>
      <c r="C192" s="7">
        <f>'1_Du_lieu'!V348</f>
        <v>3.0007198150650303</v>
      </c>
      <c r="D192" s="9">
        <f>'1_Du_lieu'!W348</f>
        <v>4.5031374604229395</v>
      </c>
      <c r="E192" s="9">
        <f>'1_Du_lieu'!L348</f>
        <v>6.6269999999999998</v>
      </c>
      <c r="F192" s="9">
        <f>'1_Du_lieu'!M348</f>
        <v>18.37</v>
      </c>
      <c r="G192" s="9">
        <f>'1_Du_lieu'!N348</f>
        <v>15.1</v>
      </c>
      <c r="H192" s="9">
        <f>'1_Du_lieu'!X348</f>
        <v>1.3168967570367087</v>
      </c>
      <c r="I192" s="9">
        <f>'1_Du_lieu'!T348</f>
        <v>0.46128120855676641</v>
      </c>
      <c r="J192" s="9">
        <f>'1_Du_lieu'!Y348</f>
        <v>8.9159558884647261</v>
      </c>
      <c r="K192" s="9">
        <f>'1_Du_lieu'!O348</f>
        <v>23.4</v>
      </c>
      <c r="L192" s="5">
        <f t="shared" si="10"/>
        <v>0</v>
      </c>
      <c r="M192" s="5">
        <f t="shared" si="11"/>
        <v>0</v>
      </c>
      <c r="N192" s="5">
        <f t="shared" si="12"/>
        <v>1</v>
      </c>
      <c r="O192" s="5">
        <f t="shared" si="13"/>
        <v>0</v>
      </c>
      <c r="P192" s="5">
        <f t="shared" si="14"/>
        <v>0</v>
      </c>
      <c r="AA192" s="5">
        <f>'1_Du_lieu'!D348</f>
        <v>0</v>
      </c>
    </row>
    <row r="193" spans="1:27" x14ac:dyDescent="0.25">
      <c r="A193" t="s">
        <v>120</v>
      </c>
      <c r="B193">
        <v>2022</v>
      </c>
      <c r="C193" s="7">
        <f>'1_Du_lieu'!V349</f>
        <v>2.5649493574615367</v>
      </c>
      <c r="D193" s="9">
        <f>'1_Du_lieu'!W349</f>
        <v>4.423648309364701</v>
      </c>
      <c r="E193" s="9">
        <f>'1_Du_lieu'!L349</f>
        <v>4.1920000000000002</v>
      </c>
      <c r="F193" s="9">
        <f>'1_Du_lieu'!M349</f>
        <v>26.8</v>
      </c>
      <c r="G193" s="9">
        <f>'1_Du_lieu'!N349</f>
        <v>22.7</v>
      </c>
      <c r="H193" s="9">
        <f>'1_Du_lieu'!X349</f>
        <v>2.2227910783318956</v>
      </c>
      <c r="I193" s="9">
        <f>'1_Du_lieu'!T349</f>
        <v>1.5572281339216196</v>
      </c>
      <c r="J193" s="9">
        <f>'1_Du_lieu'!Y349</f>
        <v>6.6293632534374485</v>
      </c>
      <c r="K193" s="9">
        <f>'1_Du_lieu'!O349</f>
        <v>17.899999999999999</v>
      </c>
      <c r="L193" s="5">
        <f t="shared" si="10"/>
        <v>0</v>
      </c>
      <c r="M193" s="5">
        <f t="shared" si="11"/>
        <v>0</v>
      </c>
      <c r="N193" s="5">
        <f t="shared" si="12"/>
        <v>1</v>
      </c>
      <c r="O193" s="5">
        <f t="shared" si="13"/>
        <v>0</v>
      </c>
      <c r="P193" s="5">
        <f t="shared" si="14"/>
        <v>0</v>
      </c>
      <c r="AA193" s="5">
        <f>'1_Du_lieu'!D349</f>
        <v>0</v>
      </c>
    </row>
    <row r="194" spans="1:27" x14ac:dyDescent="0.25">
      <c r="A194" t="s">
        <v>121</v>
      </c>
      <c r="B194">
        <v>2022</v>
      </c>
      <c r="C194" s="7">
        <f>'1_Du_lieu'!V350</f>
        <v>2.9755295662364718</v>
      </c>
      <c r="D194" s="9">
        <f>'1_Du_lieu'!W350</f>
        <v>4.3502779363593014</v>
      </c>
      <c r="E194" s="9">
        <f>'1_Du_lieu'!L350</f>
        <v>5.7679999999999998</v>
      </c>
      <c r="F194" s="9">
        <f>'1_Du_lieu'!M350</f>
        <v>39.29</v>
      </c>
      <c r="G194" s="9">
        <f>'1_Du_lieu'!N350</f>
        <v>21.8</v>
      </c>
      <c r="H194" s="9">
        <f>'1_Du_lieu'!X350</f>
        <v>2.8758452436893234</v>
      </c>
      <c r="I194" s="9">
        <f>'1_Du_lieu'!T350</f>
        <v>0.60037523452157604</v>
      </c>
      <c r="J194" s="9">
        <f>'1_Du_lieu'!Y350</f>
        <v>5.9584246930297819</v>
      </c>
      <c r="K194" s="9">
        <f>'1_Du_lieu'!O350</f>
        <v>35.4</v>
      </c>
      <c r="L194" s="5">
        <f t="shared" si="10"/>
        <v>0</v>
      </c>
      <c r="M194" s="5">
        <f t="shared" si="11"/>
        <v>0</v>
      </c>
      <c r="N194" s="5">
        <f t="shared" si="12"/>
        <v>1</v>
      </c>
      <c r="O194" s="5">
        <f t="shared" si="13"/>
        <v>0</v>
      </c>
      <c r="P194" s="5">
        <f t="shared" si="14"/>
        <v>0</v>
      </c>
      <c r="AA194" s="5">
        <f>'1_Du_lieu'!D350</f>
        <v>0</v>
      </c>
    </row>
    <row r="195" spans="1:27" x14ac:dyDescent="0.25">
      <c r="A195" t="s">
        <v>122</v>
      </c>
      <c r="B195">
        <v>2022</v>
      </c>
      <c r="C195" s="7">
        <f>'1_Du_lieu'!V351</f>
        <v>2.4423470353692043</v>
      </c>
      <c r="D195" s="9">
        <f>'1_Du_lieu'!W351</f>
        <v>3.9318256327243257</v>
      </c>
      <c r="E195" s="9">
        <f>'1_Du_lieu'!L351</f>
        <v>2.9260000000000002</v>
      </c>
      <c r="F195" s="9">
        <f>'1_Du_lieu'!M351</f>
        <v>23.18</v>
      </c>
      <c r="G195" s="9">
        <f>'1_Du_lieu'!N351</f>
        <v>28.5</v>
      </c>
      <c r="H195" s="9">
        <f>'1_Du_lieu'!X351</f>
        <v>2.0304323970467162</v>
      </c>
      <c r="I195" s="9">
        <f>'1_Du_lieu'!T351</f>
        <v>0.99738187258446576</v>
      </c>
      <c r="J195" s="9">
        <f>'1_Du_lieu'!Y351</f>
        <v>5.7061130899944832</v>
      </c>
      <c r="K195" s="9">
        <f>'1_Du_lieu'!O351</f>
        <v>12.6</v>
      </c>
      <c r="L195" s="5">
        <f t="shared" si="10"/>
        <v>0</v>
      </c>
      <c r="M195" s="5">
        <f t="shared" si="11"/>
        <v>0</v>
      </c>
      <c r="N195" s="5">
        <f t="shared" si="12"/>
        <v>1</v>
      </c>
      <c r="O195" s="5">
        <f t="shared" si="13"/>
        <v>0</v>
      </c>
      <c r="P195" s="5">
        <f t="shared" si="14"/>
        <v>0</v>
      </c>
      <c r="AA195" s="5">
        <f>'1_Du_lieu'!D351</f>
        <v>0</v>
      </c>
    </row>
    <row r="196" spans="1:27" x14ac:dyDescent="0.25">
      <c r="A196" t="s">
        <v>123</v>
      </c>
      <c r="B196">
        <v>2022</v>
      </c>
      <c r="C196" s="7">
        <f>'1_Du_lieu'!V352</f>
        <v>3.1904763503465028</v>
      </c>
      <c r="D196" s="9">
        <f>'1_Du_lieu'!W352</f>
        <v>3.8565102954978872</v>
      </c>
      <c r="E196" s="9">
        <f>'1_Du_lieu'!L352</f>
        <v>3.649</v>
      </c>
      <c r="F196" s="9">
        <f>'1_Du_lieu'!M352</f>
        <v>20.27</v>
      </c>
      <c r="G196" s="9">
        <f>'1_Du_lieu'!N352</f>
        <v>21.5</v>
      </c>
      <c r="H196" s="9">
        <f>'1_Du_lieu'!X352</f>
        <v>2.1293562822706686</v>
      </c>
      <c r="I196" s="9">
        <f>'1_Du_lieu'!T352</f>
        <v>1.2787042463636848</v>
      </c>
      <c r="J196" s="9">
        <f>'1_Du_lieu'!Y352</f>
        <v>7.59231569860476</v>
      </c>
      <c r="K196" s="9">
        <f>'1_Du_lieu'!O352</f>
        <v>17.3</v>
      </c>
      <c r="L196" s="5">
        <f t="shared" si="10"/>
        <v>0</v>
      </c>
      <c r="M196" s="5">
        <f t="shared" si="11"/>
        <v>0</v>
      </c>
      <c r="N196" s="5">
        <f t="shared" si="12"/>
        <v>1</v>
      </c>
      <c r="O196" s="5">
        <f t="shared" si="13"/>
        <v>0</v>
      </c>
      <c r="P196" s="5">
        <f t="shared" si="14"/>
        <v>0</v>
      </c>
      <c r="AA196" s="5">
        <f>'1_Du_lieu'!D352</f>
        <v>1</v>
      </c>
    </row>
    <row r="197" spans="1:27" x14ac:dyDescent="0.25">
      <c r="A197" t="s">
        <v>124</v>
      </c>
      <c r="B197">
        <v>2022</v>
      </c>
      <c r="C197" s="7">
        <f>'1_Du_lieu'!V353</f>
        <v>3.0587070727153796</v>
      </c>
      <c r="D197" s="9">
        <f>'1_Du_lieu'!W353</f>
        <v>3.9357395320454622</v>
      </c>
      <c r="E197" s="9">
        <f>'1_Du_lieu'!L353</f>
        <v>3.8460000000000001</v>
      </c>
      <c r="F197" s="9">
        <f>'1_Du_lieu'!M353</f>
        <v>15.51</v>
      </c>
      <c r="G197" s="9">
        <f>'1_Du_lieu'!N353</f>
        <v>25.3</v>
      </c>
      <c r="H197" s="9">
        <f>'1_Du_lieu'!X353</f>
        <v>3.77716274361469</v>
      </c>
      <c r="I197" s="9">
        <f>'1_Du_lieu'!T353</f>
        <v>3.1578947368421053</v>
      </c>
      <c r="J197" s="9">
        <f>'1_Du_lieu'!Y353</f>
        <v>6.6243307967829974</v>
      </c>
      <c r="K197" s="9">
        <f>'1_Du_lieu'!O353</f>
        <v>16.899999999999999</v>
      </c>
      <c r="L197" s="5">
        <f t="shared" si="10"/>
        <v>0</v>
      </c>
      <c r="M197" s="5">
        <f t="shared" si="11"/>
        <v>0</v>
      </c>
      <c r="N197" s="5">
        <f t="shared" si="12"/>
        <v>1</v>
      </c>
      <c r="O197" s="5">
        <f t="shared" si="13"/>
        <v>0</v>
      </c>
      <c r="P197" s="5">
        <f t="shared" si="14"/>
        <v>0</v>
      </c>
      <c r="AA197" s="5">
        <f>'1_Du_lieu'!D353</f>
        <v>0</v>
      </c>
    </row>
    <row r="198" spans="1:27" x14ac:dyDescent="0.25">
      <c r="A198" t="s">
        <v>125</v>
      </c>
      <c r="B198">
        <v>2022</v>
      </c>
      <c r="C198" s="7">
        <f>'1_Du_lieu'!V354</f>
        <v>2.884800712846709</v>
      </c>
      <c r="D198" s="9">
        <f>'1_Du_lieu'!W354</f>
        <v>4.3795235044557632</v>
      </c>
      <c r="E198" s="9">
        <f>'1_Du_lieu'!L354</f>
        <v>5.1070000000000002</v>
      </c>
      <c r="F198" s="9">
        <f>'1_Du_lieu'!M354</f>
        <v>21.61</v>
      </c>
      <c r="G198" s="9">
        <f>'1_Du_lieu'!N354</f>
        <v>31.8</v>
      </c>
      <c r="H198" s="9">
        <f>'1_Du_lieu'!X354</f>
        <v>3.6335609281497008</v>
      </c>
      <c r="I198" s="9">
        <f>'1_Du_lieu'!T354</f>
        <v>3.4626038781163437</v>
      </c>
      <c r="J198" s="9">
        <f>'1_Du_lieu'!Y354</f>
        <v>7.369411666740044</v>
      </c>
      <c r="K198" s="9">
        <f>'1_Du_lieu'!O354</f>
        <v>26.9</v>
      </c>
      <c r="L198" s="5">
        <f t="shared" ref="L198:L261" si="15">IF(B198=2020,1,0)</f>
        <v>0</v>
      </c>
      <c r="M198" s="5">
        <f t="shared" ref="M198:M261" si="16">IF(B198=2021,1,0)</f>
        <v>0</v>
      </c>
      <c r="N198" s="5">
        <f t="shared" ref="N198:N261" si="17">IF(B198=2022,1,0)</f>
        <v>1</v>
      </c>
      <c r="O198" s="5">
        <f t="shared" ref="O198:O261" si="18">IF(B198=2023,1,0)</f>
        <v>0</v>
      </c>
      <c r="P198" s="5">
        <f t="shared" ref="P198:P261" si="19">IF(B198=2024,1,0)</f>
        <v>0</v>
      </c>
      <c r="AA198" s="5">
        <f>'1_Du_lieu'!D354</f>
        <v>1</v>
      </c>
    </row>
    <row r="199" spans="1:27" x14ac:dyDescent="0.25">
      <c r="A199" t="s">
        <v>126</v>
      </c>
      <c r="B199">
        <v>2022</v>
      </c>
      <c r="C199" s="7">
        <f>'1_Du_lieu'!V355</f>
        <v>2.6100697927420065</v>
      </c>
      <c r="D199" s="9">
        <f>'1_Du_lieu'!W355</f>
        <v>4.3528552573736015</v>
      </c>
      <c r="E199" s="9">
        <f>'1_Du_lieu'!L355</f>
        <v>4.9790000000000001</v>
      </c>
      <c r="F199" s="9">
        <f>'1_Du_lieu'!M355</f>
        <v>35.46</v>
      </c>
      <c r="G199" s="9">
        <f>'1_Du_lieu'!N355</f>
        <v>17.7</v>
      </c>
      <c r="H199" s="9">
        <f>'1_Du_lieu'!X355</f>
        <v>2.4245795033472342</v>
      </c>
      <c r="I199" s="9">
        <f>'1_Du_lieu'!T355</f>
        <v>1.0021713713044931</v>
      </c>
      <c r="J199" s="9">
        <f>'1_Du_lieu'!Y355</f>
        <v>7.9721556229800576</v>
      </c>
      <c r="K199" s="9">
        <f>'1_Du_lieu'!O355</f>
        <v>21.3</v>
      </c>
      <c r="L199" s="5">
        <f t="shared" si="15"/>
        <v>0</v>
      </c>
      <c r="M199" s="5">
        <f t="shared" si="16"/>
        <v>0</v>
      </c>
      <c r="N199" s="5">
        <f t="shared" si="17"/>
        <v>1</v>
      </c>
      <c r="O199" s="5">
        <f t="shared" si="18"/>
        <v>0</v>
      </c>
      <c r="P199" s="5">
        <f t="shared" si="19"/>
        <v>0</v>
      </c>
      <c r="AA199" s="5">
        <f>'1_Du_lieu'!D355</f>
        <v>0</v>
      </c>
    </row>
    <row r="200" spans="1:27" x14ac:dyDescent="0.25">
      <c r="A200" t="s">
        <v>127</v>
      </c>
      <c r="B200">
        <v>2022</v>
      </c>
      <c r="C200" s="7">
        <f>'1_Du_lieu'!V356</f>
        <v>2.6461747973841225</v>
      </c>
      <c r="D200" s="9">
        <f>'1_Du_lieu'!W356</f>
        <v>4.0876555740713041</v>
      </c>
      <c r="E200" s="9">
        <f>'1_Du_lieu'!L356</f>
        <v>4.0229999999999997</v>
      </c>
      <c r="F200" s="9">
        <f>'1_Du_lieu'!M356</f>
        <v>19.350000000000001</v>
      </c>
      <c r="G200" s="9">
        <f>'1_Du_lieu'!N356</f>
        <v>33.200000000000003</v>
      </c>
      <c r="H200" s="9">
        <f>'1_Du_lieu'!X356</f>
        <v>3.0242620052652658</v>
      </c>
      <c r="I200" s="9">
        <f>'1_Du_lieu'!T356</f>
        <v>1.3184784758388819</v>
      </c>
      <c r="J200" s="9">
        <f>'1_Du_lieu'!Y356</f>
        <v>7.6338051792177906</v>
      </c>
      <c r="K200" s="9">
        <f>'1_Du_lieu'!O356</f>
        <v>23.8</v>
      </c>
      <c r="L200" s="5">
        <f t="shared" si="15"/>
        <v>0</v>
      </c>
      <c r="M200" s="5">
        <f t="shared" si="16"/>
        <v>0</v>
      </c>
      <c r="N200" s="5">
        <f t="shared" si="17"/>
        <v>1</v>
      </c>
      <c r="O200" s="5">
        <f t="shared" si="18"/>
        <v>0</v>
      </c>
      <c r="P200" s="5">
        <f t="shared" si="19"/>
        <v>0</v>
      </c>
      <c r="AA200" s="5">
        <f>'1_Du_lieu'!D356</f>
        <v>0</v>
      </c>
    </row>
    <row r="201" spans="1:27" x14ac:dyDescent="0.25">
      <c r="A201" t="s">
        <v>128</v>
      </c>
      <c r="B201">
        <v>2022</v>
      </c>
      <c r="C201" s="7">
        <f>'1_Du_lieu'!V357</f>
        <v>2.6390573296152584</v>
      </c>
      <c r="D201" s="9">
        <f>'1_Du_lieu'!W357</f>
        <v>4.0500443033255209</v>
      </c>
      <c r="E201" s="9">
        <f>'1_Du_lieu'!L357</f>
        <v>3.7690000000000001</v>
      </c>
      <c r="F201" s="9">
        <f>'1_Du_lieu'!M357</f>
        <v>32.71</v>
      </c>
      <c r="G201" s="9">
        <f>'1_Du_lieu'!N357</f>
        <v>21.7</v>
      </c>
      <c r="H201" s="9">
        <f>'1_Du_lieu'!X357</f>
        <v>2.5091280035892085</v>
      </c>
      <c r="I201" s="9">
        <f>'1_Du_lieu'!T357</f>
        <v>0.45630846452201684</v>
      </c>
      <c r="J201" s="9">
        <f>'1_Du_lieu'!Y357</f>
        <v>7.7502702911929058</v>
      </c>
      <c r="K201" s="9">
        <f>'1_Du_lieu'!O357</f>
        <v>20.7</v>
      </c>
      <c r="L201" s="5">
        <f t="shared" si="15"/>
        <v>0</v>
      </c>
      <c r="M201" s="5">
        <f t="shared" si="16"/>
        <v>0</v>
      </c>
      <c r="N201" s="5">
        <f t="shared" si="17"/>
        <v>1</v>
      </c>
      <c r="O201" s="5">
        <f t="shared" si="18"/>
        <v>0</v>
      </c>
      <c r="P201" s="5">
        <f t="shared" si="19"/>
        <v>0</v>
      </c>
      <c r="AA201" s="5">
        <f>'1_Du_lieu'!D357</f>
        <v>0</v>
      </c>
    </row>
    <row r="202" spans="1:27" x14ac:dyDescent="0.25">
      <c r="A202" t="s">
        <v>129</v>
      </c>
      <c r="B202">
        <v>2022</v>
      </c>
      <c r="C202" s="7">
        <f>'1_Du_lieu'!V358</f>
        <v>2.653241964607215</v>
      </c>
      <c r="D202" s="9">
        <f>'1_Du_lieu'!W358</f>
        <v>3.9945242269398897</v>
      </c>
      <c r="E202" s="9">
        <f>'1_Du_lieu'!L358</f>
        <v>5.5030000000000001</v>
      </c>
      <c r="F202" s="9">
        <f>'1_Du_lieu'!M358</f>
        <v>23.16</v>
      </c>
      <c r="G202" s="9">
        <f>'1_Du_lieu'!N358</f>
        <v>27</v>
      </c>
      <c r="H202" s="9">
        <f>'1_Du_lieu'!X358</f>
        <v>3.3856450372572775</v>
      </c>
      <c r="I202" s="9">
        <f>'1_Du_lieu'!T358</f>
        <v>0.87536929642192796</v>
      </c>
      <c r="J202" s="9">
        <f>'1_Du_lieu'!Y358</f>
        <v>7.1086532213490274</v>
      </c>
      <c r="K202" s="9">
        <f>'1_Du_lieu'!O358</f>
        <v>14.7</v>
      </c>
      <c r="L202" s="5">
        <f t="shared" si="15"/>
        <v>0</v>
      </c>
      <c r="M202" s="5">
        <f t="shared" si="16"/>
        <v>0</v>
      </c>
      <c r="N202" s="5">
        <f t="shared" si="17"/>
        <v>1</v>
      </c>
      <c r="O202" s="5">
        <f t="shared" si="18"/>
        <v>0</v>
      </c>
      <c r="P202" s="5">
        <f t="shared" si="19"/>
        <v>0</v>
      </c>
      <c r="AA202" s="5">
        <f>'1_Du_lieu'!D358</f>
        <v>0</v>
      </c>
    </row>
    <row r="203" spans="1:27" x14ac:dyDescent="0.25">
      <c r="A203" t="s">
        <v>130</v>
      </c>
      <c r="B203">
        <v>2022</v>
      </c>
      <c r="C203" s="7">
        <f>'1_Du_lieu'!V359</f>
        <v>2.7725887222397811</v>
      </c>
      <c r="D203" s="9">
        <f>'1_Du_lieu'!W359</f>
        <v>4.3656431554233572</v>
      </c>
      <c r="E203" s="9">
        <f>'1_Du_lieu'!L359</f>
        <v>5.4340000000000002</v>
      </c>
      <c r="F203" s="9">
        <f>'1_Du_lieu'!M359</f>
        <v>26.81</v>
      </c>
      <c r="G203" s="9">
        <f>'1_Du_lieu'!N359</f>
        <v>26.7</v>
      </c>
      <c r="H203" s="9">
        <f>'1_Du_lieu'!X359</f>
        <v>2.3764015542257981</v>
      </c>
      <c r="I203" s="9">
        <f>'1_Du_lieu'!T359</f>
        <v>0.13163090693694879</v>
      </c>
      <c r="J203" s="9">
        <f>'1_Du_lieu'!Y359</f>
        <v>8.3366540451843729</v>
      </c>
      <c r="K203" s="9">
        <f>'1_Du_lieu'!O359</f>
        <v>20.9</v>
      </c>
      <c r="L203" s="5">
        <f t="shared" si="15"/>
        <v>0</v>
      </c>
      <c r="M203" s="5">
        <f t="shared" si="16"/>
        <v>0</v>
      </c>
      <c r="N203" s="5">
        <f t="shared" si="17"/>
        <v>1</v>
      </c>
      <c r="O203" s="5">
        <f t="shared" si="18"/>
        <v>0</v>
      </c>
      <c r="P203" s="5">
        <f t="shared" si="19"/>
        <v>0</v>
      </c>
      <c r="AA203" s="5">
        <f>'1_Du_lieu'!D359</f>
        <v>0</v>
      </c>
    </row>
    <row r="204" spans="1:27" x14ac:dyDescent="0.25">
      <c r="A204" t="s">
        <v>131</v>
      </c>
      <c r="B204">
        <v>2022</v>
      </c>
      <c r="C204" s="7">
        <f>'1_Du_lieu'!V360</f>
        <v>2.6461747973841225</v>
      </c>
      <c r="D204" s="9">
        <f>'1_Du_lieu'!W360</f>
        <v>4.604169685654508</v>
      </c>
      <c r="E204" s="9">
        <f>'1_Du_lieu'!L360</f>
        <v>4.45</v>
      </c>
      <c r="F204" s="9">
        <f>'1_Du_lieu'!M360</f>
        <v>21.85</v>
      </c>
      <c r="G204" s="9">
        <f>'1_Du_lieu'!N360</f>
        <v>25.2</v>
      </c>
      <c r="H204" s="9">
        <f>'1_Du_lieu'!X360</f>
        <v>2.3807288593498392</v>
      </c>
      <c r="I204" s="9">
        <f>'1_Du_lieu'!T360</f>
        <v>0.80282594733461798</v>
      </c>
      <c r="J204" s="9">
        <f>'1_Du_lieu'!Y360</f>
        <v>7.4471100488621014</v>
      </c>
      <c r="K204" s="9">
        <f>'1_Du_lieu'!O360</f>
        <v>21.8</v>
      </c>
      <c r="L204" s="5">
        <f t="shared" si="15"/>
        <v>0</v>
      </c>
      <c r="M204" s="5">
        <f t="shared" si="16"/>
        <v>0</v>
      </c>
      <c r="N204" s="5">
        <f t="shared" si="17"/>
        <v>1</v>
      </c>
      <c r="O204" s="5">
        <f t="shared" si="18"/>
        <v>0</v>
      </c>
      <c r="P204" s="5">
        <f t="shared" si="19"/>
        <v>0</v>
      </c>
      <c r="AA204" s="5">
        <f>'1_Du_lieu'!D360</f>
        <v>0</v>
      </c>
    </row>
    <row r="205" spans="1:27" x14ac:dyDescent="0.25">
      <c r="A205" t="s">
        <v>132</v>
      </c>
      <c r="B205">
        <v>2022</v>
      </c>
      <c r="C205" s="7">
        <f>'1_Du_lieu'!V361</f>
        <v>3.0587070727153796</v>
      </c>
      <c r="D205" s="9">
        <f>'1_Du_lieu'!W361</f>
        <v>5.2745368378826329</v>
      </c>
      <c r="E205" s="9">
        <f>'1_Du_lieu'!L361</f>
        <v>7.27</v>
      </c>
      <c r="F205" s="9">
        <f>'1_Du_lieu'!M361</f>
        <v>67.36</v>
      </c>
      <c r="G205" s="9">
        <f>'1_Du_lieu'!N361</f>
        <v>41.8</v>
      </c>
      <c r="H205" s="9">
        <f>'1_Du_lieu'!X361</f>
        <v>3.7925772410767871</v>
      </c>
      <c r="I205" s="9">
        <f>'1_Du_lieu'!T361</f>
        <v>2.4213075060532687</v>
      </c>
      <c r="J205" s="9">
        <f>'1_Du_lieu'!Y361</f>
        <v>8.9179807099732908</v>
      </c>
      <c r="K205" s="9">
        <f>'1_Du_lieu'!O361</f>
        <v>21.6</v>
      </c>
      <c r="L205" s="5">
        <f t="shared" si="15"/>
        <v>0</v>
      </c>
      <c r="M205" s="5">
        <f t="shared" si="16"/>
        <v>0</v>
      </c>
      <c r="N205" s="5">
        <f t="shared" si="17"/>
        <v>1</v>
      </c>
      <c r="O205" s="5">
        <f t="shared" si="18"/>
        <v>0</v>
      </c>
      <c r="P205" s="5">
        <f t="shared" si="19"/>
        <v>0</v>
      </c>
      <c r="AA205" s="5">
        <f>'1_Du_lieu'!D361</f>
        <v>1</v>
      </c>
    </row>
    <row r="206" spans="1:27" x14ac:dyDescent="0.25">
      <c r="A206" t="s">
        <v>133</v>
      </c>
      <c r="B206">
        <v>2022</v>
      </c>
      <c r="C206" s="7">
        <f>'1_Du_lieu'!V362</f>
        <v>2.631888840136646</v>
      </c>
      <c r="D206" s="9">
        <f>'1_Du_lieu'!W362</f>
        <v>4.2076732475291037</v>
      </c>
      <c r="E206" s="9">
        <f>'1_Du_lieu'!L362</f>
        <v>5.0279999999999996</v>
      </c>
      <c r="F206" s="9">
        <f>'1_Du_lieu'!M362</f>
        <v>32.659999999999997</v>
      </c>
      <c r="G206" s="9">
        <f>'1_Du_lieu'!N362</f>
        <v>27.1</v>
      </c>
      <c r="H206" s="9">
        <f>'1_Du_lieu'!X362</f>
        <v>2.9230508924444827</v>
      </c>
      <c r="I206" s="9">
        <f>'1_Du_lieu'!T362</f>
        <v>6.145337225380243</v>
      </c>
      <c r="J206" s="9">
        <f>'1_Du_lieu'!Y362</f>
        <v>8.2633326674399665</v>
      </c>
      <c r="K206" s="9">
        <f>'1_Du_lieu'!O362</f>
        <v>28.4</v>
      </c>
      <c r="L206" s="5">
        <f t="shared" si="15"/>
        <v>0</v>
      </c>
      <c r="M206" s="5">
        <f t="shared" si="16"/>
        <v>0</v>
      </c>
      <c r="N206" s="5">
        <f t="shared" si="17"/>
        <v>1</v>
      </c>
      <c r="O206" s="5">
        <f t="shared" si="18"/>
        <v>0</v>
      </c>
      <c r="P206" s="5">
        <f t="shared" si="19"/>
        <v>0</v>
      </c>
      <c r="AA206" s="5">
        <f>'1_Du_lieu'!D362</f>
        <v>0</v>
      </c>
    </row>
    <row r="207" spans="1:27" x14ac:dyDescent="0.25">
      <c r="A207" t="s">
        <v>136</v>
      </c>
      <c r="B207">
        <v>2022</v>
      </c>
      <c r="C207" s="7">
        <f>'1_Du_lieu'!V365</f>
        <v>4.5064542130489338</v>
      </c>
      <c r="D207" s="9">
        <f>'1_Du_lieu'!W365</f>
        <v>5.072043922224899</v>
      </c>
      <c r="E207" s="9">
        <f>'1_Du_lieu'!L365</f>
        <v>29.187999999999999</v>
      </c>
      <c r="F207" s="9">
        <f>'1_Du_lieu'!M365</f>
        <v>77.72</v>
      </c>
      <c r="G207" s="9">
        <f>'1_Du_lieu'!N365</f>
        <v>35.6</v>
      </c>
      <c r="H207" s="9">
        <f>'1_Du_lieu'!X365</f>
        <v>2.6717863427103232</v>
      </c>
      <c r="I207" s="9">
        <f>'1_Du_lieu'!T365</f>
        <v>3.0565406775509332</v>
      </c>
      <c r="J207" s="9">
        <f>'1_Du_lieu'!Y365</f>
        <v>8.6980803866720127</v>
      </c>
      <c r="K207" s="9">
        <f>'1_Du_lieu'!O365</f>
        <v>54.4</v>
      </c>
      <c r="L207" s="5">
        <f t="shared" si="15"/>
        <v>0</v>
      </c>
      <c r="M207" s="5">
        <f t="shared" si="16"/>
        <v>0</v>
      </c>
      <c r="N207" s="5">
        <f t="shared" si="17"/>
        <v>1</v>
      </c>
      <c r="O207" s="5">
        <f t="shared" si="18"/>
        <v>0</v>
      </c>
      <c r="P207" s="5">
        <f t="shared" si="19"/>
        <v>0</v>
      </c>
      <c r="AA207" s="5">
        <f>'1_Du_lieu'!D365</f>
        <v>1</v>
      </c>
    </row>
    <row r="208" spans="1:27" x14ac:dyDescent="0.25">
      <c r="A208" t="s">
        <v>137</v>
      </c>
      <c r="B208">
        <v>2022</v>
      </c>
      <c r="C208" s="7">
        <f>'1_Du_lieu'!V366</f>
        <v>3.0587070727153796</v>
      </c>
      <c r="D208" s="9">
        <f>'1_Du_lieu'!W366</f>
        <v>4.2355547307736243</v>
      </c>
      <c r="E208" s="9">
        <f>'1_Du_lieu'!L366</f>
        <v>4.1630000000000003</v>
      </c>
      <c r="F208" s="9">
        <f>'1_Du_lieu'!M366</f>
        <v>27.67</v>
      </c>
      <c r="G208" s="9">
        <f>'1_Du_lieu'!N366</f>
        <v>26.4</v>
      </c>
      <c r="H208" s="9">
        <f>'1_Du_lieu'!X366</f>
        <v>2.7374847486813603</v>
      </c>
      <c r="I208" s="9">
        <f>'1_Du_lieu'!T366</f>
        <v>0.77913006098707716</v>
      </c>
      <c r="J208" s="9">
        <f>'1_Du_lieu'!Y366</f>
        <v>8.2918221611116767</v>
      </c>
      <c r="K208" s="9">
        <f>'1_Du_lieu'!O366</f>
        <v>18</v>
      </c>
      <c r="L208" s="5">
        <f t="shared" si="15"/>
        <v>0</v>
      </c>
      <c r="M208" s="5">
        <f t="shared" si="16"/>
        <v>0</v>
      </c>
      <c r="N208" s="5">
        <f t="shared" si="17"/>
        <v>1</v>
      </c>
      <c r="O208" s="5">
        <f t="shared" si="18"/>
        <v>0</v>
      </c>
      <c r="P208" s="5">
        <f t="shared" si="19"/>
        <v>0</v>
      </c>
      <c r="AA208" s="5">
        <f>'1_Du_lieu'!D366</f>
        <v>0</v>
      </c>
    </row>
    <row r="209" spans="1:27" x14ac:dyDescent="0.25">
      <c r="A209" t="s">
        <v>138</v>
      </c>
      <c r="B209">
        <v>2022</v>
      </c>
      <c r="C209" s="7">
        <f>'1_Du_lieu'!V367</f>
        <v>2.8094026953624978</v>
      </c>
      <c r="D209" s="9">
        <f>'1_Du_lieu'!W367</f>
        <v>4.0552571735140539</v>
      </c>
      <c r="E209" s="9">
        <f>'1_Du_lieu'!L367</f>
        <v>3.1579999999999999</v>
      </c>
      <c r="F209" s="9">
        <f>'1_Du_lieu'!M367</f>
        <v>11.76</v>
      </c>
      <c r="G209" s="9">
        <f>'1_Du_lieu'!N367</f>
        <v>19.600000000000001</v>
      </c>
      <c r="H209" s="9">
        <f>'1_Du_lieu'!X367</f>
        <v>1.7666759542316288</v>
      </c>
      <c r="I209" s="9">
        <f>'1_Du_lieu'!T367</f>
        <v>0.90497737556561098</v>
      </c>
      <c r="J209" s="9">
        <f>'1_Du_lieu'!Y367</f>
        <v>6.9571167085198606</v>
      </c>
      <c r="K209" s="9">
        <f>'1_Du_lieu'!O367</f>
        <v>14.8</v>
      </c>
      <c r="L209" s="5">
        <f t="shared" si="15"/>
        <v>0</v>
      </c>
      <c r="M209" s="5">
        <f t="shared" si="16"/>
        <v>0</v>
      </c>
      <c r="N209" s="5">
        <f t="shared" si="17"/>
        <v>1</v>
      </c>
      <c r="O209" s="5">
        <f t="shared" si="18"/>
        <v>0</v>
      </c>
      <c r="P209" s="5">
        <f t="shared" si="19"/>
        <v>0</v>
      </c>
      <c r="AA209" s="5">
        <f>'1_Du_lieu'!D367</f>
        <v>1</v>
      </c>
    </row>
    <row r="210" spans="1:27" x14ac:dyDescent="0.25">
      <c r="A210" t="s">
        <v>139</v>
      </c>
      <c r="B210">
        <v>2022</v>
      </c>
      <c r="C210" s="7">
        <f>'1_Du_lieu'!V368</f>
        <v>3.0155349008501706</v>
      </c>
      <c r="D210" s="9">
        <f>'1_Du_lieu'!W368</f>
        <v>4.6830567246451622</v>
      </c>
      <c r="E210" s="9">
        <f>'1_Du_lieu'!L368</f>
        <v>4.07</v>
      </c>
      <c r="F210" s="9">
        <f>'1_Du_lieu'!M368</f>
        <v>39.340000000000003</v>
      </c>
      <c r="G210" s="9">
        <f>'1_Du_lieu'!N368</f>
        <v>35.9</v>
      </c>
      <c r="H210" s="9">
        <f>'1_Du_lieu'!X368</f>
        <v>3.6128782814979066</v>
      </c>
      <c r="I210" s="9">
        <f>'1_Du_lieu'!T368</f>
        <v>1.721556886227545</v>
      </c>
      <c r="J210" s="9">
        <f>'1_Du_lieu'!Y368</f>
        <v>8.9680394851202792</v>
      </c>
      <c r="K210" s="9">
        <f>'1_Du_lieu'!O368</f>
        <v>27.6</v>
      </c>
      <c r="L210" s="5">
        <f t="shared" si="15"/>
        <v>0</v>
      </c>
      <c r="M210" s="5">
        <f t="shared" si="16"/>
        <v>0</v>
      </c>
      <c r="N210" s="5">
        <f t="shared" si="17"/>
        <v>1</v>
      </c>
      <c r="O210" s="5">
        <f t="shared" si="18"/>
        <v>0</v>
      </c>
      <c r="P210" s="5">
        <f t="shared" si="19"/>
        <v>0</v>
      </c>
      <c r="AA210" s="5">
        <f>'1_Du_lieu'!D368</f>
        <v>0</v>
      </c>
    </row>
    <row r="211" spans="1:27" x14ac:dyDescent="0.25">
      <c r="A211" t="s">
        <v>141</v>
      </c>
      <c r="B211">
        <v>2022</v>
      </c>
      <c r="C211" s="7">
        <f>'1_Du_lieu'!V370</f>
        <v>2.6173958328340792</v>
      </c>
      <c r="D211" s="9">
        <f>'1_Du_lieu'!W370</f>
        <v>4.1415461637063951</v>
      </c>
      <c r="E211" s="9">
        <f>'1_Du_lieu'!L370</f>
        <v>3.0979999999999999</v>
      </c>
      <c r="F211" s="9">
        <f>'1_Du_lieu'!M370</f>
        <v>15.23</v>
      </c>
      <c r="G211" s="9">
        <f>'1_Du_lieu'!N370</f>
        <v>13.3</v>
      </c>
      <c r="H211" s="9">
        <f>'1_Du_lieu'!X370</f>
        <v>0.44651114206029646</v>
      </c>
      <c r="I211" s="9">
        <f>'1_Du_lieu'!T370</f>
        <v>0.84024198969303154</v>
      </c>
      <c r="J211" s="9">
        <f>'1_Du_lieu'!Y370</f>
        <v>7.3583849390446749</v>
      </c>
      <c r="K211" s="9">
        <f>'1_Du_lieu'!O370</f>
        <v>18.100000000000001</v>
      </c>
      <c r="L211" s="5">
        <f t="shared" si="15"/>
        <v>0</v>
      </c>
      <c r="M211" s="5">
        <f t="shared" si="16"/>
        <v>0</v>
      </c>
      <c r="N211" s="5">
        <f t="shared" si="17"/>
        <v>1</v>
      </c>
      <c r="O211" s="5">
        <f t="shared" si="18"/>
        <v>0</v>
      </c>
      <c r="P211" s="5">
        <f t="shared" si="19"/>
        <v>0</v>
      </c>
      <c r="AA211" s="5">
        <f>'1_Du_lieu'!D370</f>
        <v>0</v>
      </c>
    </row>
    <row r="212" spans="1:27" x14ac:dyDescent="0.25">
      <c r="A212" t="s">
        <v>142</v>
      </c>
      <c r="B212">
        <v>2022</v>
      </c>
      <c r="C212" s="7">
        <f>'1_Du_lieu'!V371</f>
        <v>2.3702437414678603</v>
      </c>
      <c r="D212" s="9">
        <f>'1_Du_lieu'!W371</f>
        <v>4.2835865618606288</v>
      </c>
      <c r="E212" s="9">
        <f>'1_Du_lieu'!L371</f>
        <v>2.577</v>
      </c>
      <c r="F212" s="9">
        <f>'1_Du_lieu'!M371</f>
        <v>18.14</v>
      </c>
      <c r="G212" s="9">
        <f>'1_Du_lieu'!N371</f>
        <v>12.1</v>
      </c>
      <c r="H212" s="9">
        <f>'1_Du_lieu'!X371</f>
        <v>1.5680966359832049</v>
      </c>
      <c r="I212" s="9">
        <f>'1_Du_lieu'!T371</f>
        <v>0.88295889335818711</v>
      </c>
      <c r="J212" s="9">
        <f>'1_Du_lieu'!Y371</f>
        <v>8.0483408991276697</v>
      </c>
      <c r="K212" s="9">
        <f>'1_Du_lieu'!O371</f>
        <v>14.4</v>
      </c>
      <c r="L212" s="5">
        <f t="shared" si="15"/>
        <v>0</v>
      </c>
      <c r="M212" s="5">
        <f t="shared" si="16"/>
        <v>0</v>
      </c>
      <c r="N212" s="5">
        <f t="shared" si="17"/>
        <v>1</v>
      </c>
      <c r="O212" s="5">
        <f t="shared" si="18"/>
        <v>0</v>
      </c>
      <c r="P212" s="5">
        <f t="shared" si="19"/>
        <v>0</v>
      </c>
      <c r="AA212" s="5">
        <f>'1_Du_lieu'!D371</f>
        <v>0</v>
      </c>
    </row>
    <row r="213" spans="1:27" x14ac:dyDescent="0.25">
      <c r="A213" t="s">
        <v>143</v>
      </c>
      <c r="B213">
        <v>2022</v>
      </c>
      <c r="C213" s="7">
        <f>'1_Du_lieu'!V372</f>
        <v>2.2300144001592104</v>
      </c>
      <c r="D213" s="9">
        <f>'1_Du_lieu'!W372</f>
        <v>3.9180050771056933</v>
      </c>
      <c r="E213" s="9">
        <f>'1_Du_lieu'!L372</f>
        <v>2.1779999999999999</v>
      </c>
      <c r="F213" s="9">
        <f>'1_Du_lieu'!M372</f>
        <v>14.95</v>
      </c>
      <c r="G213" s="9">
        <f>'1_Du_lieu'!N372</f>
        <v>21.6</v>
      </c>
      <c r="H213" s="9">
        <f>'1_Du_lieu'!X372</f>
        <v>2.9575594103206555</v>
      </c>
      <c r="I213" s="9">
        <f>'1_Du_lieu'!T372</f>
        <v>0.74460163812360391</v>
      </c>
      <c r="J213" s="9">
        <f>'1_Du_lieu'!Y372</f>
        <v>5.5610661724546055</v>
      </c>
      <c r="K213" s="9">
        <f>'1_Du_lieu'!O372</f>
        <v>11.2</v>
      </c>
      <c r="L213" s="5">
        <f t="shared" si="15"/>
        <v>0</v>
      </c>
      <c r="M213" s="5">
        <f t="shared" si="16"/>
        <v>0</v>
      </c>
      <c r="N213" s="5">
        <f t="shared" si="17"/>
        <v>1</v>
      </c>
      <c r="O213" s="5">
        <f t="shared" si="18"/>
        <v>0</v>
      </c>
      <c r="P213" s="5">
        <f t="shared" si="19"/>
        <v>0</v>
      </c>
      <c r="AA213" s="5">
        <f>'1_Du_lieu'!D372</f>
        <v>0</v>
      </c>
    </row>
    <row r="214" spans="1:27" x14ac:dyDescent="0.25">
      <c r="A214" t="s">
        <v>144</v>
      </c>
      <c r="B214">
        <v>2022</v>
      </c>
      <c r="C214" s="7">
        <f>'1_Du_lieu'!V373</f>
        <v>2.6810215287142909</v>
      </c>
      <c r="D214" s="9">
        <f>'1_Du_lieu'!W373</f>
        <v>4.4636066216663046</v>
      </c>
      <c r="E214" s="9">
        <f>'1_Du_lieu'!L373</f>
        <v>4.1470000000000002</v>
      </c>
      <c r="F214" s="9">
        <f>'1_Du_lieu'!M373</f>
        <v>32.53</v>
      </c>
      <c r="G214" s="9">
        <f>'1_Du_lieu'!N373</f>
        <v>17.8</v>
      </c>
      <c r="H214" s="9">
        <f>'1_Du_lieu'!X373</f>
        <v>2.6343838610623203</v>
      </c>
      <c r="I214" s="9">
        <f>'1_Du_lieu'!T373</f>
        <v>1.177658142664872</v>
      </c>
      <c r="J214" s="9">
        <f>'1_Du_lieu'!Y373</f>
        <v>8.9512716711684792</v>
      </c>
      <c r="K214" s="9">
        <f>'1_Du_lieu'!O373</f>
        <v>20.399999999999999</v>
      </c>
      <c r="L214" s="5">
        <f t="shared" si="15"/>
        <v>0</v>
      </c>
      <c r="M214" s="5">
        <f t="shared" si="16"/>
        <v>0</v>
      </c>
      <c r="N214" s="5">
        <f t="shared" si="17"/>
        <v>1</v>
      </c>
      <c r="O214" s="5">
        <f t="shared" si="18"/>
        <v>0</v>
      </c>
      <c r="P214" s="5">
        <f t="shared" si="19"/>
        <v>0</v>
      </c>
      <c r="AA214" s="5">
        <f>'1_Du_lieu'!D373</f>
        <v>1</v>
      </c>
    </row>
    <row r="215" spans="1:27" x14ac:dyDescent="0.25">
      <c r="A215" t="s">
        <v>145</v>
      </c>
      <c r="B215">
        <v>2022</v>
      </c>
      <c r="C215" s="7">
        <f>'1_Du_lieu'!V374</f>
        <v>2.4680995314716192</v>
      </c>
      <c r="D215" s="9">
        <f>'1_Du_lieu'!W374</f>
        <v>4.2282925347318399</v>
      </c>
      <c r="E215" s="9">
        <f>'1_Du_lieu'!L374</f>
        <v>2.7959999999999998</v>
      </c>
      <c r="F215" s="9">
        <f>'1_Du_lieu'!M374</f>
        <v>22.74</v>
      </c>
      <c r="G215" s="9">
        <f>'1_Du_lieu'!N374</f>
        <v>14.5</v>
      </c>
      <c r="H215" s="9">
        <f>'1_Du_lieu'!X374</f>
        <v>0.70397481921200866</v>
      </c>
      <c r="I215" s="9">
        <f>'1_Du_lieu'!T374</f>
        <v>0.58320373250388802</v>
      </c>
      <c r="J215" s="9">
        <f>'1_Du_lieu'!Y374</f>
        <v>6.890507385572584</v>
      </c>
      <c r="K215" s="9">
        <f>'1_Du_lieu'!O374</f>
        <v>22.2</v>
      </c>
      <c r="L215" s="5">
        <f t="shared" si="15"/>
        <v>0</v>
      </c>
      <c r="M215" s="5">
        <f t="shared" si="16"/>
        <v>0</v>
      </c>
      <c r="N215" s="5">
        <f t="shared" si="17"/>
        <v>1</v>
      </c>
      <c r="O215" s="5">
        <f t="shared" si="18"/>
        <v>0</v>
      </c>
      <c r="P215" s="5">
        <f t="shared" si="19"/>
        <v>0</v>
      </c>
      <c r="AA215" s="5">
        <f>'1_Du_lieu'!D374</f>
        <v>0</v>
      </c>
    </row>
    <row r="216" spans="1:27" x14ac:dyDescent="0.25">
      <c r="A216" t="s">
        <v>146</v>
      </c>
      <c r="B216">
        <v>2022</v>
      </c>
      <c r="C216" s="7">
        <f>'1_Du_lieu'!V375</f>
        <v>3.1738784589374651</v>
      </c>
      <c r="D216" s="9">
        <f>'1_Du_lieu'!W375</f>
        <v>4.8528112089026889</v>
      </c>
      <c r="E216" s="9">
        <f>'1_Du_lieu'!L375</f>
        <v>7.5990000000000002</v>
      </c>
      <c r="F216" s="9">
        <f>'1_Du_lieu'!M375</f>
        <v>30.58</v>
      </c>
      <c r="G216" s="9">
        <f>'1_Du_lieu'!N375</f>
        <v>34.9</v>
      </c>
      <c r="H216" s="9">
        <f>'1_Du_lieu'!X375</f>
        <v>2.8517494702672472</v>
      </c>
      <c r="I216" s="9">
        <f>'1_Du_lieu'!T375</f>
        <v>0.75150300601202413</v>
      </c>
      <c r="J216" s="9">
        <f>'1_Du_lieu'!Y375</f>
        <v>8.6360068069538105</v>
      </c>
      <c r="K216" s="9">
        <f>'1_Du_lieu'!O375</f>
        <v>34.9</v>
      </c>
      <c r="L216" s="5">
        <f t="shared" si="15"/>
        <v>0</v>
      </c>
      <c r="M216" s="5">
        <f t="shared" si="16"/>
        <v>0</v>
      </c>
      <c r="N216" s="5">
        <f t="shared" si="17"/>
        <v>1</v>
      </c>
      <c r="O216" s="5">
        <f t="shared" si="18"/>
        <v>0</v>
      </c>
      <c r="P216" s="5">
        <f t="shared" si="19"/>
        <v>0</v>
      </c>
      <c r="AA216" s="5">
        <f>'1_Du_lieu'!D375</f>
        <v>1</v>
      </c>
    </row>
    <row r="217" spans="1:27" x14ac:dyDescent="0.25">
      <c r="A217" t="s">
        <v>147</v>
      </c>
      <c r="B217">
        <v>2022</v>
      </c>
      <c r="C217" s="7">
        <f>'1_Du_lieu'!V376</f>
        <v>2.6246685921631592</v>
      </c>
      <c r="D217" s="9">
        <f>'1_Du_lieu'!W376</f>
        <v>3.8607297110405954</v>
      </c>
      <c r="E217" s="9">
        <f>'1_Du_lieu'!L376</f>
        <v>2.3839999999999999</v>
      </c>
      <c r="F217" s="9">
        <f>'1_Du_lieu'!M376</f>
        <v>20.85</v>
      </c>
      <c r="G217" s="9">
        <f>'1_Du_lieu'!N376</f>
        <v>22.9</v>
      </c>
      <c r="H217" s="9">
        <f>'1_Du_lieu'!X376</f>
        <v>2.4947338729350159</v>
      </c>
      <c r="I217" s="9">
        <f>'1_Du_lieu'!T376</f>
        <v>0.35410764872521244</v>
      </c>
      <c r="J217" s="9">
        <f>'1_Du_lieu'!Y376</f>
        <v>6.2921245408500202</v>
      </c>
      <c r="K217" s="9">
        <f>'1_Du_lieu'!O376</f>
        <v>14.2</v>
      </c>
      <c r="L217" s="5">
        <f t="shared" si="15"/>
        <v>0</v>
      </c>
      <c r="M217" s="5">
        <f t="shared" si="16"/>
        <v>0</v>
      </c>
      <c r="N217" s="5">
        <f t="shared" si="17"/>
        <v>1</v>
      </c>
      <c r="O217" s="5">
        <f t="shared" si="18"/>
        <v>0</v>
      </c>
      <c r="P217" s="5">
        <f t="shared" si="19"/>
        <v>0</v>
      </c>
      <c r="AA217" s="5">
        <f>'1_Du_lieu'!D376</f>
        <v>0</v>
      </c>
    </row>
    <row r="218" spans="1:27" x14ac:dyDescent="0.25">
      <c r="A218" t="s">
        <v>149</v>
      </c>
      <c r="B218">
        <v>2022</v>
      </c>
      <c r="C218" s="7">
        <f>'1_Du_lieu'!V378</f>
        <v>3.6000482404073204</v>
      </c>
      <c r="D218" s="9">
        <f>'1_Du_lieu'!W378</f>
        <v>4.6337576428400036</v>
      </c>
      <c r="E218" s="9">
        <f>'1_Du_lieu'!L378</f>
        <v>20.832000000000001</v>
      </c>
      <c r="F218" s="9">
        <f>'1_Du_lieu'!M378</f>
        <v>87.45</v>
      </c>
      <c r="G218" s="9">
        <f>'1_Du_lieu'!N378</f>
        <v>48.5</v>
      </c>
      <c r="H218" s="9">
        <f>'1_Du_lieu'!X378</f>
        <v>3.2637573604553918</v>
      </c>
      <c r="I218" s="9">
        <f>'1_Du_lieu'!T378</f>
        <v>6.6382560236026871</v>
      </c>
      <c r="J218" s="9">
        <f>'1_Du_lieu'!Y378</f>
        <v>8.5247843058620507</v>
      </c>
      <c r="K218" s="9">
        <f>'1_Du_lieu'!O378</f>
        <v>53.1</v>
      </c>
      <c r="L218" s="5">
        <f t="shared" si="15"/>
        <v>0</v>
      </c>
      <c r="M218" s="5">
        <f t="shared" si="16"/>
        <v>0</v>
      </c>
      <c r="N218" s="5">
        <f t="shared" si="17"/>
        <v>1</v>
      </c>
      <c r="O218" s="5">
        <f t="shared" si="18"/>
        <v>0</v>
      </c>
      <c r="P218" s="5">
        <f t="shared" si="19"/>
        <v>0</v>
      </c>
      <c r="AA218" s="5">
        <f>'1_Du_lieu'!D378</f>
        <v>0</v>
      </c>
    </row>
    <row r="219" spans="1:27" x14ac:dyDescent="0.25">
      <c r="A219" t="s">
        <v>150</v>
      </c>
      <c r="B219">
        <v>2022</v>
      </c>
      <c r="C219" s="7">
        <f>'1_Du_lieu'!V379</f>
        <v>2.8959119382717802</v>
      </c>
      <c r="D219" s="9">
        <f>'1_Du_lieu'!W379</f>
        <v>4.0377742107337067</v>
      </c>
      <c r="E219" s="9">
        <f>'1_Du_lieu'!L379</f>
        <v>3.843</v>
      </c>
      <c r="F219" s="9">
        <f>'1_Du_lieu'!M379</f>
        <v>24.93</v>
      </c>
      <c r="G219" s="9">
        <f>'1_Du_lieu'!N379</f>
        <v>18</v>
      </c>
      <c r="H219" s="9">
        <f>'1_Du_lieu'!X379</f>
        <v>2.5445823186536418</v>
      </c>
      <c r="I219" s="9">
        <f>'1_Du_lieu'!T379</f>
        <v>0.57339449541284393</v>
      </c>
      <c r="J219" s="9">
        <f>'1_Du_lieu'!Y379</f>
        <v>5.824819469699035</v>
      </c>
      <c r="K219" s="9">
        <f>'1_Du_lieu'!O379</f>
        <v>30.1</v>
      </c>
      <c r="L219" s="5">
        <f t="shared" si="15"/>
        <v>0</v>
      </c>
      <c r="M219" s="5">
        <f t="shared" si="16"/>
        <v>0</v>
      </c>
      <c r="N219" s="5">
        <f t="shared" si="17"/>
        <v>1</v>
      </c>
      <c r="O219" s="5">
        <f t="shared" si="18"/>
        <v>0</v>
      </c>
      <c r="P219" s="5">
        <f t="shared" si="19"/>
        <v>0</v>
      </c>
      <c r="AA219" s="5">
        <f>'1_Du_lieu'!D379</f>
        <v>0</v>
      </c>
    </row>
    <row r="220" spans="1:27" x14ac:dyDescent="0.25">
      <c r="A220" t="s">
        <v>151</v>
      </c>
      <c r="B220">
        <v>2022</v>
      </c>
      <c r="C220" s="7">
        <f>'1_Du_lieu'!V380</f>
        <v>2.4680995314716192</v>
      </c>
      <c r="D220" s="9">
        <f>'1_Du_lieu'!W380</f>
        <v>4.0993321037331398</v>
      </c>
      <c r="E220" s="9">
        <f>'1_Du_lieu'!L380</f>
        <v>3.8260000000000001</v>
      </c>
      <c r="F220" s="9">
        <f>'1_Du_lieu'!M380</f>
        <v>16.760000000000002</v>
      </c>
      <c r="G220" s="9">
        <f>'1_Du_lieu'!N380</f>
        <v>14.7</v>
      </c>
      <c r="H220" s="9">
        <f>'1_Du_lieu'!X380</f>
        <v>1.0702283601634406</v>
      </c>
      <c r="I220" s="9">
        <f>'1_Du_lieu'!T380</f>
        <v>0.44736057262153295</v>
      </c>
      <c r="J220" s="9">
        <f>'1_Du_lieu'!Y380</f>
        <v>6.1444002033786953</v>
      </c>
      <c r="K220" s="9">
        <f>'1_Du_lieu'!O380</f>
        <v>21.2</v>
      </c>
      <c r="L220" s="5">
        <f t="shared" si="15"/>
        <v>0</v>
      </c>
      <c r="M220" s="5">
        <f t="shared" si="16"/>
        <v>0</v>
      </c>
      <c r="N220" s="5">
        <f t="shared" si="17"/>
        <v>1</v>
      </c>
      <c r="O220" s="5">
        <f t="shared" si="18"/>
        <v>0</v>
      </c>
      <c r="P220" s="5">
        <f t="shared" si="19"/>
        <v>0</v>
      </c>
      <c r="AA220" s="5">
        <f>'1_Du_lieu'!D380</f>
        <v>0</v>
      </c>
    </row>
    <row r="221" spans="1:27" x14ac:dyDescent="0.25">
      <c r="A221" t="s">
        <v>152</v>
      </c>
      <c r="B221">
        <v>2022</v>
      </c>
      <c r="C221" s="7">
        <f>'1_Du_lieu'!V381</f>
        <v>3.4965075614664802</v>
      </c>
      <c r="D221" s="9">
        <f>'1_Du_lieu'!W381</f>
        <v>4.8613615913485013</v>
      </c>
      <c r="E221" s="9">
        <f>'1_Du_lieu'!L381</f>
        <v>7.9390000000000001</v>
      </c>
      <c r="F221" s="9">
        <f>'1_Du_lieu'!M381</f>
        <v>45.16</v>
      </c>
      <c r="G221" s="9">
        <f>'1_Du_lieu'!N381</f>
        <v>22.3</v>
      </c>
      <c r="H221" s="9">
        <f>'1_Du_lieu'!X381</f>
        <v>2.7502634504879695</v>
      </c>
      <c r="I221" s="9">
        <f>'1_Du_lieu'!T381</f>
        <v>0.55285951225505248</v>
      </c>
      <c r="J221" s="9">
        <f>'1_Du_lieu'!Y381</f>
        <v>9.2943046111532688</v>
      </c>
      <c r="K221" s="9">
        <f>'1_Du_lieu'!O381</f>
        <v>26.5</v>
      </c>
      <c r="L221" s="5">
        <f t="shared" si="15"/>
        <v>0</v>
      </c>
      <c r="M221" s="5">
        <f t="shared" si="16"/>
        <v>0</v>
      </c>
      <c r="N221" s="5">
        <f t="shared" si="17"/>
        <v>1</v>
      </c>
      <c r="O221" s="5">
        <f t="shared" si="18"/>
        <v>0</v>
      </c>
      <c r="P221" s="5">
        <f t="shared" si="19"/>
        <v>0</v>
      </c>
      <c r="AA221" s="5">
        <f>'1_Du_lieu'!D381</f>
        <v>1</v>
      </c>
    </row>
    <row r="222" spans="1:27" x14ac:dyDescent="0.25">
      <c r="A222" t="s">
        <v>153</v>
      </c>
      <c r="B222">
        <v>2022</v>
      </c>
      <c r="C222" s="7">
        <f>'1_Du_lieu'!V382</f>
        <v>2.6878474937846906</v>
      </c>
      <c r="D222" s="9">
        <f>'1_Du_lieu'!W382</f>
        <v>4.1303549997451334</v>
      </c>
      <c r="E222" s="9">
        <f>'1_Du_lieu'!L382</f>
        <v>2.4900000000000002</v>
      </c>
      <c r="F222" s="9">
        <f>'1_Du_lieu'!M382</f>
        <v>20.239999999999998</v>
      </c>
      <c r="G222" s="9">
        <f>'1_Du_lieu'!N382</f>
        <v>14.4</v>
      </c>
      <c r="H222" s="9">
        <f>'1_Du_lieu'!X382</f>
        <v>0.70929530997063683</v>
      </c>
      <c r="I222" s="9">
        <f>'1_Du_lieu'!T382</f>
        <v>0.62492188476440447</v>
      </c>
      <c r="J222" s="9">
        <f>'1_Du_lieu'!Y382</f>
        <v>4.9815497132011588</v>
      </c>
      <c r="K222" s="9">
        <f>'1_Du_lieu'!O382</f>
        <v>14.7</v>
      </c>
      <c r="L222" s="5">
        <f t="shared" si="15"/>
        <v>0</v>
      </c>
      <c r="M222" s="5">
        <f t="shared" si="16"/>
        <v>0</v>
      </c>
      <c r="N222" s="5">
        <f t="shared" si="17"/>
        <v>1</v>
      </c>
      <c r="O222" s="5">
        <f t="shared" si="18"/>
        <v>0</v>
      </c>
      <c r="P222" s="5">
        <f t="shared" si="19"/>
        <v>0</v>
      </c>
      <c r="AA222" s="5">
        <f>'1_Du_lieu'!D382</f>
        <v>0</v>
      </c>
    </row>
    <row r="223" spans="1:27" x14ac:dyDescent="0.25">
      <c r="A223" t="s">
        <v>85</v>
      </c>
      <c r="B223">
        <v>2023</v>
      </c>
      <c r="C223" s="7">
        <f>'1_Du_lieu'!V383</f>
        <v>2.6390573296152584</v>
      </c>
      <c r="D223" s="9">
        <f>'1_Du_lieu'!W383</f>
        <v>4.0724397268340509</v>
      </c>
      <c r="E223" s="9">
        <f>'1_Du_lieu'!L383</f>
        <v>2.7010000000000001</v>
      </c>
      <c r="F223" s="9">
        <f>'1_Du_lieu'!M383</f>
        <v>37</v>
      </c>
      <c r="G223" s="9">
        <f>'1_Du_lieu'!N383</f>
        <v>15.5</v>
      </c>
      <c r="H223" s="9">
        <f>'1_Du_lieu'!X383</f>
        <v>1.8285635406587724</v>
      </c>
      <c r="I223" s="9">
        <f>'1_Du_lieu'!T383</f>
        <v>0.52457640455332322</v>
      </c>
      <c r="J223" s="9">
        <f>'1_Du_lieu'!Y383</f>
        <v>4.9572345173691401</v>
      </c>
      <c r="K223" s="9">
        <f>'1_Du_lieu'!O383</f>
        <v>18</v>
      </c>
      <c r="L223" s="5">
        <f t="shared" si="15"/>
        <v>0</v>
      </c>
      <c r="M223" s="5">
        <f t="shared" si="16"/>
        <v>0</v>
      </c>
      <c r="N223" s="5">
        <f t="shared" si="17"/>
        <v>0</v>
      </c>
      <c r="O223" s="5">
        <f t="shared" si="18"/>
        <v>1</v>
      </c>
      <c r="P223" s="5">
        <f t="shared" si="19"/>
        <v>0</v>
      </c>
      <c r="AA223" s="5">
        <f>'1_Du_lieu'!D383</f>
        <v>0</v>
      </c>
    </row>
    <row r="224" spans="1:27" x14ac:dyDescent="0.25">
      <c r="A224" t="s">
        <v>87</v>
      </c>
      <c r="B224">
        <v>2023</v>
      </c>
      <c r="C224" s="7">
        <f>'1_Du_lieu'!V384</f>
        <v>3.1612467120315646</v>
      </c>
      <c r="D224" s="9">
        <f>'1_Du_lieu'!W384</f>
        <v>5.8260001073804499</v>
      </c>
      <c r="E224" s="9">
        <f>'1_Du_lieu'!L384</f>
        <v>10.393000000000001</v>
      </c>
      <c r="F224" s="9">
        <f>'1_Du_lieu'!M384</f>
        <v>60.92</v>
      </c>
      <c r="G224" s="9">
        <f>'1_Du_lieu'!N384</f>
        <v>28.8</v>
      </c>
      <c r="H224" s="9">
        <f>'1_Du_lieu'!X384</f>
        <v>2.1258931339212706</v>
      </c>
      <c r="I224" s="9">
        <f>'1_Du_lieu'!T384</f>
        <v>1.6</v>
      </c>
      <c r="J224" s="9">
        <f>'1_Du_lieu'!Y384</f>
        <v>10.286049030204001</v>
      </c>
      <c r="K224" s="9">
        <f>'1_Du_lieu'!O384</f>
        <v>29.2</v>
      </c>
      <c r="L224" s="5">
        <f t="shared" si="15"/>
        <v>0</v>
      </c>
      <c r="M224" s="5">
        <f t="shared" si="16"/>
        <v>0</v>
      </c>
      <c r="N224" s="5">
        <f t="shared" si="17"/>
        <v>0</v>
      </c>
      <c r="O224" s="5">
        <f t="shared" si="18"/>
        <v>1</v>
      </c>
      <c r="P224" s="5">
        <f t="shared" si="19"/>
        <v>0</v>
      </c>
      <c r="AA224" s="5">
        <f>'1_Du_lieu'!D384</f>
        <v>1</v>
      </c>
    </row>
    <row r="225" spans="1:27" x14ac:dyDescent="0.25">
      <c r="A225" t="s">
        <v>89</v>
      </c>
      <c r="B225">
        <v>2023</v>
      </c>
      <c r="C225" s="7">
        <f>'1_Du_lieu'!V385</f>
        <v>3.5751506887855933</v>
      </c>
      <c r="D225" s="9">
        <f>'1_Du_lieu'!W385</f>
        <v>5.1143945283871082</v>
      </c>
      <c r="E225" s="9">
        <f>'1_Du_lieu'!L385</f>
        <v>15.327</v>
      </c>
      <c r="F225" s="9">
        <f>'1_Du_lieu'!M385</f>
        <v>84.22</v>
      </c>
      <c r="G225" s="9">
        <f>'1_Du_lieu'!N385</f>
        <v>23.3</v>
      </c>
      <c r="H225" s="9">
        <f>'1_Du_lieu'!X385</f>
        <v>3.3145658741693884</v>
      </c>
      <c r="I225" s="9">
        <f>'1_Du_lieu'!T385</f>
        <v>0.77920238010908838</v>
      </c>
      <c r="J225" s="9">
        <f>'1_Du_lieu'!Y385</f>
        <v>9.5690771887933312</v>
      </c>
      <c r="K225" s="9">
        <f>'1_Du_lieu'!O385</f>
        <v>25.5</v>
      </c>
      <c r="L225" s="5">
        <f t="shared" si="15"/>
        <v>0</v>
      </c>
      <c r="M225" s="5">
        <f t="shared" si="16"/>
        <v>0</v>
      </c>
      <c r="N225" s="5">
        <f t="shared" si="17"/>
        <v>0</v>
      </c>
      <c r="O225" s="5">
        <f t="shared" si="18"/>
        <v>1</v>
      </c>
      <c r="P225" s="5">
        <f t="shared" si="19"/>
        <v>0</v>
      </c>
      <c r="AA225" s="5">
        <f>'1_Du_lieu'!D385</f>
        <v>1</v>
      </c>
    </row>
    <row r="226" spans="1:27" x14ac:dyDescent="0.25">
      <c r="A226" t="s">
        <v>90</v>
      </c>
      <c r="B226">
        <v>2023</v>
      </c>
      <c r="C226" s="7">
        <f>'1_Du_lieu'!V386</f>
        <v>2.5572273113676265</v>
      </c>
      <c r="D226" s="9">
        <f>'1_Du_lieu'!W386</f>
        <v>4.5496574760578321</v>
      </c>
      <c r="E226" s="9">
        <f>'1_Du_lieu'!L386</f>
        <v>6.6909999999999998</v>
      </c>
      <c r="F226" s="9">
        <f>'1_Du_lieu'!M386</f>
        <v>29.4</v>
      </c>
      <c r="G226" s="9">
        <f>'1_Du_lieu'!N386</f>
        <v>20</v>
      </c>
      <c r="H226" s="9">
        <f>'1_Du_lieu'!X386</f>
        <v>1.234631418039809</v>
      </c>
      <c r="I226" s="9">
        <f>'1_Du_lieu'!T386</f>
        <v>0.95648015303682454</v>
      </c>
      <c r="J226" s="9">
        <f>'1_Du_lieu'!Y386</f>
        <v>8.4073560037313317</v>
      </c>
      <c r="K226" s="9">
        <f>'1_Du_lieu'!O386</f>
        <v>22.6</v>
      </c>
      <c r="L226" s="5">
        <f t="shared" si="15"/>
        <v>0</v>
      </c>
      <c r="M226" s="5">
        <f t="shared" si="16"/>
        <v>0</v>
      </c>
      <c r="N226" s="5">
        <f t="shared" si="17"/>
        <v>0</v>
      </c>
      <c r="O226" s="5">
        <f t="shared" si="18"/>
        <v>1</v>
      </c>
      <c r="P226" s="5">
        <f t="shared" si="19"/>
        <v>0</v>
      </c>
      <c r="AA226" s="5">
        <f>'1_Du_lieu'!D386</f>
        <v>1</v>
      </c>
    </row>
    <row r="227" spans="1:27" x14ac:dyDescent="0.25">
      <c r="A227" t="s">
        <v>91</v>
      </c>
      <c r="B227">
        <v>2023</v>
      </c>
      <c r="C227" s="7">
        <f>'1_Du_lieu'!V387</f>
        <v>2.7212954278522306</v>
      </c>
      <c r="D227" s="9">
        <f>'1_Du_lieu'!W387</f>
        <v>4.4091553020621346</v>
      </c>
      <c r="E227" s="9">
        <f>'1_Du_lieu'!L387</f>
        <v>4.7080000000000002</v>
      </c>
      <c r="F227" s="9">
        <f>'1_Du_lieu'!M387</f>
        <v>38.6</v>
      </c>
      <c r="G227" s="9">
        <f>'1_Du_lieu'!N387</f>
        <v>19.5</v>
      </c>
      <c r="H227" s="9">
        <f>'1_Du_lieu'!X387</f>
        <v>1.6732463053197808</v>
      </c>
      <c r="I227" s="9">
        <f>'1_Du_lieu'!T387</f>
        <v>0.39720368605020656</v>
      </c>
      <c r="J227" s="9">
        <f>'1_Du_lieu'!Y387</f>
        <v>8.0261701949464257</v>
      </c>
      <c r="K227" s="9">
        <f>'1_Du_lieu'!O387</f>
        <v>19.899999999999999</v>
      </c>
      <c r="L227" s="5">
        <f t="shared" si="15"/>
        <v>0</v>
      </c>
      <c r="M227" s="5">
        <f t="shared" si="16"/>
        <v>0</v>
      </c>
      <c r="N227" s="5">
        <f t="shared" si="17"/>
        <v>0</v>
      </c>
      <c r="O227" s="5">
        <f t="shared" si="18"/>
        <v>1</v>
      </c>
      <c r="P227" s="5">
        <f t="shared" si="19"/>
        <v>0</v>
      </c>
      <c r="AA227" s="5">
        <f>'1_Du_lieu'!D387</f>
        <v>0</v>
      </c>
    </row>
    <row r="228" spans="1:27" x14ac:dyDescent="0.25">
      <c r="A228" t="s">
        <v>93</v>
      </c>
      <c r="B228">
        <v>2023</v>
      </c>
      <c r="C228" s="7">
        <f>'1_Du_lieu'!V388</f>
        <v>2.8094026953624978</v>
      </c>
      <c r="D228" s="9">
        <f>'1_Du_lieu'!W388</f>
        <v>4.3579900568456402</v>
      </c>
      <c r="E228" s="9">
        <f>'1_Du_lieu'!L388</f>
        <v>5.3680000000000003</v>
      </c>
      <c r="F228" s="9">
        <f>'1_Du_lieu'!M388</f>
        <v>41.22</v>
      </c>
      <c r="G228" s="9">
        <f>'1_Du_lieu'!N388</f>
        <v>25.6</v>
      </c>
      <c r="H228" s="9">
        <f>'1_Du_lieu'!X388</f>
        <v>3.0736524047525142</v>
      </c>
      <c r="I228" s="9">
        <f>'1_Du_lieu'!T388</f>
        <v>0.79665405297749459</v>
      </c>
      <c r="J228" s="9">
        <f>'1_Du_lieu'!Y388</f>
        <v>6.7289874003874797</v>
      </c>
      <c r="K228" s="9">
        <f>'1_Du_lieu'!O388</f>
        <v>20.7</v>
      </c>
      <c r="L228" s="5">
        <f t="shared" si="15"/>
        <v>0</v>
      </c>
      <c r="M228" s="5">
        <f t="shared" si="16"/>
        <v>0</v>
      </c>
      <c r="N228" s="5">
        <f t="shared" si="17"/>
        <v>0</v>
      </c>
      <c r="O228" s="5">
        <f t="shared" si="18"/>
        <v>1</v>
      </c>
      <c r="P228" s="5">
        <f t="shared" si="19"/>
        <v>0</v>
      </c>
      <c r="AA228" s="5">
        <f>'1_Du_lieu'!D388</f>
        <v>0</v>
      </c>
    </row>
    <row r="229" spans="1:27" x14ac:dyDescent="0.25">
      <c r="A229" t="s">
        <v>94</v>
      </c>
      <c r="B229">
        <v>2023</v>
      </c>
      <c r="C229" s="7">
        <f>'1_Du_lieu'!V389</f>
        <v>2.3702437414678603</v>
      </c>
      <c r="D229" s="9">
        <f>'1_Du_lieu'!W389</f>
        <v>4.1666652238017265</v>
      </c>
      <c r="E229" s="9">
        <f>'1_Du_lieu'!L389</f>
        <v>2.5099999999999998</v>
      </c>
      <c r="F229" s="9">
        <f>'1_Du_lieu'!M389</f>
        <v>27.76</v>
      </c>
      <c r="G229" s="9">
        <f>'1_Du_lieu'!N389</f>
        <v>13.1</v>
      </c>
      <c r="H229" s="9">
        <f>'1_Du_lieu'!X389</f>
        <v>1.3538899662437562</v>
      </c>
      <c r="I229" s="9">
        <f>'1_Du_lieu'!T389</f>
        <v>1.4051015996541287</v>
      </c>
      <c r="J229" s="9">
        <f>'1_Du_lieu'!Y389</f>
        <v>8.5282715986232382</v>
      </c>
      <c r="K229" s="9">
        <f>'1_Du_lieu'!O389</f>
        <v>14.1</v>
      </c>
      <c r="L229" s="5">
        <f t="shared" si="15"/>
        <v>0</v>
      </c>
      <c r="M229" s="5">
        <f t="shared" si="16"/>
        <v>0</v>
      </c>
      <c r="N229" s="5">
        <f t="shared" si="17"/>
        <v>0</v>
      </c>
      <c r="O229" s="5">
        <f t="shared" si="18"/>
        <v>1</v>
      </c>
      <c r="P229" s="5">
        <f t="shared" si="19"/>
        <v>0</v>
      </c>
      <c r="AA229" s="5">
        <f>'1_Du_lieu'!D389</f>
        <v>0</v>
      </c>
    </row>
    <row r="230" spans="1:27" x14ac:dyDescent="0.25">
      <c r="A230" t="s">
        <v>95</v>
      </c>
      <c r="B230">
        <v>2023</v>
      </c>
      <c r="C230" s="7">
        <f>'1_Du_lieu'!V390</f>
        <v>2.9444389791664403</v>
      </c>
      <c r="D230" s="9">
        <f>'1_Du_lieu'!W390</f>
        <v>4.5664293576716606</v>
      </c>
      <c r="E230" s="9">
        <f>'1_Du_lieu'!L390</f>
        <v>4.53</v>
      </c>
      <c r="F230" s="9">
        <f>'1_Du_lieu'!M390</f>
        <v>19.73</v>
      </c>
      <c r="G230" s="9">
        <f>'1_Du_lieu'!N390</f>
        <v>32.6</v>
      </c>
      <c r="H230" s="9">
        <f>'1_Du_lieu'!X390</f>
        <v>2.9524628072988284</v>
      </c>
      <c r="I230" s="9">
        <f>'1_Du_lieu'!T390</f>
        <v>0.52010193998023613</v>
      </c>
      <c r="J230" s="9">
        <f>'1_Du_lieu'!Y390</f>
        <v>8.7743902828552987</v>
      </c>
      <c r="K230" s="9">
        <f>'1_Du_lieu'!O390</f>
        <v>23.5</v>
      </c>
      <c r="L230" s="5">
        <f t="shared" si="15"/>
        <v>0</v>
      </c>
      <c r="M230" s="5">
        <f t="shared" si="16"/>
        <v>0</v>
      </c>
      <c r="N230" s="5">
        <f t="shared" si="17"/>
        <v>0</v>
      </c>
      <c r="O230" s="5">
        <f t="shared" si="18"/>
        <v>1</v>
      </c>
      <c r="P230" s="5">
        <f t="shared" si="19"/>
        <v>0</v>
      </c>
      <c r="AA230" s="5">
        <f>'1_Du_lieu'!D390</f>
        <v>0</v>
      </c>
    </row>
    <row r="231" spans="1:27" x14ac:dyDescent="0.25">
      <c r="A231" t="s">
        <v>97</v>
      </c>
      <c r="B231">
        <v>2023</v>
      </c>
      <c r="C231" s="7">
        <f>'1_Du_lieu'!V391</f>
        <v>2.379546134130174</v>
      </c>
      <c r="D231" s="9">
        <f>'1_Du_lieu'!W391</f>
        <v>3.949318790171843</v>
      </c>
      <c r="E231" s="9">
        <f>'1_Du_lieu'!L391</f>
        <v>2.282</v>
      </c>
      <c r="F231" s="9">
        <f>'1_Du_lieu'!M391</f>
        <v>24.07</v>
      </c>
      <c r="G231" s="9">
        <f>'1_Du_lieu'!N391</f>
        <v>28</v>
      </c>
      <c r="H231" s="9">
        <f>'1_Du_lieu'!X391</f>
        <v>2.698716321347455</v>
      </c>
      <c r="I231" s="9">
        <f>'1_Du_lieu'!T391</f>
        <v>0.91883614088820831</v>
      </c>
      <c r="J231" s="9">
        <f>'1_Du_lieu'!Y391</f>
        <v>4.6434288981051814</v>
      </c>
      <c r="K231" s="9">
        <f>'1_Du_lieu'!O391</f>
        <v>16.8</v>
      </c>
      <c r="L231" s="5">
        <f t="shared" si="15"/>
        <v>0</v>
      </c>
      <c r="M231" s="5">
        <f t="shared" si="16"/>
        <v>0</v>
      </c>
      <c r="N231" s="5">
        <f t="shared" si="17"/>
        <v>0</v>
      </c>
      <c r="O231" s="5">
        <f t="shared" si="18"/>
        <v>1</v>
      </c>
      <c r="P231" s="5">
        <f t="shared" si="19"/>
        <v>0</v>
      </c>
      <c r="AA231" s="5">
        <f>'1_Du_lieu'!D391</f>
        <v>0</v>
      </c>
    </row>
    <row r="232" spans="1:27" x14ac:dyDescent="0.25">
      <c r="A232" t="s">
        <v>98</v>
      </c>
      <c r="B232">
        <v>2023</v>
      </c>
      <c r="C232" s="7">
        <f>'1_Du_lieu'!V392</f>
        <v>3.068052935133617</v>
      </c>
      <c r="D232" s="9">
        <f>'1_Du_lieu'!W392</f>
        <v>5.054333149361975</v>
      </c>
      <c r="E232" s="9">
        <f>'1_Du_lieu'!L392</f>
        <v>10.885999999999999</v>
      </c>
      <c r="F232" s="9">
        <f>'1_Du_lieu'!M392</f>
        <v>50.79</v>
      </c>
      <c r="G232" s="9">
        <f>'1_Du_lieu'!N392</f>
        <v>34.4</v>
      </c>
      <c r="H232" s="9">
        <f>'1_Du_lieu'!X392</f>
        <v>2.8655055877825726</v>
      </c>
      <c r="I232" s="9">
        <f>'1_Du_lieu'!T392</f>
        <v>1.8452616317384998</v>
      </c>
      <c r="J232" s="9">
        <f>'1_Du_lieu'!Y392</f>
        <v>9.7029062975185063</v>
      </c>
      <c r="K232" s="9">
        <f>'1_Du_lieu'!O392</f>
        <v>31.3</v>
      </c>
      <c r="L232" s="5">
        <f t="shared" si="15"/>
        <v>0</v>
      </c>
      <c r="M232" s="5">
        <f t="shared" si="16"/>
        <v>0</v>
      </c>
      <c r="N232" s="5">
        <f t="shared" si="17"/>
        <v>0</v>
      </c>
      <c r="O232" s="5">
        <f t="shared" si="18"/>
        <v>1</v>
      </c>
      <c r="P232" s="5">
        <f t="shared" si="19"/>
        <v>0</v>
      </c>
      <c r="AA232" s="5">
        <f>'1_Du_lieu'!D392</f>
        <v>1</v>
      </c>
    </row>
    <row r="233" spans="1:27" x14ac:dyDescent="0.25">
      <c r="A233" t="s">
        <v>100</v>
      </c>
      <c r="B233">
        <v>2023</v>
      </c>
      <c r="C233" s="7">
        <f>'1_Du_lieu'!V393</f>
        <v>2.6741486494265287</v>
      </c>
      <c r="D233" s="9">
        <f>'1_Du_lieu'!W393</f>
        <v>3.9473901492654373</v>
      </c>
      <c r="E233" s="9">
        <f>'1_Du_lieu'!L393</f>
        <v>2.9569999999999999</v>
      </c>
      <c r="F233" s="9">
        <f>'1_Du_lieu'!M393</f>
        <v>13.11</v>
      </c>
      <c r="G233" s="9">
        <f>'1_Du_lieu'!N393</f>
        <v>12.7</v>
      </c>
      <c r="H233" s="9">
        <f>'1_Du_lieu'!X393</f>
        <v>1.3894065761845245</v>
      </c>
      <c r="I233" s="9">
        <f>'1_Du_lieu'!T393</f>
        <v>0.46178711613945972</v>
      </c>
      <c r="J233" s="9">
        <f>'1_Du_lieu'!Y393</f>
        <v>7.1163941440934648</v>
      </c>
      <c r="K233" s="9">
        <f>'1_Du_lieu'!O393</f>
        <v>13.9</v>
      </c>
      <c r="L233" s="5">
        <f t="shared" si="15"/>
        <v>0</v>
      </c>
      <c r="M233" s="5">
        <f t="shared" si="16"/>
        <v>0</v>
      </c>
      <c r="N233" s="5">
        <f t="shared" si="17"/>
        <v>0</v>
      </c>
      <c r="O233" s="5">
        <f t="shared" si="18"/>
        <v>1</v>
      </c>
      <c r="P233" s="5">
        <f t="shared" si="19"/>
        <v>0</v>
      </c>
      <c r="AA233" s="5">
        <f>'1_Du_lieu'!D393</f>
        <v>0</v>
      </c>
    </row>
    <row r="234" spans="1:27" x14ac:dyDescent="0.25">
      <c r="A234" t="s">
        <v>102</v>
      </c>
      <c r="B234">
        <v>2023</v>
      </c>
      <c r="C234" s="7">
        <f>'1_Du_lieu'!V395</f>
        <v>2.5952547069568657</v>
      </c>
      <c r="D234" s="9">
        <f>'1_Du_lieu'!W395</f>
        <v>4.165113633110308</v>
      </c>
      <c r="E234" s="9">
        <f>'1_Du_lieu'!L395</f>
        <v>3.2210000000000001</v>
      </c>
      <c r="F234" s="9">
        <f>'1_Du_lieu'!M395</f>
        <v>23.06</v>
      </c>
      <c r="G234" s="9">
        <f>'1_Du_lieu'!N395</f>
        <v>15.1</v>
      </c>
      <c r="H234" s="9">
        <f>'1_Du_lieu'!X395</f>
        <v>4.0815368690784087E-2</v>
      </c>
      <c r="I234" s="9">
        <f>'1_Du_lieu'!T395</f>
        <v>0.57975815802550934</v>
      </c>
      <c r="J234" s="9">
        <f>'1_Du_lieu'!Y395</f>
        <v>4.8605872978525966</v>
      </c>
      <c r="K234" s="9">
        <f>'1_Du_lieu'!O395</f>
        <v>16.3</v>
      </c>
      <c r="L234" s="5">
        <f t="shared" si="15"/>
        <v>0</v>
      </c>
      <c r="M234" s="5">
        <f t="shared" si="16"/>
        <v>0</v>
      </c>
      <c r="N234" s="5">
        <f t="shared" si="17"/>
        <v>0</v>
      </c>
      <c r="O234" s="5">
        <f t="shared" si="18"/>
        <v>1</v>
      </c>
      <c r="P234" s="5">
        <f t="shared" si="19"/>
        <v>0</v>
      </c>
      <c r="AA234" s="5">
        <f>'1_Du_lieu'!D395</f>
        <v>0</v>
      </c>
    </row>
    <row r="235" spans="1:27" x14ac:dyDescent="0.25">
      <c r="A235" t="s">
        <v>103</v>
      </c>
      <c r="B235">
        <v>2023</v>
      </c>
      <c r="C235" s="7">
        <f>'1_Du_lieu'!V396</f>
        <v>3.0773122605464138</v>
      </c>
      <c r="D235" s="9">
        <f>'1_Du_lieu'!W396</f>
        <v>4.5464811896394117</v>
      </c>
      <c r="E235" s="9">
        <f>'1_Du_lieu'!L396</f>
        <v>8.3379999999999992</v>
      </c>
      <c r="F235" s="9">
        <f>'1_Du_lieu'!M396</f>
        <v>70.52</v>
      </c>
      <c r="G235" s="9">
        <f>'1_Du_lieu'!N396</f>
        <v>23.3</v>
      </c>
      <c r="H235" s="9">
        <f>'1_Du_lieu'!X396</f>
        <v>1.0432512147827513</v>
      </c>
      <c r="I235" s="9">
        <f>'1_Du_lieu'!T396</f>
        <v>1.4298196838509809</v>
      </c>
      <c r="J235" s="9">
        <f>'1_Du_lieu'!Y396</f>
        <v>7.5003636341634694</v>
      </c>
      <c r="K235" s="9">
        <f>'1_Du_lieu'!O396</f>
        <v>31</v>
      </c>
      <c r="L235" s="5">
        <f t="shared" si="15"/>
        <v>0</v>
      </c>
      <c r="M235" s="5">
        <f t="shared" si="16"/>
        <v>0</v>
      </c>
      <c r="N235" s="5">
        <f t="shared" si="17"/>
        <v>0</v>
      </c>
      <c r="O235" s="5">
        <f t="shared" si="18"/>
        <v>1</v>
      </c>
      <c r="P235" s="5">
        <f t="shared" si="19"/>
        <v>0</v>
      </c>
      <c r="AA235" s="5">
        <f>'1_Du_lieu'!D396</f>
        <v>0</v>
      </c>
    </row>
    <row r="236" spans="1:27" x14ac:dyDescent="0.25">
      <c r="A236" t="s">
        <v>104</v>
      </c>
      <c r="B236">
        <v>2023</v>
      </c>
      <c r="C236" s="7">
        <f>'1_Du_lieu'!V397</f>
        <v>2.6100697927420065</v>
      </c>
      <c r="D236" s="9">
        <f>'1_Du_lieu'!W397</f>
        <v>4.0569887756783318</v>
      </c>
      <c r="E236" s="9">
        <f>'1_Du_lieu'!L397</f>
        <v>3.3820000000000001</v>
      </c>
      <c r="F236" s="9">
        <f>'1_Du_lieu'!M397</f>
        <v>29.44</v>
      </c>
      <c r="G236" s="9">
        <f>'1_Du_lieu'!N397</f>
        <v>15.3</v>
      </c>
      <c r="H236" s="9">
        <f>'1_Du_lieu'!X397</f>
        <v>2.4558519854784486</v>
      </c>
      <c r="I236" s="9">
        <f>'1_Du_lieu'!T397</f>
        <v>1.1772724456286014</v>
      </c>
      <c r="J236" s="9">
        <f>'1_Du_lieu'!Y397</f>
        <v>4.0707346965829672</v>
      </c>
      <c r="K236" s="9">
        <f>'1_Du_lieu'!O397</f>
        <v>15.9</v>
      </c>
      <c r="L236" s="5">
        <f t="shared" si="15"/>
        <v>0</v>
      </c>
      <c r="M236" s="5">
        <f t="shared" si="16"/>
        <v>0</v>
      </c>
      <c r="N236" s="5">
        <f t="shared" si="17"/>
        <v>0</v>
      </c>
      <c r="O236" s="5">
        <f t="shared" si="18"/>
        <v>1</v>
      </c>
      <c r="P236" s="5">
        <f t="shared" si="19"/>
        <v>0</v>
      </c>
      <c r="AA236" s="5">
        <f>'1_Du_lieu'!D397</f>
        <v>0</v>
      </c>
    </row>
    <row r="237" spans="1:27" x14ac:dyDescent="0.25">
      <c r="A237" t="s">
        <v>107</v>
      </c>
      <c r="B237">
        <v>2023</v>
      </c>
      <c r="C237" s="7">
        <f>'1_Du_lieu'!V399</f>
        <v>2.8791984572980396</v>
      </c>
      <c r="D237" s="9">
        <f>'1_Du_lieu'!W399</f>
        <v>4.5622626849768144</v>
      </c>
      <c r="E237" s="9">
        <f>'1_Du_lieu'!L399</f>
        <v>6.1210000000000004</v>
      </c>
      <c r="F237" s="9">
        <f>'1_Du_lieu'!M399</f>
        <v>28.2</v>
      </c>
      <c r="G237" s="9">
        <f>'1_Du_lieu'!N399</f>
        <v>29.5</v>
      </c>
      <c r="H237" s="9">
        <f>'1_Du_lieu'!X399</f>
        <v>2.9797971999507391</v>
      </c>
      <c r="I237" s="9">
        <f>'1_Du_lieu'!T399</f>
        <v>1.2416751326334801</v>
      </c>
      <c r="J237" s="9">
        <f>'1_Du_lieu'!Y399</f>
        <v>8.828757792331265</v>
      </c>
      <c r="K237" s="9">
        <f>'1_Du_lieu'!O399</f>
        <v>18</v>
      </c>
      <c r="L237" s="5">
        <f t="shared" si="15"/>
        <v>0</v>
      </c>
      <c r="M237" s="5">
        <f t="shared" si="16"/>
        <v>0</v>
      </c>
      <c r="N237" s="5">
        <f t="shared" si="17"/>
        <v>0</v>
      </c>
      <c r="O237" s="5">
        <f t="shared" si="18"/>
        <v>1</v>
      </c>
      <c r="P237" s="5">
        <f t="shared" si="19"/>
        <v>0</v>
      </c>
      <c r="AA237" s="5">
        <f>'1_Du_lieu'!D399</f>
        <v>1</v>
      </c>
    </row>
    <row r="238" spans="1:27" x14ac:dyDescent="0.25">
      <c r="A238" t="s">
        <v>108</v>
      </c>
      <c r="B238">
        <v>2023</v>
      </c>
      <c r="C238" s="7">
        <f>'1_Du_lieu'!V400</f>
        <v>4.4508528256037341</v>
      </c>
      <c r="D238" s="9">
        <f>'1_Du_lieu'!W400</f>
        <v>5.0086332914255829</v>
      </c>
      <c r="E238" s="9">
        <f>'1_Du_lieu'!L400</f>
        <v>22.382000000000001</v>
      </c>
      <c r="F238" s="9">
        <f>'1_Du_lieu'!M400</f>
        <v>49.06</v>
      </c>
      <c r="G238" s="9">
        <f>'1_Du_lieu'!N400</f>
        <v>50.8</v>
      </c>
      <c r="H238" s="9">
        <f>'1_Du_lieu'!X400</f>
        <v>3.1935935495764549</v>
      </c>
      <c r="I238" s="9">
        <f>'1_Du_lieu'!T400</f>
        <v>1.8516146312491992</v>
      </c>
      <c r="J238" s="9">
        <f>'1_Du_lieu'!Y400</f>
        <v>8.4766211656511903</v>
      </c>
      <c r="K238" s="9">
        <f>'1_Du_lieu'!O400</f>
        <v>52.2</v>
      </c>
      <c r="L238" s="5">
        <f t="shared" si="15"/>
        <v>0</v>
      </c>
      <c r="M238" s="5">
        <f t="shared" si="16"/>
        <v>0</v>
      </c>
      <c r="N238" s="5">
        <f t="shared" si="17"/>
        <v>0</v>
      </c>
      <c r="O238" s="5">
        <f t="shared" si="18"/>
        <v>1</v>
      </c>
      <c r="P238" s="5">
        <f t="shared" si="19"/>
        <v>0</v>
      </c>
      <c r="AA238" s="5">
        <f>'1_Du_lieu'!D400</f>
        <v>1</v>
      </c>
    </row>
    <row r="239" spans="1:27" x14ac:dyDescent="0.25">
      <c r="A239" t="s">
        <v>109</v>
      </c>
      <c r="B239">
        <v>2023</v>
      </c>
      <c r="C239" s="7">
        <f>'1_Du_lieu'!V401</f>
        <v>2.5877640352277083</v>
      </c>
      <c r="D239" s="9">
        <f>'1_Du_lieu'!W401</f>
        <v>4.3372907408324899</v>
      </c>
      <c r="E239" s="9">
        <f>'1_Du_lieu'!L401</f>
        <v>4.3719999999999999</v>
      </c>
      <c r="F239" s="9">
        <f>'1_Du_lieu'!M401</f>
        <v>22.51</v>
      </c>
      <c r="G239" s="9">
        <f>'1_Du_lieu'!N401</f>
        <v>31.6</v>
      </c>
      <c r="H239" s="9">
        <f>'1_Du_lieu'!X401</f>
        <v>3.5347750450300257</v>
      </c>
      <c r="I239" s="9">
        <f>'1_Du_lieu'!T401</f>
        <v>0.37772909269471933</v>
      </c>
      <c r="J239" s="9">
        <f>'1_Du_lieu'!Y401</f>
        <v>9.1196495066916796</v>
      </c>
      <c r="K239" s="9">
        <f>'1_Du_lieu'!O401</f>
        <v>16.3</v>
      </c>
      <c r="L239" s="5">
        <f t="shared" si="15"/>
        <v>0</v>
      </c>
      <c r="M239" s="5">
        <f t="shared" si="16"/>
        <v>0</v>
      </c>
      <c r="N239" s="5">
        <f t="shared" si="17"/>
        <v>0</v>
      </c>
      <c r="O239" s="5">
        <f t="shared" si="18"/>
        <v>1</v>
      </c>
      <c r="P239" s="5">
        <f t="shared" si="19"/>
        <v>0</v>
      </c>
      <c r="AA239" s="5">
        <f>'1_Du_lieu'!D401</f>
        <v>0</v>
      </c>
    </row>
    <row r="240" spans="1:27" x14ac:dyDescent="0.25">
      <c r="A240" t="s">
        <v>110</v>
      </c>
      <c r="B240">
        <v>2023</v>
      </c>
      <c r="C240" s="7">
        <f>'1_Du_lieu'!V402</f>
        <v>2.5014359517392109</v>
      </c>
      <c r="D240" s="9">
        <f>'1_Du_lieu'!W402</f>
        <v>4.2456340097683265</v>
      </c>
      <c r="E240" s="9">
        <f>'1_Du_lieu'!L402</f>
        <v>3.375</v>
      </c>
      <c r="F240" s="9">
        <f>'1_Du_lieu'!M402</f>
        <v>25.68</v>
      </c>
      <c r="G240" s="9">
        <f>'1_Du_lieu'!N402</f>
        <v>23.8</v>
      </c>
      <c r="H240" s="9">
        <f>'1_Du_lieu'!X402</f>
        <v>2.2822317178119582</v>
      </c>
      <c r="I240" s="9">
        <f>'1_Du_lieu'!T402</f>
        <v>1.0221465076660987</v>
      </c>
      <c r="J240" s="9">
        <f>'1_Du_lieu'!Y402</f>
        <v>6.7878449823095792</v>
      </c>
      <c r="K240" s="9">
        <f>'1_Du_lieu'!O402</f>
        <v>18.399999999999999</v>
      </c>
      <c r="L240" s="5">
        <f t="shared" si="15"/>
        <v>0</v>
      </c>
      <c r="M240" s="5">
        <f t="shared" si="16"/>
        <v>0</v>
      </c>
      <c r="N240" s="5">
        <f t="shared" si="17"/>
        <v>0</v>
      </c>
      <c r="O240" s="5">
        <f t="shared" si="18"/>
        <v>1</v>
      </c>
      <c r="P240" s="5">
        <f t="shared" si="19"/>
        <v>0</v>
      </c>
      <c r="AA240" s="5">
        <f>'1_Du_lieu'!D402</f>
        <v>0</v>
      </c>
    </row>
    <row r="241" spans="1:27" x14ac:dyDescent="0.25">
      <c r="A241" t="s">
        <v>111</v>
      </c>
      <c r="B241">
        <v>2023</v>
      </c>
      <c r="C241" s="7">
        <f>'1_Du_lieu'!V403</f>
        <v>3.0204248861443626</v>
      </c>
      <c r="D241" s="9">
        <f>'1_Du_lieu'!W403</f>
        <v>4.6995708614095761</v>
      </c>
      <c r="E241" s="9">
        <f>'1_Du_lieu'!L403</f>
        <v>7.4969999999999999</v>
      </c>
      <c r="F241" s="9">
        <f>'1_Du_lieu'!M403</f>
        <v>16.989999999999998</v>
      </c>
      <c r="G241" s="9">
        <f>'1_Du_lieu'!N403</f>
        <v>28.2</v>
      </c>
      <c r="H241" s="9">
        <f>'1_Du_lieu'!X403</f>
        <v>3.3154290302726985</v>
      </c>
      <c r="I241" s="9">
        <f>'1_Du_lieu'!T403</f>
        <v>1.8447348193697155</v>
      </c>
      <c r="J241" s="9">
        <f>'1_Du_lieu'!Y403</f>
        <v>8.6638702992607257</v>
      </c>
      <c r="K241" s="9">
        <f>'1_Du_lieu'!O403</f>
        <v>27.3</v>
      </c>
      <c r="L241" s="5">
        <f t="shared" si="15"/>
        <v>0</v>
      </c>
      <c r="M241" s="5">
        <f t="shared" si="16"/>
        <v>0</v>
      </c>
      <c r="N241" s="5">
        <f t="shared" si="17"/>
        <v>0</v>
      </c>
      <c r="O241" s="5">
        <f t="shared" si="18"/>
        <v>1</v>
      </c>
      <c r="P241" s="5">
        <f t="shared" si="19"/>
        <v>0</v>
      </c>
      <c r="AA241" s="5">
        <f>'1_Du_lieu'!D403</f>
        <v>1</v>
      </c>
    </row>
    <row r="242" spans="1:27" x14ac:dyDescent="0.25">
      <c r="A242" t="s">
        <v>112</v>
      </c>
      <c r="B242">
        <v>2023</v>
      </c>
      <c r="C242" s="7">
        <f>'1_Du_lieu'!V404</f>
        <v>2.9285235238605409</v>
      </c>
      <c r="D242" s="9">
        <f>'1_Du_lieu'!W404</f>
        <v>4.5528237056158822</v>
      </c>
      <c r="E242" s="9">
        <f>'1_Du_lieu'!L404</f>
        <v>5.7359999999999998</v>
      </c>
      <c r="F242" s="9">
        <f>'1_Du_lieu'!M404</f>
        <v>31.68</v>
      </c>
      <c r="G242" s="9">
        <f>'1_Du_lieu'!N404</f>
        <v>29.2</v>
      </c>
      <c r="H242" s="9">
        <f>'1_Du_lieu'!X404</f>
        <v>3.2946589515718152</v>
      </c>
      <c r="I242" s="9">
        <f>'1_Du_lieu'!T404</f>
        <v>0.56211354693648108</v>
      </c>
      <c r="J242" s="9">
        <f>'1_Du_lieu'!Y404</f>
        <v>8.579303767479141</v>
      </c>
      <c r="K242" s="9">
        <f>'1_Du_lieu'!O404</f>
        <v>27.2</v>
      </c>
      <c r="L242" s="5">
        <f t="shared" si="15"/>
        <v>0</v>
      </c>
      <c r="M242" s="5">
        <f t="shared" si="16"/>
        <v>0</v>
      </c>
      <c r="N242" s="5">
        <f t="shared" si="17"/>
        <v>0</v>
      </c>
      <c r="O242" s="5">
        <f t="shared" si="18"/>
        <v>1</v>
      </c>
      <c r="P242" s="5">
        <f t="shared" si="19"/>
        <v>0</v>
      </c>
      <c r="AA242" s="5">
        <f>'1_Du_lieu'!D404</f>
        <v>1</v>
      </c>
    </row>
    <row r="243" spans="1:27" x14ac:dyDescent="0.25">
      <c r="A243" t="s">
        <v>113</v>
      </c>
      <c r="B243">
        <v>2023</v>
      </c>
      <c r="C243" s="7">
        <f>'1_Du_lieu'!V405</f>
        <v>3.3534067178258069</v>
      </c>
      <c r="D243" s="9">
        <f>'1_Du_lieu'!W405</f>
        <v>5.2208962195794522</v>
      </c>
      <c r="E243" s="9">
        <f>'1_Du_lieu'!L405</f>
        <v>9.9939999999999998</v>
      </c>
      <c r="F243" s="9">
        <f>'1_Du_lieu'!M405</f>
        <v>45.63</v>
      </c>
      <c r="G243" s="9">
        <f>'1_Du_lieu'!N405</f>
        <v>36.5</v>
      </c>
      <c r="H243" s="9">
        <f>'1_Du_lieu'!X405</f>
        <v>4.1304894126587515</v>
      </c>
      <c r="I243" s="9">
        <f>'1_Du_lieu'!T405</f>
        <v>1.8527315914489311</v>
      </c>
      <c r="J243" s="9">
        <f>'1_Du_lieu'!Y405</f>
        <v>9.5257567677856638</v>
      </c>
      <c r="K243" s="9">
        <f>'1_Du_lieu'!O405</f>
        <v>28.3</v>
      </c>
      <c r="L243" s="5">
        <f t="shared" si="15"/>
        <v>0</v>
      </c>
      <c r="M243" s="5">
        <f t="shared" si="16"/>
        <v>0</v>
      </c>
      <c r="N243" s="5">
        <f t="shared" si="17"/>
        <v>0</v>
      </c>
      <c r="O243" s="5">
        <f t="shared" si="18"/>
        <v>1</v>
      </c>
      <c r="P243" s="5">
        <f t="shared" si="19"/>
        <v>0</v>
      </c>
      <c r="AA243" s="5">
        <f>'1_Du_lieu'!D405</f>
        <v>1</v>
      </c>
    </row>
    <row r="244" spans="1:27" x14ac:dyDescent="0.25">
      <c r="A244" t="s">
        <v>114</v>
      </c>
      <c r="B244">
        <v>2023</v>
      </c>
      <c r="C244" s="7">
        <f>'1_Du_lieu'!V406</f>
        <v>2.4680995314716192</v>
      </c>
      <c r="D244" s="9">
        <f>'1_Du_lieu'!W406</f>
        <v>4.3757570216602861</v>
      </c>
      <c r="E244" s="9">
        <f>'1_Du_lieu'!L406</f>
        <v>3.7349999999999999</v>
      </c>
      <c r="F244" s="9">
        <f>'1_Du_lieu'!M406</f>
        <v>28.11</v>
      </c>
      <c r="G244" s="9">
        <f>'1_Du_lieu'!N406</f>
        <v>13.7</v>
      </c>
      <c r="H244" s="9">
        <f>'1_Du_lieu'!X406</f>
        <v>1.4593842792877025</v>
      </c>
      <c r="I244" s="9">
        <f>'1_Du_lieu'!T406</f>
        <v>0.68653027598517091</v>
      </c>
      <c r="J244" s="9">
        <f>'1_Du_lieu'!Y406</f>
        <v>6.9696966805223202</v>
      </c>
      <c r="K244" s="9">
        <f>'1_Du_lieu'!O406</f>
        <v>14.8</v>
      </c>
      <c r="L244" s="5">
        <f t="shared" si="15"/>
        <v>0</v>
      </c>
      <c r="M244" s="5">
        <f t="shared" si="16"/>
        <v>0</v>
      </c>
      <c r="N244" s="5">
        <f t="shared" si="17"/>
        <v>0</v>
      </c>
      <c r="O244" s="5">
        <f t="shared" si="18"/>
        <v>1</v>
      </c>
      <c r="P244" s="5">
        <f t="shared" si="19"/>
        <v>0</v>
      </c>
      <c r="AA244" s="5">
        <f>'1_Du_lieu'!D406</f>
        <v>0</v>
      </c>
    </row>
    <row r="245" spans="1:27" x14ac:dyDescent="0.25">
      <c r="A245" t="s">
        <v>115</v>
      </c>
      <c r="B245">
        <v>2023</v>
      </c>
      <c r="C245" s="7">
        <f>'1_Du_lieu'!V407</f>
        <v>3.1484533605716547</v>
      </c>
      <c r="D245" s="9">
        <f>'1_Du_lieu'!W407</f>
        <v>4.4830025520138834</v>
      </c>
      <c r="E245" s="9">
        <f>'1_Du_lieu'!L407</f>
        <v>9.0820000000000007</v>
      </c>
      <c r="F245" s="9">
        <f>'1_Du_lieu'!M407</f>
        <v>42.39</v>
      </c>
      <c r="G245" s="9">
        <f>'1_Du_lieu'!N407</f>
        <v>25.3</v>
      </c>
      <c r="H245" s="9">
        <f>'1_Du_lieu'!X407</f>
        <v>3.0975907097764734</v>
      </c>
      <c r="I245" s="9">
        <f>'1_Du_lieu'!T407</f>
        <v>1.8245280025384738</v>
      </c>
      <c r="J245" s="9">
        <f>'1_Du_lieu'!Y407</f>
        <v>8.1603468042105192</v>
      </c>
      <c r="K245" s="9">
        <f>'1_Du_lieu'!O407</f>
        <v>31.1</v>
      </c>
      <c r="L245" s="5">
        <f t="shared" si="15"/>
        <v>0</v>
      </c>
      <c r="M245" s="5">
        <f t="shared" si="16"/>
        <v>0</v>
      </c>
      <c r="N245" s="5">
        <f t="shared" si="17"/>
        <v>0</v>
      </c>
      <c r="O245" s="5">
        <f t="shared" si="18"/>
        <v>1</v>
      </c>
      <c r="P245" s="5">
        <f t="shared" si="19"/>
        <v>0</v>
      </c>
      <c r="AA245" s="5">
        <f>'1_Du_lieu'!D407</f>
        <v>0</v>
      </c>
    </row>
    <row r="246" spans="1:27" x14ac:dyDescent="0.25">
      <c r="A246" t="s">
        <v>116</v>
      </c>
      <c r="B246">
        <v>2023</v>
      </c>
      <c r="C246" s="7">
        <f>'1_Du_lieu'!V408</f>
        <v>2.5802168295923251</v>
      </c>
      <c r="D246" s="9">
        <f>'1_Du_lieu'!W408</f>
        <v>4.2835865618606288</v>
      </c>
      <c r="E246" s="9">
        <f>'1_Du_lieu'!L408</f>
        <v>5.0250000000000004</v>
      </c>
      <c r="F246" s="9">
        <f>'1_Du_lieu'!M408</f>
        <v>30.12</v>
      </c>
      <c r="G246" s="9">
        <f>'1_Du_lieu'!N408</f>
        <v>16.8</v>
      </c>
      <c r="H246" s="9">
        <f>'1_Du_lieu'!X408</f>
        <v>0.57791387397611804</v>
      </c>
      <c r="I246" s="9">
        <f>'1_Du_lieu'!T408</f>
        <v>5.4691505725517011</v>
      </c>
      <c r="J246" s="9">
        <f>'1_Du_lieu'!Y408</f>
        <v>7.9163334449462655</v>
      </c>
      <c r="K246" s="9">
        <f>'1_Du_lieu'!O408</f>
        <v>16.3</v>
      </c>
      <c r="L246" s="5">
        <f t="shared" si="15"/>
        <v>0</v>
      </c>
      <c r="M246" s="5">
        <f t="shared" si="16"/>
        <v>0</v>
      </c>
      <c r="N246" s="5">
        <f t="shared" si="17"/>
        <v>0</v>
      </c>
      <c r="O246" s="5">
        <f t="shared" si="18"/>
        <v>1</v>
      </c>
      <c r="P246" s="5">
        <f t="shared" si="19"/>
        <v>0</v>
      </c>
      <c r="AA246" s="5">
        <f>'1_Du_lieu'!D408</f>
        <v>0</v>
      </c>
    </row>
    <row r="247" spans="1:27" x14ac:dyDescent="0.25">
      <c r="A247" t="s">
        <v>117</v>
      </c>
      <c r="B247">
        <v>2023</v>
      </c>
      <c r="C247" s="7">
        <f>'1_Du_lieu'!V409</f>
        <v>2.3223877202902252</v>
      </c>
      <c r="D247" s="9">
        <f>'1_Du_lieu'!W409</f>
        <v>4.0775374439057197</v>
      </c>
      <c r="E247" s="9">
        <f>'1_Du_lieu'!L409</f>
        <v>3.6360000000000001</v>
      </c>
      <c r="F247" s="9">
        <f>'1_Du_lieu'!M409</f>
        <v>32.44</v>
      </c>
      <c r="G247" s="9">
        <f>'1_Du_lieu'!N409</f>
        <v>17.8</v>
      </c>
      <c r="H247" s="9">
        <f>'1_Du_lieu'!X409</f>
        <v>2.665450879720793</v>
      </c>
      <c r="I247" s="9">
        <f>'1_Du_lieu'!T409</f>
        <v>0.84559445290038915</v>
      </c>
      <c r="J247" s="9">
        <f>'1_Du_lieu'!Y409</f>
        <v>6.0224786006371511</v>
      </c>
      <c r="K247" s="9">
        <f>'1_Du_lieu'!O409</f>
        <v>23.1</v>
      </c>
      <c r="L247" s="5">
        <f t="shared" si="15"/>
        <v>0</v>
      </c>
      <c r="M247" s="5">
        <f t="shared" si="16"/>
        <v>0</v>
      </c>
      <c r="N247" s="5">
        <f t="shared" si="17"/>
        <v>0</v>
      </c>
      <c r="O247" s="5">
        <f t="shared" si="18"/>
        <v>1</v>
      </c>
      <c r="P247" s="5">
        <f t="shared" si="19"/>
        <v>0</v>
      </c>
      <c r="AA247" s="5">
        <f>'1_Du_lieu'!D409</f>
        <v>0</v>
      </c>
    </row>
    <row r="248" spans="1:27" x14ac:dyDescent="0.25">
      <c r="A248" t="s">
        <v>119</v>
      </c>
      <c r="B248">
        <v>2023</v>
      </c>
      <c r="C248" s="7">
        <f>'1_Du_lieu'!V411</f>
        <v>2.8678989020441064</v>
      </c>
      <c r="D248" s="9">
        <f>'1_Du_lieu'!W411</f>
        <v>4.5390303834835466</v>
      </c>
      <c r="E248" s="9">
        <f>'1_Du_lieu'!L411</f>
        <v>7.0049999999999999</v>
      </c>
      <c r="F248" s="9">
        <f>'1_Du_lieu'!M411</f>
        <v>18.399999999999999</v>
      </c>
      <c r="G248" s="9">
        <f>'1_Du_lieu'!N411</f>
        <v>15.9</v>
      </c>
      <c r="H248" s="9">
        <f>'1_Du_lieu'!X411</f>
        <v>1.5310142902595101</v>
      </c>
      <c r="I248" s="9">
        <f>'1_Du_lieu'!T411</f>
        <v>0.45887346564184922</v>
      </c>
      <c r="J248" s="9">
        <f>'1_Du_lieu'!Y411</f>
        <v>8.96078867488567</v>
      </c>
      <c r="K248" s="9">
        <f>'1_Du_lieu'!O411</f>
        <v>21.6</v>
      </c>
      <c r="L248" s="5">
        <f t="shared" si="15"/>
        <v>0</v>
      </c>
      <c r="M248" s="5">
        <f t="shared" si="16"/>
        <v>0</v>
      </c>
      <c r="N248" s="5">
        <f t="shared" si="17"/>
        <v>0</v>
      </c>
      <c r="O248" s="5">
        <f t="shared" si="18"/>
        <v>1</v>
      </c>
      <c r="P248" s="5">
        <f t="shared" si="19"/>
        <v>0</v>
      </c>
      <c r="AA248" s="5">
        <f>'1_Du_lieu'!D411</f>
        <v>0</v>
      </c>
    </row>
    <row r="249" spans="1:27" x14ac:dyDescent="0.25">
      <c r="A249" t="s">
        <v>120</v>
      </c>
      <c r="B249">
        <v>2023</v>
      </c>
      <c r="C249" s="7">
        <f>'1_Du_lieu'!V412</f>
        <v>2.8903717578961645</v>
      </c>
      <c r="D249" s="9">
        <f>'1_Du_lieu'!W412</f>
        <v>4.4461744544976334</v>
      </c>
      <c r="E249" s="9">
        <f>'1_Du_lieu'!L412</f>
        <v>4.6020000000000003</v>
      </c>
      <c r="F249" s="9">
        <f>'1_Du_lieu'!M412</f>
        <v>27.05</v>
      </c>
      <c r="G249" s="9">
        <f>'1_Du_lieu'!N412</f>
        <v>22.8</v>
      </c>
      <c r="H249" s="9">
        <f>'1_Du_lieu'!X412</f>
        <v>2.3051078729742289</v>
      </c>
      <c r="I249" s="9">
        <f>'1_Du_lieu'!T412</f>
        <v>1.1539941018079241</v>
      </c>
      <c r="J249" s="9">
        <f>'1_Du_lieu'!Y412</f>
        <v>6.7356612423436184</v>
      </c>
      <c r="K249" s="9">
        <f>'1_Du_lieu'!O412</f>
        <v>14.7</v>
      </c>
      <c r="L249" s="5">
        <f t="shared" si="15"/>
        <v>0</v>
      </c>
      <c r="M249" s="5">
        <f t="shared" si="16"/>
        <v>0</v>
      </c>
      <c r="N249" s="5">
        <f t="shared" si="17"/>
        <v>0</v>
      </c>
      <c r="O249" s="5">
        <f t="shared" si="18"/>
        <v>1</v>
      </c>
      <c r="P249" s="5">
        <f t="shared" si="19"/>
        <v>0</v>
      </c>
      <c r="AA249" s="5">
        <f>'1_Du_lieu'!D412</f>
        <v>0</v>
      </c>
    </row>
    <row r="250" spans="1:27" x14ac:dyDescent="0.25">
      <c r="A250" t="s">
        <v>121</v>
      </c>
      <c r="B250">
        <v>2023</v>
      </c>
      <c r="C250" s="7">
        <f>'1_Du_lieu'!V413</f>
        <v>2.9856819377004897</v>
      </c>
      <c r="D250" s="9">
        <f>'1_Du_lieu'!W413</f>
        <v>4.4426512564903167</v>
      </c>
      <c r="E250" s="9">
        <f>'1_Du_lieu'!L413</f>
        <v>6.1319999999999997</v>
      </c>
      <c r="F250" s="9">
        <f>'1_Du_lieu'!M413</f>
        <v>39.380000000000003</v>
      </c>
      <c r="G250" s="9">
        <f>'1_Du_lieu'!N413</f>
        <v>22.7</v>
      </c>
      <c r="H250" s="9">
        <f>'1_Du_lieu'!X413</f>
        <v>3.0583893790985237</v>
      </c>
      <c r="I250" s="9">
        <f>'1_Du_lieu'!T413</f>
        <v>0.59479553903345728</v>
      </c>
      <c r="J250" s="9">
        <f>'1_Du_lieu'!Y413</f>
        <v>6.0287603318516787</v>
      </c>
      <c r="K250" s="9">
        <f>'1_Du_lieu'!O413</f>
        <v>33.200000000000003</v>
      </c>
      <c r="L250" s="5">
        <f t="shared" si="15"/>
        <v>0</v>
      </c>
      <c r="M250" s="5">
        <f t="shared" si="16"/>
        <v>0</v>
      </c>
      <c r="N250" s="5">
        <f t="shared" si="17"/>
        <v>0</v>
      </c>
      <c r="O250" s="5">
        <f t="shared" si="18"/>
        <v>1</v>
      </c>
      <c r="P250" s="5">
        <f t="shared" si="19"/>
        <v>0</v>
      </c>
      <c r="AA250" s="5">
        <f>'1_Du_lieu'!D413</f>
        <v>0</v>
      </c>
    </row>
    <row r="251" spans="1:27" x14ac:dyDescent="0.25">
      <c r="A251" t="s">
        <v>122</v>
      </c>
      <c r="B251">
        <v>2023</v>
      </c>
      <c r="C251" s="7">
        <f>'1_Du_lieu'!V414</f>
        <v>2.4765384001174837</v>
      </c>
      <c r="D251" s="9">
        <f>'1_Du_lieu'!W414</f>
        <v>4.0569887756783318</v>
      </c>
      <c r="E251" s="9">
        <f>'1_Du_lieu'!L414</f>
        <v>3.3919999999999999</v>
      </c>
      <c r="F251" s="9">
        <f>'1_Du_lieu'!M414</f>
        <v>23.18</v>
      </c>
      <c r="G251" s="9">
        <f>'1_Du_lieu'!N414</f>
        <v>27.6</v>
      </c>
      <c r="H251" s="9">
        <f>'1_Du_lieu'!X414</f>
        <v>2.1331566502704176</v>
      </c>
      <c r="I251" s="9">
        <f>'1_Du_lieu'!T414</f>
        <v>0.99095751269664323</v>
      </c>
      <c r="J251" s="9">
        <f>'1_Du_lieu'!Y414</f>
        <v>6.4597479476082977</v>
      </c>
      <c r="K251" s="9">
        <f>'1_Du_lieu'!O414</f>
        <v>15.7</v>
      </c>
      <c r="L251" s="5">
        <f t="shared" si="15"/>
        <v>0</v>
      </c>
      <c r="M251" s="5">
        <f t="shared" si="16"/>
        <v>0</v>
      </c>
      <c r="N251" s="5">
        <f t="shared" si="17"/>
        <v>0</v>
      </c>
      <c r="O251" s="5">
        <f t="shared" si="18"/>
        <v>1</v>
      </c>
      <c r="P251" s="5">
        <f t="shared" si="19"/>
        <v>0</v>
      </c>
      <c r="AA251" s="5">
        <f>'1_Du_lieu'!D414</f>
        <v>0</v>
      </c>
    </row>
    <row r="252" spans="1:27" x14ac:dyDescent="0.25">
      <c r="A252" t="s">
        <v>123</v>
      </c>
      <c r="B252">
        <v>2023</v>
      </c>
      <c r="C252" s="7">
        <f>'1_Du_lieu'!V415</f>
        <v>2.954910279033736</v>
      </c>
      <c r="D252" s="9">
        <f>'1_Du_lieu'!W415</f>
        <v>3.9435216724875173</v>
      </c>
      <c r="E252" s="9">
        <f>'1_Du_lieu'!L415</f>
        <v>3.7719999999999998</v>
      </c>
      <c r="F252" s="9">
        <f>'1_Du_lieu'!M415</f>
        <v>20.420000000000002</v>
      </c>
      <c r="G252" s="9">
        <f>'1_Du_lieu'!N415</f>
        <v>21.7</v>
      </c>
      <c r="H252" s="9">
        <f>'1_Du_lieu'!X415</f>
        <v>2.2432298019540498</v>
      </c>
      <c r="I252" s="9">
        <f>'1_Du_lieu'!T415</f>
        <v>1.1128186105664777</v>
      </c>
      <c r="J252" s="9">
        <f>'1_Du_lieu'!Y415</f>
        <v>7.6741993886035393</v>
      </c>
      <c r="K252" s="9">
        <f>'1_Du_lieu'!O415</f>
        <v>20.5</v>
      </c>
      <c r="L252" s="5">
        <f t="shared" si="15"/>
        <v>0</v>
      </c>
      <c r="M252" s="5">
        <f t="shared" si="16"/>
        <v>0</v>
      </c>
      <c r="N252" s="5">
        <f t="shared" si="17"/>
        <v>0</v>
      </c>
      <c r="O252" s="5">
        <f t="shared" si="18"/>
        <v>1</v>
      </c>
      <c r="P252" s="5">
        <f t="shared" si="19"/>
        <v>0</v>
      </c>
      <c r="AA252" s="5">
        <f>'1_Du_lieu'!D415</f>
        <v>1</v>
      </c>
    </row>
    <row r="253" spans="1:27" x14ac:dyDescent="0.25">
      <c r="A253" t="s">
        <v>124</v>
      </c>
      <c r="B253">
        <v>2023</v>
      </c>
      <c r="C253" s="7">
        <f>'1_Du_lieu'!V416</f>
        <v>2.9755295662364718</v>
      </c>
      <c r="D253" s="9">
        <f>'1_Du_lieu'!W416</f>
        <v>4.0055133485154846</v>
      </c>
      <c r="E253" s="9">
        <f>'1_Du_lieu'!L416</f>
        <v>3.9649999999999999</v>
      </c>
      <c r="F253" s="9">
        <f>'1_Du_lieu'!M416</f>
        <v>15.69</v>
      </c>
      <c r="G253" s="9">
        <f>'1_Du_lieu'!N416</f>
        <v>25.7</v>
      </c>
      <c r="H253" s="9">
        <f>'1_Du_lieu'!X416</f>
        <v>3.8512133359859355</v>
      </c>
      <c r="I253" s="9">
        <f>'1_Du_lieu'!T416</f>
        <v>2.9633933759442184</v>
      </c>
      <c r="J253" s="9">
        <f>'1_Du_lieu'!Y416</f>
        <v>7.1087350175946247</v>
      </c>
      <c r="K253" s="9">
        <f>'1_Du_lieu'!O416</f>
        <v>18.100000000000001</v>
      </c>
      <c r="L253" s="5">
        <f t="shared" si="15"/>
        <v>0</v>
      </c>
      <c r="M253" s="5">
        <f t="shared" si="16"/>
        <v>0</v>
      </c>
      <c r="N253" s="5">
        <f t="shared" si="17"/>
        <v>0</v>
      </c>
      <c r="O253" s="5">
        <f t="shared" si="18"/>
        <v>1</v>
      </c>
      <c r="P253" s="5">
        <f t="shared" si="19"/>
        <v>0</v>
      </c>
      <c r="AA253" s="5">
        <f>'1_Du_lieu'!D416</f>
        <v>0</v>
      </c>
    </row>
    <row r="254" spans="1:27" x14ac:dyDescent="0.25">
      <c r="A254" t="s">
        <v>125</v>
      </c>
      <c r="B254">
        <v>2023</v>
      </c>
      <c r="C254" s="7">
        <f>'1_Du_lieu'!V417</f>
        <v>2.8903717578961645</v>
      </c>
      <c r="D254" s="9">
        <f>'1_Du_lieu'!W417</f>
        <v>4.4212473478271628</v>
      </c>
      <c r="E254" s="9">
        <f>'1_Du_lieu'!L417</f>
        <v>5.4859999999999998</v>
      </c>
      <c r="F254" s="9">
        <f>'1_Du_lieu'!M417</f>
        <v>21.69</v>
      </c>
      <c r="G254" s="9">
        <f>'1_Du_lieu'!N417</f>
        <v>33.6</v>
      </c>
      <c r="H254" s="9">
        <f>'1_Du_lieu'!X417</f>
        <v>3.9371821635260744</v>
      </c>
      <c r="I254" s="9">
        <f>'1_Du_lieu'!T417</f>
        <v>3.4411562284927735</v>
      </c>
      <c r="J254" s="9">
        <f>'1_Du_lieu'!Y417</f>
        <v>7.4516481064523239</v>
      </c>
      <c r="K254" s="9">
        <f>'1_Du_lieu'!O417</f>
        <v>24.5</v>
      </c>
      <c r="L254" s="5">
        <f t="shared" si="15"/>
        <v>0</v>
      </c>
      <c r="M254" s="5">
        <f t="shared" si="16"/>
        <v>0</v>
      </c>
      <c r="N254" s="5">
        <f t="shared" si="17"/>
        <v>0</v>
      </c>
      <c r="O254" s="5">
        <f t="shared" si="18"/>
        <v>1</v>
      </c>
      <c r="P254" s="5">
        <f t="shared" si="19"/>
        <v>0</v>
      </c>
      <c r="AA254" s="5">
        <f>'1_Du_lieu'!D417</f>
        <v>1</v>
      </c>
    </row>
    <row r="255" spans="1:27" x14ac:dyDescent="0.25">
      <c r="A255" t="s">
        <v>126</v>
      </c>
      <c r="B255">
        <v>2023</v>
      </c>
      <c r="C255" s="7">
        <f>'1_Du_lieu'!V418</f>
        <v>2.6173958328340792</v>
      </c>
      <c r="D255" s="9">
        <f>'1_Du_lieu'!W418</f>
        <v>4.4485163759427149</v>
      </c>
      <c r="E255" s="9">
        <f>'1_Du_lieu'!L418</f>
        <v>5.16</v>
      </c>
      <c r="F255" s="9">
        <f>'1_Du_lieu'!M418</f>
        <v>35.5</v>
      </c>
      <c r="G255" s="9">
        <f>'1_Du_lieu'!N418</f>
        <v>18.600000000000001</v>
      </c>
      <c r="H255" s="9">
        <f>'1_Du_lieu'!X418</f>
        <v>2.6536588840470872</v>
      </c>
      <c r="I255" s="9">
        <f>'1_Du_lieu'!T418</f>
        <v>0.99800399201596801</v>
      </c>
      <c r="J255" s="9">
        <f>'1_Du_lieu'!Y418</f>
        <v>7.9624505105837899</v>
      </c>
      <c r="K255" s="9">
        <f>'1_Du_lieu'!O418</f>
        <v>18.399999999999999</v>
      </c>
      <c r="L255" s="5">
        <f t="shared" si="15"/>
        <v>0</v>
      </c>
      <c r="M255" s="5">
        <f t="shared" si="16"/>
        <v>0</v>
      </c>
      <c r="N255" s="5">
        <f t="shared" si="17"/>
        <v>0</v>
      </c>
      <c r="O255" s="5">
        <f t="shared" si="18"/>
        <v>1</v>
      </c>
      <c r="P255" s="5">
        <f t="shared" si="19"/>
        <v>0</v>
      </c>
      <c r="AA255" s="5">
        <f>'1_Du_lieu'!D418</f>
        <v>0</v>
      </c>
    </row>
    <row r="256" spans="1:27" x14ac:dyDescent="0.25">
      <c r="A256" t="s">
        <v>127</v>
      </c>
      <c r="B256">
        <v>2023</v>
      </c>
      <c r="C256" s="7">
        <f>'1_Du_lieu'!V419</f>
        <v>2.8791984572980396</v>
      </c>
      <c r="D256" s="9">
        <f>'1_Du_lieu'!W419</f>
        <v>4.1759245492145238</v>
      </c>
      <c r="E256" s="9">
        <f>'1_Du_lieu'!L419</f>
        <v>4.2779999999999996</v>
      </c>
      <c r="F256" s="9">
        <f>'1_Du_lieu'!M419</f>
        <v>19.420000000000002</v>
      </c>
      <c r="G256" s="9">
        <f>'1_Du_lieu'!N419</f>
        <v>34.1</v>
      </c>
      <c r="H256" s="9">
        <f>'1_Du_lieu'!X419</f>
        <v>3.1316354267149693</v>
      </c>
      <c r="I256" s="9">
        <f>'1_Du_lieu'!T419</f>
        <v>1.3065064018813692</v>
      </c>
      <c r="J256" s="9">
        <f>'1_Du_lieu'!Y419</f>
        <v>7.6855193052619608</v>
      </c>
      <c r="K256" s="9">
        <f>'1_Du_lieu'!O419</f>
        <v>24.1</v>
      </c>
      <c r="L256" s="5">
        <f t="shared" si="15"/>
        <v>0</v>
      </c>
      <c r="M256" s="5">
        <f t="shared" si="16"/>
        <v>0</v>
      </c>
      <c r="N256" s="5">
        <f t="shared" si="17"/>
        <v>0</v>
      </c>
      <c r="O256" s="5">
        <f t="shared" si="18"/>
        <v>1</v>
      </c>
      <c r="P256" s="5">
        <f t="shared" si="19"/>
        <v>0</v>
      </c>
      <c r="AA256" s="5">
        <f>'1_Du_lieu'!D419</f>
        <v>0</v>
      </c>
    </row>
    <row r="257" spans="1:27" x14ac:dyDescent="0.25">
      <c r="A257" t="s">
        <v>128</v>
      </c>
      <c r="B257">
        <v>2023</v>
      </c>
      <c r="C257" s="7">
        <f>'1_Du_lieu'!V420</f>
        <v>2.5416019934645457</v>
      </c>
      <c r="D257" s="9">
        <f>'1_Du_lieu'!W420</f>
        <v>4.1447207695471677</v>
      </c>
      <c r="E257" s="9">
        <f>'1_Du_lieu'!L420</f>
        <v>3.871</v>
      </c>
      <c r="F257" s="9">
        <f>'1_Du_lieu'!M420</f>
        <v>32.71</v>
      </c>
      <c r="G257" s="9">
        <f>'1_Du_lieu'!N420</f>
        <v>23.1</v>
      </c>
      <c r="H257" s="9">
        <f>'1_Du_lieu'!X420</f>
        <v>2.5767721638564964</v>
      </c>
      <c r="I257" s="9">
        <f>'1_Du_lieu'!T420</f>
        <v>0.45573658425430102</v>
      </c>
      <c r="J257" s="9">
        <f>'1_Du_lieu'!Y420</f>
        <v>7.7508299485250332</v>
      </c>
      <c r="K257" s="9">
        <f>'1_Du_lieu'!O420</f>
        <v>21</v>
      </c>
      <c r="L257" s="5">
        <f t="shared" si="15"/>
        <v>0</v>
      </c>
      <c r="M257" s="5">
        <f t="shared" si="16"/>
        <v>0</v>
      </c>
      <c r="N257" s="5">
        <f t="shared" si="17"/>
        <v>0</v>
      </c>
      <c r="O257" s="5">
        <f t="shared" si="18"/>
        <v>1</v>
      </c>
      <c r="P257" s="5">
        <f t="shared" si="19"/>
        <v>0</v>
      </c>
      <c r="AA257" s="5">
        <f>'1_Du_lieu'!D420</f>
        <v>0</v>
      </c>
    </row>
    <row r="258" spans="1:27" x14ac:dyDescent="0.25">
      <c r="A258" t="s">
        <v>129</v>
      </c>
      <c r="B258">
        <v>2023</v>
      </c>
      <c r="C258" s="7">
        <f>'1_Du_lieu'!V421</f>
        <v>2.5494451709255714</v>
      </c>
      <c r="D258" s="9">
        <f>'1_Du_lieu'!W421</f>
        <v>4.0826093060036799</v>
      </c>
      <c r="E258" s="9">
        <f>'1_Du_lieu'!L421</f>
        <v>5.6340000000000003</v>
      </c>
      <c r="F258" s="9">
        <f>'1_Du_lieu'!M421</f>
        <v>23.39</v>
      </c>
      <c r="G258" s="9">
        <f>'1_Du_lieu'!N421</f>
        <v>27.7</v>
      </c>
      <c r="H258" s="9">
        <f>'1_Du_lieu'!X421</f>
        <v>3.484044469482082</v>
      </c>
      <c r="I258" s="9">
        <f>'1_Du_lieu'!T421</f>
        <v>0.87079568956133657</v>
      </c>
      <c r="J258" s="9">
        <f>'1_Du_lieu'!Y421</f>
        <v>7.1034042959869534</v>
      </c>
      <c r="K258" s="9">
        <f>'1_Du_lieu'!O421</f>
        <v>20.5</v>
      </c>
      <c r="L258" s="5">
        <f t="shared" si="15"/>
        <v>0</v>
      </c>
      <c r="M258" s="5">
        <f t="shared" si="16"/>
        <v>0</v>
      </c>
      <c r="N258" s="5">
        <f t="shared" si="17"/>
        <v>0</v>
      </c>
      <c r="O258" s="5">
        <f t="shared" si="18"/>
        <v>1</v>
      </c>
      <c r="P258" s="5">
        <f t="shared" si="19"/>
        <v>0</v>
      </c>
      <c r="AA258" s="5">
        <f>'1_Du_lieu'!D421</f>
        <v>0</v>
      </c>
    </row>
    <row r="259" spans="1:27" x14ac:dyDescent="0.25">
      <c r="A259" t="s">
        <v>130</v>
      </c>
      <c r="B259">
        <v>2023</v>
      </c>
      <c r="C259" s="7">
        <f>'1_Du_lieu'!V422</f>
        <v>2.8094026953624978</v>
      </c>
      <c r="D259" s="9">
        <f>'1_Du_lieu'!W422</f>
        <v>4.3320482648676402</v>
      </c>
      <c r="E259" s="9">
        <f>'1_Du_lieu'!L422</f>
        <v>5.4539999999999997</v>
      </c>
      <c r="F259" s="9">
        <f>'1_Du_lieu'!M422</f>
        <v>30.74</v>
      </c>
      <c r="G259" s="9">
        <f>'1_Du_lieu'!N422</f>
        <v>27.5</v>
      </c>
      <c r="H259" s="9">
        <f>'1_Du_lieu'!X422</f>
        <v>2.6152570004470386</v>
      </c>
      <c r="I259" s="9">
        <f>'1_Du_lieu'!T422</f>
        <v>0.19657951641438962</v>
      </c>
      <c r="J259" s="9">
        <f>'1_Du_lieu'!Y422</f>
        <v>8.3387361577244334</v>
      </c>
      <c r="K259" s="9">
        <f>'1_Du_lieu'!O422</f>
        <v>15.6</v>
      </c>
      <c r="L259" s="5">
        <f t="shared" si="15"/>
        <v>0</v>
      </c>
      <c r="M259" s="5">
        <f t="shared" si="16"/>
        <v>0</v>
      </c>
      <c r="N259" s="5">
        <f t="shared" si="17"/>
        <v>0</v>
      </c>
      <c r="O259" s="5">
        <f t="shared" si="18"/>
        <v>1</v>
      </c>
      <c r="P259" s="5">
        <f t="shared" si="19"/>
        <v>0</v>
      </c>
      <c r="AA259" s="5">
        <f>'1_Du_lieu'!D422</f>
        <v>0</v>
      </c>
    </row>
    <row r="260" spans="1:27" x14ac:dyDescent="0.25">
      <c r="A260" t="s">
        <v>131</v>
      </c>
      <c r="B260">
        <v>2023</v>
      </c>
      <c r="C260" s="7">
        <f>'1_Du_lieu'!V423</f>
        <v>2.6026896854443837</v>
      </c>
      <c r="D260" s="9">
        <f>'1_Du_lieu'!W423</f>
        <v>4.6141299273595635</v>
      </c>
      <c r="E260" s="9">
        <f>'1_Du_lieu'!L423</f>
        <v>4.5919999999999996</v>
      </c>
      <c r="F260" s="9">
        <f>'1_Du_lieu'!M423</f>
        <v>21.87</v>
      </c>
      <c r="G260" s="9">
        <f>'1_Du_lieu'!N423</f>
        <v>26.1</v>
      </c>
      <c r="H260" s="9">
        <f>'1_Du_lieu'!X423</f>
        <v>2.5484130705097932</v>
      </c>
      <c r="I260" s="9">
        <f>'1_Du_lieu'!T423</f>
        <v>0.72109606602035092</v>
      </c>
      <c r="J260" s="9">
        <f>'1_Du_lieu'!Y423</f>
        <v>7.5147452630909077</v>
      </c>
      <c r="K260" s="9">
        <f>'1_Du_lieu'!O423</f>
        <v>21.7</v>
      </c>
      <c r="L260" s="5">
        <f t="shared" si="15"/>
        <v>0</v>
      </c>
      <c r="M260" s="5">
        <f t="shared" si="16"/>
        <v>0</v>
      </c>
      <c r="N260" s="5">
        <f t="shared" si="17"/>
        <v>0</v>
      </c>
      <c r="O260" s="5">
        <f t="shared" si="18"/>
        <v>1</v>
      </c>
      <c r="P260" s="5">
        <f t="shared" si="19"/>
        <v>0</v>
      </c>
      <c r="AA260" s="5">
        <f>'1_Du_lieu'!D423</f>
        <v>0</v>
      </c>
    </row>
    <row r="261" spans="1:27" x14ac:dyDescent="0.25">
      <c r="A261" t="s">
        <v>132</v>
      </c>
      <c r="B261">
        <v>2023</v>
      </c>
      <c r="C261" s="7">
        <f>'1_Du_lieu'!V424</f>
        <v>3.0252910757955354</v>
      </c>
      <c r="D261" s="9">
        <f>'1_Du_lieu'!W424</f>
        <v>5.3622306922916891</v>
      </c>
      <c r="E261" s="9">
        <f>'1_Du_lieu'!L424</f>
        <v>7.4489999999999998</v>
      </c>
      <c r="F261" s="9">
        <f>'1_Du_lieu'!M424</f>
        <v>67.36</v>
      </c>
      <c r="G261" s="9">
        <f>'1_Du_lieu'!N424</f>
        <v>41.9</v>
      </c>
      <c r="H261" s="9">
        <f>'1_Du_lieu'!X424</f>
        <v>3.9967676005152759</v>
      </c>
      <c r="I261" s="9">
        <f>'1_Du_lieu'!T424</f>
        <v>2.3892267593397043</v>
      </c>
      <c r="J261" s="9">
        <f>'1_Du_lieu'!Y424</f>
        <v>9.1526265097857102</v>
      </c>
      <c r="K261" s="9">
        <f>'1_Du_lieu'!O424</f>
        <v>17</v>
      </c>
      <c r="L261" s="5">
        <f t="shared" si="15"/>
        <v>0</v>
      </c>
      <c r="M261" s="5">
        <f t="shared" si="16"/>
        <v>0</v>
      </c>
      <c r="N261" s="5">
        <f t="shared" si="17"/>
        <v>0</v>
      </c>
      <c r="O261" s="5">
        <f t="shared" si="18"/>
        <v>1</v>
      </c>
      <c r="P261" s="5">
        <f t="shared" si="19"/>
        <v>0</v>
      </c>
      <c r="AA261" s="5">
        <f>'1_Du_lieu'!D424</f>
        <v>1</v>
      </c>
    </row>
    <row r="262" spans="1:27" x14ac:dyDescent="0.25">
      <c r="A262" t="s">
        <v>133</v>
      </c>
      <c r="B262">
        <v>2023</v>
      </c>
      <c r="C262" s="7">
        <f>'1_Du_lieu'!V425</f>
        <v>2.6100697927420065</v>
      </c>
      <c r="D262" s="9">
        <f>'1_Du_lieu'!W425</f>
        <v>4.2612704335380815</v>
      </c>
      <c r="E262" s="9">
        <f>'1_Du_lieu'!L425</f>
        <v>5.1349999999999998</v>
      </c>
      <c r="F262" s="9">
        <f>'1_Du_lieu'!M425</f>
        <v>32.76</v>
      </c>
      <c r="G262" s="9">
        <f>'1_Du_lieu'!N425</f>
        <v>28</v>
      </c>
      <c r="H262" s="9">
        <f>'1_Du_lieu'!X425</f>
        <v>3.0069198408392999</v>
      </c>
      <c r="I262" s="9">
        <f>'1_Du_lieu'!T425</f>
        <v>6.1143381228981957</v>
      </c>
      <c r="J262" s="9">
        <f>'1_Du_lieu'!Y425</f>
        <v>8.2586037931677296</v>
      </c>
      <c r="K262" s="9">
        <f>'1_Du_lieu'!O425</f>
        <v>28</v>
      </c>
      <c r="L262" s="5">
        <f t="shared" ref="L262:L325" si="20">IF(B262=2020,1,0)</f>
        <v>0</v>
      </c>
      <c r="M262" s="5">
        <f t="shared" ref="M262:M325" si="21">IF(B262=2021,1,0)</f>
        <v>0</v>
      </c>
      <c r="N262" s="5">
        <f t="shared" ref="N262:N325" si="22">IF(B262=2022,1,0)</f>
        <v>0</v>
      </c>
      <c r="O262" s="5">
        <f t="shared" ref="O262:O325" si="23">IF(B262=2023,1,0)</f>
        <v>1</v>
      </c>
      <c r="P262" s="5">
        <f t="shared" ref="P262:P325" si="24">IF(B262=2024,1,0)</f>
        <v>0</v>
      </c>
      <c r="AA262" s="5">
        <f>'1_Du_lieu'!D425</f>
        <v>0</v>
      </c>
    </row>
    <row r="263" spans="1:27" x14ac:dyDescent="0.25">
      <c r="A263" t="s">
        <v>134</v>
      </c>
      <c r="B263">
        <v>2023</v>
      </c>
      <c r="C263" s="7">
        <f>'1_Du_lieu'!V426</f>
        <v>2.388762789235098</v>
      </c>
      <c r="D263" s="9">
        <f>'1_Du_lieu'!W426</f>
        <v>4.0926765051214034</v>
      </c>
      <c r="E263" s="9">
        <f>'1_Du_lieu'!L426</f>
        <v>2.387</v>
      </c>
      <c r="F263" s="9">
        <f>'1_Du_lieu'!M426</f>
        <v>33.869999999999997</v>
      </c>
      <c r="G263" s="9">
        <f>'1_Du_lieu'!N426</f>
        <v>12.2</v>
      </c>
      <c r="H263" s="9">
        <f>'1_Du_lieu'!X426</f>
        <v>1.7353662339180389</v>
      </c>
      <c r="I263" s="9">
        <f>'1_Du_lieu'!T426</f>
        <v>3.9205872539205879</v>
      </c>
      <c r="J263" s="9">
        <f>'1_Du_lieu'!Y426</f>
        <v>5.8897086381535946</v>
      </c>
      <c r="K263" s="9">
        <f>'1_Du_lieu'!O426</f>
        <v>15</v>
      </c>
      <c r="L263" s="5">
        <f t="shared" si="20"/>
        <v>0</v>
      </c>
      <c r="M263" s="5">
        <f t="shared" si="21"/>
        <v>0</v>
      </c>
      <c r="N263" s="5">
        <f t="shared" si="22"/>
        <v>0</v>
      </c>
      <c r="O263" s="5">
        <f t="shared" si="23"/>
        <v>1</v>
      </c>
      <c r="P263" s="5">
        <f t="shared" si="24"/>
        <v>0</v>
      </c>
      <c r="AA263" s="5">
        <f>'1_Du_lieu'!D426</f>
        <v>0</v>
      </c>
    </row>
    <row r="264" spans="1:27" x14ac:dyDescent="0.25">
      <c r="A264" t="s">
        <v>136</v>
      </c>
      <c r="B264">
        <v>2023</v>
      </c>
      <c r="C264" s="7">
        <f>'1_Du_lieu'!V428</f>
        <v>4.4908810395859637</v>
      </c>
      <c r="D264" s="9">
        <f>'1_Du_lieu'!W428</f>
        <v>5.1293068238137547</v>
      </c>
      <c r="E264" s="9">
        <f>'1_Du_lieu'!L428</f>
        <v>28.876000000000001</v>
      </c>
      <c r="F264" s="9">
        <f>'1_Du_lieu'!M428</f>
        <v>77.66</v>
      </c>
      <c r="G264" s="9">
        <f>'1_Du_lieu'!N428</f>
        <v>36</v>
      </c>
      <c r="H264" s="9">
        <f>'1_Du_lieu'!X428</f>
        <v>2.5606313407704517</v>
      </c>
      <c r="I264" s="9">
        <f>'1_Du_lieu'!T428</f>
        <v>3.330971692027874</v>
      </c>
      <c r="J264" s="9">
        <f>'1_Du_lieu'!Y428</f>
        <v>8.7140256210606033</v>
      </c>
      <c r="K264" s="9">
        <f>'1_Du_lieu'!O428</f>
        <v>52.4</v>
      </c>
      <c r="L264" s="5">
        <f t="shared" si="20"/>
        <v>0</v>
      </c>
      <c r="M264" s="5">
        <f t="shared" si="21"/>
        <v>0</v>
      </c>
      <c r="N264" s="5">
        <f t="shared" si="22"/>
        <v>0</v>
      </c>
      <c r="O264" s="5">
        <f t="shared" si="23"/>
        <v>1</v>
      </c>
      <c r="P264" s="5">
        <f t="shared" si="24"/>
        <v>0</v>
      </c>
      <c r="AA264" s="5">
        <f>'1_Du_lieu'!D428</f>
        <v>1</v>
      </c>
    </row>
    <row r="265" spans="1:27" x14ac:dyDescent="0.25">
      <c r="A265" t="s">
        <v>137</v>
      </c>
      <c r="B265">
        <v>2023</v>
      </c>
      <c r="C265" s="7">
        <f>'1_Du_lieu'!V429</f>
        <v>2.917770732084279</v>
      </c>
      <c r="D265" s="9">
        <f>'1_Du_lieu'!W429</f>
        <v>4.28496492183075</v>
      </c>
      <c r="E265" s="9">
        <f>'1_Du_lieu'!L429</f>
        <v>4.4429999999999996</v>
      </c>
      <c r="F265" s="9">
        <f>'1_Du_lieu'!M429</f>
        <v>27.71</v>
      </c>
      <c r="G265" s="9">
        <f>'1_Du_lieu'!N429</f>
        <v>27.6</v>
      </c>
      <c r="H265" s="9">
        <f>'1_Du_lieu'!X429</f>
        <v>2.8583173541466627</v>
      </c>
      <c r="I265" s="9">
        <f>'1_Du_lieu'!T429</f>
        <v>0.77550474662388025</v>
      </c>
      <c r="J265" s="9">
        <f>'1_Du_lieu'!Y429</f>
        <v>8.302959826231783</v>
      </c>
      <c r="K265" s="9">
        <f>'1_Du_lieu'!O429</f>
        <v>16.2</v>
      </c>
      <c r="L265" s="5">
        <f t="shared" si="20"/>
        <v>0</v>
      </c>
      <c r="M265" s="5">
        <f t="shared" si="21"/>
        <v>0</v>
      </c>
      <c r="N265" s="5">
        <f t="shared" si="22"/>
        <v>0</v>
      </c>
      <c r="O265" s="5">
        <f t="shared" si="23"/>
        <v>1</v>
      </c>
      <c r="P265" s="5">
        <f t="shared" si="24"/>
        <v>0</v>
      </c>
      <c r="AA265" s="5">
        <f>'1_Du_lieu'!D429</f>
        <v>0</v>
      </c>
    </row>
    <row r="266" spans="1:27" x14ac:dyDescent="0.25">
      <c r="A266" t="s">
        <v>138</v>
      </c>
      <c r="B266">
        <v>2023</v>
      </c>
      <c r="C266" s="7">
        <f>'1_Du_lieu'!V430</f>
        <v>2.7343675094195836</v>
      </c>
      <c r="D266" s="9">
        <f>'1_Du_lieu'!W430</f>
        <v>4.1367652781060524</v>
      </c>
      <c r="E266" s="9">
        <f>'1_Du_lieu'!L430</f>
        <v>3.44</v>
      </c>
      <c r="F266" s="9">
        <f>'1_Du_lieu'!M430</f>
        <v>11.78</v>
      </c>
      <c r="G266" s="9">
        <f>'1_Du_lieu'!N430</f>
        <v>22.9</v>
      </c>
      <c r="H266" s="9">
        <f>'1_Du_lieu'!X430</f>
        <v>1.9910358300052735</v>
      </c>
      <c r="I266" s="9">
        <f>'1_Du_lieu'!T430</f>
        <v>0.90315040110503109</v>
      </c>
      <c r="J266" s="9">
        <f>'1_Du_lieu'!Y430</f>
        <v>7.8277192562225881</v>
      </c>
      <c r="K266" s="9">
        <f>'1_Du_lieu'!O430</f>
        <v>22</v>
      </c>
      <c r="L266" s="5">
        <f t="shared" si="20"/>
        <v>0</v>
      </c>
      <c r="M266" s="5">
        <f t="shared" si="21"/>
        <v>0</v>
      </c>
      <c r="N266" s="5">
        <f t="shared" si="22"/>
        <v>0</v>
      </c>
      <c r="O266" s="5">
        <f t="shared" si="23"/>
        <v>1</v>
      </c>
      <c r="P266" s="5">
        <f t="shared" si="24"/>
        <v>0</v>
      </c>
      <c r="AA266" s="5">
        <f>'1_Du_lieu'!D430</f>
        <v>1</v>
      </c>
    </row>
    <row r="267" spans="1:27" x14ac:dyDescent="0.25">
      <c r="A267" t="s">
        <v>139</v>
      </c>
      <c r="B267">
        <v>2023</v>
      </c>
      <c r="C267" s="7">
        <f>'1_Du_lieu'!V431</f>
        <v>2.8390784635086144</v>
      </c>
      <c r="D267" s="9">
        <f>'1_Du_lieu'!W431</f>
        <v>4.7041101338429954</v>
      </c>
      <c r="E267" s="9">
        <f>'1_Du_lieu'!L431</f>
        <v>4.2539999999999996</v>
      </c>
      <c r="F267" s="9">
        <f>'1_Du_lieu'!M431</f>
        <v>40.65</v>
      </c>
      <c r="G267" s="9">
        <f>'1_Du_lieu'!N431</f>
        <v>36.6</v>
      </c>
      <c r="H267" s="9">
        <f>'1_Du_lieu'!X431</f>
        <v>3.7041660015095488</v>
      </c>
      <c r="I267" s="9">
        <f>'1_Du_lieu'!T431</f>
        <v>1.2589794860401393</v>
      </c>
      <c r="J267" s="9">
        <f>'1_Du_lieu'!Y431</f>
        <v>8.9949045397301752</v>
      </c>
      <c r="K267" s="9">
        <f>'1_Du_lieu'!O431</f>
        <v>28.2</v>
      </c>
      <c r="L267" s="5">
        <f t="shared" si="20"/>
        <v>0</v>
      </c>
      <c r="M267" s="5">
        <f t="shared" si="21"/>
        <v>0</v>
      </c>
      <c r="N267" s="5">
        <f t="shared" si="22"/>
        <v>0</v>
      </c>
      <c r="O267" s="5">
        <f t="shared" si="23"/>
        <v>1</v>
      </c>
      <c r="P267" s="5">
        <f t="shared" si="24"/>
        <v>0</v>
      </c>
      <c r="AA267" s="5">
        <f>'1_Du_lieu'!D431</f>
        <v>0</v>
      </c>
    </row>
    <row r="268" spans="1:27" x14ac:dyDescent="0.25">
      <c r="A268" t="s">
        <v>141</v>
      </c>
      <c r="B268">
        <v>2023</v>
      </c>
      <c r="C268" s="7">
        <f>'1_Du_lieu'!V433</f>
        <v>2.5176964726109912</v>
      </c>
      <c r="D268" s="9">
        <f>'1_Du_lieu'!W433</f>
        <v>4.2355547307736243</v>
      </c>
      <c r="E268" s="9">
        <f>'1_Du_lieu'!L433</f>
        <v>3.2749999999999999</v>
      </c>
      <c r="F268" s="9">
        <f>'1_Du_lieu'!M433</f>
        <v>15.28</v>
      </c>
      <c r="G268" s="9">
        <f>'1_Du_lieu'!N433</f>
        <v>14.2</v>
      </c>
      <c r="H268" s="9">
        <f>'1_Du_lieu'!X433</f>
        <v>0.53717991903893936</v>
      </c>
      <c r="I268" s="9">
        <f>'1_Du_lieu'!T433</f>
        <v>0.94934941642932924</v>
      </c>
      <c r="J268" s="9">
        <f>'1_Du_lieu'!Y433</f>
        <v>7.3317804126112112</v>
      </c>
      <c r="K268" s="9">
        <f>'1_Du_lieu'!O433</f>
        <v>14.7</v>
      </c>
      <c r="L268" s="5">
        <f t="shared" si="20"/>
        <v>0</v>
      </c>
      <c r="M268" s="5">
        <f t="shared" si="21"/>
        <v>0</v>
      </c>
      <c r="N268" s="5">
        <f t="shared" si="22"/>
        <v>0</v>
      </c>
      <c r="O268" s="5">
        <f t="shared" si="23"/>
        <v>1</v>
      </c>
      <c r="P268" s="5">
        <f t="shared" si="24"/>
        <v>0</v>
      </c>
      <c r="AA268" s="5">
        <f>'1_Du_lieu'!D433</f>
        <v>0</v>
      </c>
    </row>
    <row r="269" spans="1:27" x14ac:dyDescent="0.25">
      <c r="A269" t="s">
        <v>142</v>
      </c>
      <c r="B269">
        <v>2023</v>
      </c>
      <c r="C269" s="7">
        <f>'1_Du_lieu'!V434</f>
        <v>2.4159137783010487</v>
      </c>
      <c r="D269" s="9">
        <f>'1_Du_lieu'!W434</f>
        <v>4.4115854369154262</v>
      </c>
      <c r="E269" s="9">
        <f>'1_Du_lieu'!L434</f>
        <v>2.7429999999999999</v>
      </c>
      <c r="F269" s="9">
        <f>'1_Du_lieu'!M434</f>
        <v>18.329999999999998</v>
      </c>
      <c r="G269" s="9">
        <f>'1_Du_lieu'!N434</f>
        <v>16.8</v>
      </c>
      <c r="H269" s="9">
        <f>'1_Du_lieu'!X434</f>
        <v>1.8352487534496564</v>
      </c>
      <c r="I269" s="9">
        <f>'1_Du_lieu'!T434</f>
        <v>0.8824394548485146</v>
      </c>
      <c r="J269" s="9">
        <f>'1_Du_lieu'!Y434</f>
        <v>8.0516595568419529</v>
      </c>
      <c r="K269" s="9">
        <f>'1_Du_lieu'!O434</f>
        <v>7.4</v>
      </c>
      <c r="L269" s="5">
        <f t="shared" si="20"/>
        <v>0</v>
      </c>
      <c r="M269" s="5">
        <f t="shared" si="21"/>
        <v>0</v>
      </c>
      <c r="N269" s="5">
        <f t="shared" si="22"/>
        <v>0</v>
      </c>
      <c r="O269" s="5">
        <f t="shared" si="23"/>
        <v>1</v>
      </c>
      <c r="P269" s="5">
        <f t="shared" si="24"/>
        <v>0</v>
      </c>
      <c r="AA269" s="5">
        <f>'1_Du_lieu'!D434</f>
        <v>0</v>
      </c>
    </row>
    <row r="270" spans="1:27" x14ac:dyDescent="0.25">
      <c r="A270" t="s">
        <v>143</v>
      </c>
      <c r="B270">
        <v>2023</v>
      </c>
      <c r="C270" s="7">
        <f>'1_Du_lieu'!V435</f>
        <v>2.5416019934645457</v>
      </c>
      <c r="D270" s="9">
        <f>'1_Du_lieu'!W435</f>
        <v>3.9852734671677386</v>
      </c>
      <c r="E270" s="9">
        <f>'1_Du_lieu'!L435</f>
        <v>2.3149999999999999</v>
      </c>
      <c r="F270" s="9">
        <f>'1_Du_lieu'!M435</f>
        <v>15.12</v>
      </c>
      <c r="G270" s="9">
        <f>'1_Du_lieu'!N435</f>
        <v>21.8</v>
      </c>
      <c r="H270" s="9">
        <f>'1_Du_lieu'!X435</f>
        <v>3.3430375540206008</v>
      </c>
      <c r="I270" s="9">
        <f>'1_Du_lieu'!T435</f>
        <v>0.73873430189608469</v>
      </c>
      <c r="J270" s="9">
        <f>'1_Du_lieu'!Y435</f>
        <v>5.6517871795378207</v>
      </c>
      <c r="K270" s="9">
        <f>'1_Du_lieu'!O435</f>
        <v>12.6</v>
      </c>
      <c r="L270" s="5">
        <f t="shared" si="20"/>
        <v>0</v>
      </c>
      <c r="M270" s="5">
        <f t="shared" si="21"/>
        <v>0</v>
      </c>
      <c r="N270" s="5">
        <f t="shared" si="22"/>
        <v>0</v>
      </c>
      <c r="O270" s="5">
        <f t="shared" si="23"/>
        <v>1</v>
      </c>
      <c r="P270" s="5">
        <f t="shared" si="24"/>
        <v>0</v>
      </c>
      <c r="AA270" s="5">
        <f>'1_Du_lieu'!D435</f>
        <v>0</v>
      </c>
    </row>
    <row r="271" spans="1:27" x14ac:dyDescent="0.25">
      <c r="A271" t="s">
        <v>144</v>
      </c>
      <c r="B271">
        <v>2023</v>
      </c>
      <c r="C271" s="7">
        <f>'1_Du_lieu'!V436</f>
        <v>2.6810215287142909</v>
      </c>
      <c r="D271" s="9">
        <f>'1_Du_lieu'!W436</f>
        <v>4.5347477216915459</v>
      </c>
      <c r="E271" s="9">
        <f>'1_Du_lieu'!L436</f>
        <v>4.3029999999999999</v>
      </c>
      <c r="F271" s="9">
        <f>'1_Du_lieu'!M436</f>
        <v>32.57</v>
      </c>
      <c r="G271" s="9">
        <f>'1_Du_lieu'!N436</f>
        <v>18.2</v>
      </c>
      <c r="H271" s="9">
        <f>'1_Du_lieu'!X436</f>
        <v>2.7450291859298734</v>
      </c>
      <c r="I271" s="9">
        <f>'1_Du_lieu'!T436</f>
        <v>1.2553351744915893</v>
      </c>
      <c r="J271" s="9">
        <f>'1_Du_lieu'!Y436</f>
        <v>9.0023070834663255</v>
      </c>
      <c r="K271" s="9">
        <f>'1_Du_lieu'!O436</f>
        <v>17.3</v>
      </c>
      <c r="L271" s="5">
        <f t="shared" si="20"/>
        <v>0</v>
      </c>
      <c r="M271" s="5">
        <f t="shared" si="21"/>
        <v>0</v>
      </c>
      <c r="N271" s="5">
        <f t="shared" si="22"/>
        <v>0</v>
      </c>
      <c r="O271" s="5">
        <f t="shared" si="23"/>
        <v>1</v>
      </c>
      <c r="P271" s="5">
        <f t="shared" si="24"/>
        <v>0</v>
      </c>
      <c r="AA271" s="5">
        <f>'1_Du_lieu'!D436</f>
        <v>1</v>
      </c>
    </row>
    <row r="272" spans="1:27" x14ac:dyDescent="0.25">
      <c r="A272" t="s">
        <v>145</v>
      </c>
      <c r="B272">
        <v>2023</v>
      </c>
      <c r="C272" s="7">
        <f>'1_Du_lieu'!V437</f>
        <v>2.3702437414678603</v>
      </c>
      <c r="D272" s="9">
        <f>'1_Du_lieu'!W437</f>
        <v>4.2931954209672663</v>
      </c>
      <c r="E272" s="9">
        <f>'1_Du_lieu'!L437</f>
        <v>2.968</v>
      </c>
      <c r="F272" s="9">
        <f>'1_Du_lieu'!M437</f>
        <v>22.87</v>
      </c>
      <c r="G272" s="9">
        <f>'1_Du_lieu'!N437</f>
        <v>15.9</v>
      </c>
      <c r="H272" s="9">
        <f>'1_Du_lieu'!X437</f>
        <v>0.6333113889492803</v>
      </c>
      <c r="I272" s="9">
        <f>'1_Du_lieu'!T437</f>
        <v>0.67987567987567987</v>
      </c>
      <c r="J272" s="9">
        <f>'1_Du_lieu'!Y437</f>
        <v>6.9693206346402921</v>
      </c>
      <c r="K272" s="9">
        <f>'1_Du_lieu'!O437</f>
        <v>20.8</v>
      </c>
      <c r="L272" s="5">
        <f t="shared" si="20"/>
        <v>0</v>
      </c>
      <c r="M272" s="5">
        <f t="shared" si="21"/>
        <v>0</v>
      </c>
      <c r="N272" s="5">
        <f t="shared" si="22"/>
        <v>0</v>
      </c>
      <c r="O272" s="5">
        <f t="shared" si="23"/>
        <v>1</v>
      </c>
      <c r="P272" s="5">
        <f t="shared" si="24"/>
        <v>0</v>
      </c>
      <c r="AA272" s="5">
        <f>'1_Du_lieu'!D437</f>
        <v>0</v>
      </c>
    </row>
    <row r="273" spans="1:27" x14ac:dyDescent="0.25">
      <c r="A273" t="s">
        <v>146</v>
      </c>
      <c r="B273">
        <v>2023</v>
      </c>
      <c r="C273" s="7">
        <f>'1_Du_lieu'!V438</f>
        <v>2.9755295662364718</v>
      </c>
      <c r="D273" s="9">
        <f>'1_Du_lieu'!W438</f>
        <v>4.8652240913223981</v>
      </c>
      <c r="E273" s="9">
        <f>'1_Du_lieu'!L438</f>
        <v>8.0709999999999997</v>
      </c>
      <c r="F273" s="9">
        <f>'1_Du_lieu'!M438</f>
        <v>33.93</v>
      </c>
      <c r="G273" s="9">
        <f>'1_Du_lieu'!N438</f>
        <v>35.799999999999997</v>
      </c>
      <c r="H273" s="9">
        <f>'1_Du_lieu'!X438</f>
        <v>3.0987317940675676</v>
      </c>
      <c r="I273" s="9">
        <f>'1_Du_lieu'!T438</f>
        <v>0.7430033847931975</v>
      </c>
      <c r="J273" s="9">
        <f>'1_Du_lieu'!Y438</f>
        <v>8.6696739061991703</v>
      </c>
      <c r="K273" s="9">
        <f>'1_Du_lieu'!O438</f>
        <v>33.9</v>
      </c>
      <c r="L273" s="5">
        <f t="shared" si="20"/>
        <v>0</v>
      </c>
      <c r="M273" s="5">
        <f t="shared" si="21"/>
        <v>0</v>
      </c>
      <c r="N273" s="5">
        <f t="shared" si="22"/>
        <v>0</v>
      </c>
      <c r="O273" s="5">
        <f t="shared" si="23"/>
        <v>1</v>
      </c>
      <c r="P273" s="5">
        <f t="shared" si="24"/>
        <v>0</v>
      </c>
      <c r="AA273" s="5">
        <f>'1_Du_lieu'!D438</f>
        <v>1</v>
      </c>
    </row>
    <row r="274" spans="1:27" x14ac:dyDescent="0.25">
      <c r="A274" t="s">
        <v>147</v>
      </c>
      <c r="B274">
        <v>2023</v>
      </c>
      <c r="C274" s="7">
        <f>'1_Du_lieu'!V439</f>
        <v>2.5877640352277083</v>
      </c>
      <c r="D274" s="9">
        <f>'1_Du_lieu'!W439</f>
        <v>3.9140210080908191</v>
      </c>
      <c r="E274" s="9">
        <f>'1_Du_lieu'!L439</f>
        <v>2.56</v>
      </c>
      <c r="F274" s="9">
        <f>'1_Du_lieu'!M439</f>
        <v>20.95</v>
      </c>
      <c r="G274" s="9">
        <f>'1_Du_lieu'!N439</f>
        <v>23.2</v>
      </c>
      <c r="H274" s="9">
        <f>'1_Du_lieu'!X439</f>
        <v>2.758077157298735</v>
      </c>
      <c r="I274" s="9">
        <f>'1_Du_lieu'!T439</f>
        <v>0.23378141437755698</v>
      </c>
      <c r="J274" s="9">
        <f>'1_Du_lieu'!Y439</f>
        <v>5.7104270173748697</v>
      </c>
      <c r="K274" s="9">
        <f>'1_Du_lieu'!O439</f>
        <v>18.2</v>
      </c>
      <c r="L274" s="5">
        <f t="shared" si="20"/>
        <v>0</v>
      </c>
      <c r="M274" s="5">
        <f t="shared" si="21"/>
        <v>0</v>
      </c>
      <c r="N274" s="5">
        <f t="shared" si="22"/>
        <v>0</v>
      </c>
      <c r="O274" s="5">
        <f t="shared" si="23"/>
        <v>1</v>
      </c>
      <c r="P274" s="5">
        <f t="shared" si="24"/>
        <v>0</v>
      </c>
      <c r="AA274" s="5">
        <f>'1_Du_lieu'!D439</f>
        <v>0</v>
      </c>
    </row>
    <row r="275" spans="1:27" x14ac:dyDescent="0.25">
      <c r="A275" t="s">
        <v>149</v>
      </c>
      <c r="B275">
        <v>2023</v>
      </c>
      <c r="C275" s="7">
        <f>'1_Du_lieu'!V441</f>
        <v>3.6763006719070761</v>
      </c>
      <c r="D275" s="9">
        <f>'1_Du_lieu'!W441</f>
        <v>4.6849051540069446</v>
      </c>
      <c r="E275" s="9">
        <f>'1_Du_lieu'!L441</f>
        <v>20.716999999999999</v>
      </c>
      <c r="F275" s="9">
        <f>'1_Du_lieu'!M441</f>
        <v>87.64</v>
      </c>
      <c r="G275" s="9">
        <f>'1_Du_lieu'!N441</f>
        <v>49.7</v>
      </c>
      <c r="H275" s="9">
        <f>'1_Du_lieu'!X441</f>
        <v>3.6083664972247567</v>
      </c>
      <c r="I275" s="9">
        <f>'1_Du_lieu'!T441</f>
        <v>6.4246707356247992</v>
      </c>
      <c r="J275" s="9">
        <f>'1_Du_lieu'!Y441</f>
        <v>8.5604250798082386</v>
      </c>
      <c r="K275" s="9">
        <f>'1_Du_lieu'!O441</f>
        <v>53.4</v>
      </c>
      <c r="L275" s="5">
        <f t="shared" si="20"/>
        <v>0</v>
      </c>
      <c r="M275" s="5">
        <f t="shared" si="21"/>
        <v>0</v>
      </c>
      <c r="N275" s="5">
        <f t="shared" si="22"/>
        <v>0</v>
      </c>
      <c r="O275" s="5">
        <f t="shared" si="23"/>
        <v>1</v>
      </c>
      <c r="P275" s="5">
        <f t="shared" si="24"/>
        <v>0</v>
      </c>
      <c r="AA275" s="5">
        <f>'1_Du_lieu'!D441</f>
        <v>0</v>
      </c>
    </row>
    <row r="276" spans="1:27" x14ac:dyDescent="0.25">
      <c r="A276" t="s">
        <v>150</v>
      </c>
      <c r="B276">
        <v>2023</v>
      </c>
      <c r="C276" s="7">
        <f>'1_Du_lieu'!V442</f>
        <v>2.9338568698359038</v>
      </c>
      <c r="D276" s="9">
        <f>'1_Du_lieu'!W442</f>
        <v>4.1026433650367959</v>
      </c>
      <c r="E276" s="9">
        <f>'1_Du_lieu'!L442</f>
        <v>4.016</v>
      </c>
      <c r="F276" s="9">
        <f>'1_Du_lieu'!M442</f>
        <v>26.01</v>
      </c>
      <c r="G276" s="9">
        <f>'1_Du_lieu'!N442</f>
        <v>18.3</v>
      </c>
      <c r="H276" s="9">
        <f>'1_Du_lieu'!X442</f>
        <v>2.5524177094632949</v>
      </c>
      <c r="I276" s="9">
        <f>'1_Du_lieu'!T442</f>
        <v>0.56950556562257315</v>
      </c>
      <c r="J276" s="9">
        <f>'1_Du_lieu'!Y442</f>
        <v>5.9050893313612365</v>
      </c>
      <c r="K276" s="9">
        <f>'1_Du_lieu'!O442</f>
        <v>18.7</v>
      </c>
      <c r="L276" s="5">
        <f t="shared" si="20"/>
        <v>0</v>
      </c>
      <c r="M276" s="5">
        <f t="shared" si="21"/>
        <v>0</v>
      </c>
      <c r="N276" s="5">
        <f t="shared" si="22"/>
        <v>0</v>
      </c>
      <c r="O276" s="5">
        <f t="shared" si="23"/>
        <v>1</v>
      </c>
      <c r="P276" s="5">
        <f t="shared" si="24"/>
        <v>0</v>
      </c>
      <c r="AA276" s="5">
        <f>'1_Du_lieu'!D442</f>
        <v>0</v>
      </c>
    </row>
    <row r="277" spans="1:27" x14ac:dyDescent="0.25">
      <c r="A277" t="s">
        <v>151</v>
      </c>
      <c r="B277">
        <v>2023</v>
      </c>
      <c r="C277" s="7">
        <f>'1_Du_lieu'!V443</f>
        <v>2.3608540011180215</v>
      </c>
      <c r="D277" s="9">
        <f>'1_Du_lieu'!W443</f>
        <v>4.180522258463153</v>
      </c>
      <c r="E277" s="9">
        <f>'1_Du_lieu'!L443</f>
        <v>3.883</v>
      </c>
      <c r="F277" s="9">
        <f>'1_Du_lieu'!M443</f>
        <v>16.940000000000001</v>
      </c>
      <c r="G277" s="9">
        <f>'1_Du_lieu'!N443</f>
        <v>16.7</v>
      </c>
      <c r="H277" s="9">
        <f>'1_Du_lieu'!X443</f>
        <v>1.2401345948674423</v>
      </c>
      <c r="I277" s="9">
        <f>'1_Du_lieu'!T443</f>
        <v>0.43994720633523976</v>
      </c>
      <c r="J277" s="9">
        <f>'1_Du_lieu'!Y443</f>
        <v>6.1277421654005302</v>
      </c>
      <c r="K277" s="9">
        <f>'1_Du_lieu'!O443</f>
        <v>21.1</v>
      </c>
      <c r="L277" s="5">
        <f t="shared" si="20"/>
        <v>0</v>
      </c>
      <c r="M277" s="5">
        <f t="shared" si="21"/>
        <v>0</v>
      </c>
      <c r="N277" s="5">
        <f t="shared" si="22"/>
        <v>0</v>
      </c>
      <c r="O277" s="5">
        <f t="shared" si="23"/>
        <v>1</v>
      </c>
      <c r="P277" s="5">
        <f t="shared" si="24"/>
        <v>0</v>
      </c>
      <c r="AA277" s="5">
        <f>'1_Du_lieu'!D443</f>
        <v>0</v>
      </c>
    </row>
    <row r="278" spans="1:27" x14ac:dyDescent="0.25">
      <c r="A278" t="s">
        <v>152</v>
      </c>
      <c r="B278">
        <v>2023</v>
      </c>
      <c r="C278" s="7">
        <f>'1_Du_lieu'!V444</f>
        <v>3.2542429687054919</v>
      </c>
      <c r="D278" s="9">
        <f>'1_Du_lieu'!W444</f>
        <v>4.8895969657191998</v>
      </c>
      <c r="E278" s="9">
        <f>'1_Du_lieu'!L444</f>
        <v>8.048</v>
      </c>
      <c r="F278" s="9">
        <f>'1_Du_lieu'!M444</f>
        <v>45.26</v>
      </c>
      <c r="G278" s="9">
        <f>'1_Du_lieu'!N444</f>
        <v>22.8</v>
      </c>
      <c r="H278" s="9">
        <f>'1_Du_lieu'!X444</f>
        <v>2.9083693785797728</v>
      </c>
      <c r="I278" s="9">
        <f>'1_Du_lieu'!T444</f>
        <v>0.5436588238847444</v>
      </c>
      <c r="J278" s="9">
        <f>'1_Du_lieu'!Y444</f>
        <v>9.2919295755159954</v>
      </c>
      <c r="K278" s="9">
        <f>'1_Du_lieu'!O444</f>
        <v>28.4</v>
      </c>
      <c r="L278" s="5">
        <f t="shared" si="20"/>
        <v>0</v>
      </c>
      <c r="M278" s="5">
        <f t="shared" si="21"/>
        <v>0</v>
      </c>
      <c r="N278" s="5">
        <f t="shared" si="22"/>
        <v>0</v>
      </c>
      <c r="O278" s="5">
        <f t="shared" si="23"/>
        <v>1</v>
      </c>
      <c r="P278" s="5">
        <f t="shared" si="24"/>
        <v>0</v>
      </c>
      <c r="AA278" s="5">
        <f>'1_Du_lieu'!D444</f>
        <v>1</v>
      </c>
    </row>
    <row r="279" spans="1:27" x14ac:dyDescent="0.25">
      <c r="A279" t="s">
        <v>153</v>
      </c>
      <c r="B279">
        <v>2023</v>
      </c>
      <c r="C279" s="7">
        <f>'1_Du_lieu'!V445</f>
        <v>2.7536607123542622</v>
      </c>
      <c r="D279" s="9">
        <f>'1_Du_lieu'!W445</f>
        <v>4.2312037449392976</v>
      </c>
      <c r="E279" s="9">
        <f>'1_Du_lieu'!L445</f>
        <v>2.605</v>
      </c>
      <c r="F279" s="9">
        <f>'1_Du_lieu'!M445</f>
        <v>20.36</v>
      </c>
      <c r="G279" s="9">
        <f>'1_Du_lieu'!N445</f>
        <v>14.6</v>
      </c>
      <c r="H279" s="9">
        <f>'1_Du_lieu'!X445</f>
        <v>0.85303955406626408</v>
      </c>
      <c r="I279" s="9">
        <f>'1_Du_lieu'!T445</f>
        <v>0.68741407324084491</v>
      </c>
      <c r="J279" s="9">
        <f>'1_Du_lieu'!Y445</f>
        <v>4.9815497132011588</v>
      </c>
      <c r="K279" s="9">
        <f>'1_Du_lieu'!O445</f>
        <v>14.6</v>
      </c>
      <c r="L279" s="5">
        <f t="shared" si="20"/>
        <v>0</v>
      </c>
      <c r="M279" s="5">
        <f t="shared" si="21"/>
        <v>0</v>
      </c>
      <c r="N279" s="5">
        <f t="shared" si="22"/>
        <v>0</v>
      </c>
      <c r="O279" s="5">
        <f t="shared" si="23"/>
        <v>1</v>
      </c>
      <c r="P279" s="5">
        <f t="shared" si="24"/>
        <v>0</v>
      </c>
      <c r="AA279" s="5">
        <f>'1_Du_lieu'!D445</f>
        <v>0</v>
      </c>
    </row>
    <row r="280" spans="1:27" x14ac:dyDescent="0.25">
      <c r="A280" t="s">
        <v>85</v>
      </c>
      <c r="B280">
        <v>2024</v>
      </c>
      <c r="C280" s="7">
        <f>'1_Du_lieu'!V446</f>
        <v>2.7725887222397811</v>
      </c>
      <c r="D280" s="9">
        <f>'1_Du_lieu'!W446</f>
        <v>4.1896547420264252</v>
      </c>
      <c r="E280" s="9">
        <f>'1_Du_lieu'!L446</f>
        <v>2.7749999999999999</v>
      </c>
      <c r="F280" s="9">
        <f>'1_Du_lieu'!M446</f>
        <v>36.94</v>
      </c>
      <c r="G280" s="9">
        <f>'1_Du_lieu'!N446</f>
        <v>16.2</v>
      </c>
      <c r="H280" s="9">
        <f>'1_Du_lieu'!X446</f>
        <v>1.9679463726137187</v>
      </c>
      <c r="I280" s="9">
        <f>'1_Du_lieu'!T446</f>
        <v>0.52284847851092753</v>
      </c>
      <c r="J280" s="9">
        <f>'1_Du_lieu'!Y446</f>
        <v>4.9537121466966347</v>
      </c>
      <c r="K280" s="9">
        <f>'1_Du_lieu'!O446</f>
        <v>13.6</v>
      </c>
      <c r="L280" s="5">
        <f t="shared" si="20"/>
        <v>0</v>
      </c>
      <c r="M280" s="5">
        <f t="shared" si="21"/>
        <v>0</v>
      </c>
      <c r="N280" s="5">
        <f t="shared" si="22"/>
        <v>0</v>
      </c>
      <c r="O280" s="5">
        <f t="shared" si="23"/>
        <v>0</v>
      </c>
      <c r="P280" s="5">
        <f t="shared" si="24"/>
        <v>1</v>
      </c>
      <c r="AA280" s="5">
        <f>'1_Du_lieu'!D446</f>
        <v>0</v>
      </c>
    </row>
    <row r="281" spans="1:27" x14ac:dyDescent="0.25">
      <c r="A281" t="s">
        <v>87</v>
      </c>
      <c r="B281">
        <v>2024</v>
      </c>
      <c r="C281" s="7">
        <f>'1_Du_lieu'!V447</f>
        <v>3.3322045101752038</v>
      </c>
      <c r="D281" s="9">
        <f>'1_Du_lieu'!W447</f>
        <v>5.8260001073804499</v>
      </c>
      <c r="E281" s="9">
        <f>'1_Du_lieu'!L447</f>
        <v>10.509</v>
      </c>
      <c r="F281" s="9">
        <f>'1_Du_lieu'!M447</f>
        <v>62.1</v>
      </c>
      <c r="G281" s="9">
        <f>'1_Du_lieu'!N447</f>
        <v>30.1</v>
      </c>
      <c r="H281" s="9">
        <f>'1_Du_lieu'!X447</f>
        <v>2.174610926525149</v>
      </c>
      <c r="I281" s="9">
        <f>'1_Du_lieu'!T447</f>
        <v>1.5067805123053744</v>
      </c>
      <c r="J281" s="9">
        <f>'1_Du_lieu'!Y447</f>
        <v>10.327038128190678</v>
      </c>
      <c r="K281" s="9">
        <f>'1_Du_lieu'!O447</f>
        <v>22.2</v>
      </c>
      <c r="L281" s="5">
        <f t="shared" si="20"/>
        <v>0</v>
      </c>
      <c r="M281" s="5">
        <f t="shared" si="21"/>
        <v>0</v>
      </c>
      <c r="N281" s="5">
        <f t="shared" si="22"/>
        <v>0</v>
      </c>
      <c r="O281" s="5">
        <f t="shared" si="23"/>
        <v>0</v>
      </c>
      <c r="P281" s="5">
        <f t="shared" si="24"/>
        <v>1</v>
      </c>
      <c r="AA281" s="5">
        <f>'1_Du_lieu'!D447</f>
        <v>1</v>
      </c>
    </row>
    <row r="282" spans="1:27" x14ac:dyDescent="0.25">
      <c r="A282" t="s">
        <v>89</v>
      </c>
      <c r="B282">
        <v>2024</v>
      </c>
      <c r="C282" s="7">
        <f>'1_Du_lieu'!V448</f>
        <v>3.9318256327243257</v>
      </c>
      <c r="D282" s="9">
        <f>'1_Du_lieu'!W448</f>
        <v>5.1772790381709806</v>
      </c>
      <c r="E282" s="9">
        <f>'1_Du_lieu'!L448</f>
        <v>15.816000000000001</v>
      </c>
      <c r="F282" s="9">
        <f>'1_Du_lieu'!M448</f>
        <v>85.85</v>
      </c>
      <c r="G282" s="9">
        <f>'1_Du_lieu'!N448</f>
        <v>23.8</v>
      </c>
      <c r="H282" s="9">
        <f>'1_Du_lieu'!X448</f>
        <v>3.3653395022314503</v>
      </c>
      <c r="I282" s="9">
        <f>'1_Du_lieu'!T448</f>
        <v>0.80122622448268666</v>
      </c>
      <c r="J282" s="9">
        <f>'1_Du_lieu'!Y448</f>
        <v>9.6024162429653313</v>
      </c>
      <c r="K282" s="9">
        <f>'1_Du_lieu'!O448</f>
        <v>19.899999999999999</v>
      </c>
      <c r="L282" s="5">
        <f t="shared" si="20"/>
        <v>0</v>
      </c>
      <c r="M282" s="5">
        <f t="shared" si="21"/>
        <v>0</v>
      </c>
      <c r="N282" s="5">
        <f t="shared" si="22"/>
        <v>0</v>
      </c>
      <c r="O282" s="5">
        <f t="shared" si="23"/>
        <v>0</v>
      </c>
      <c r="P282" s="5">
        <f t="shared" si="24"/>
        <v>1</v>
      </c>
      <c r="AA282" s="5">
        <f>'1_Du_lieu'!D448</f>
        <v>1</v>
      </c>
    </row>
    <row r="283" spans="1:27" x14ac:dyDescent="0.25">
      <c r="A283" t="s">
        <v>90</v>
      </c>
      <c r="B283">
        <v>2024</v>
      </c>
      <c r="C283" s="7">
        <f>'1_Du_lieu'!V449</f>
        <v>2.7725887222397811</v>
      </c>
      <c r="D283" s="9">
        <f>'1_Du_lieu'!W449</f>
        <v>4.678420647727684</v>
      </c>
      <c r="E283" s="9">
        <f>'1_Du_lieu'!L449</f>
        <v>6.6920000000000002</v>
      </c>
      <c r="F283" s="9">
        <f>'1_Du_lieu'!M449</f>
        <v>29.45</v>
      </c>
      <c r="G283" s="9">
        <f>'1_Du_lieu'!N449</f>
        <v>21.6</v>
      </c>
      <c r="H283" s="9">
        <f>'1_Du_lieu'!X449</f>
        <v>1.3767887209846028</v>
      </c>
      <c r="I283" s="9">
        <f>'1_Du_lieu'!T449</f>
        <v>1.0354890332297844</v>
      </c>
      <c r="J283" s="9">
        <f>'1_Du_lieu'!Y449</f>
        <v>8.5243673951642371</v>
      </c>
      <c r="K283" s="9">
        <f>'1_Du_lieu'!O449</f>
        <v>20.6</v>
      </c>
      <c r="L283" s="5">
        <f t="shared" si="20"/>
        <v>0</v>
      </c>
      <c r="M283" s="5">
        <f t="shared" si="21"/>
        <v>0</v>
      </c>
      <c r="N283" s="5">
        <f t="shared" si="22"/>
        <v>0</v>
      </c>
      <c r="O283" s="5">
        <f t="shared" si="23"/>
        <v>0</v>
      </c>
      <c r="P283" s="5">
        <f t="shared" si="24"/>
        <v>1</v>
      </c>
      <c r="AA283" s="5">
        <f>'1_Du_lieu'!D449</f>
        <v>1</v>
      </c>
    </row>
    <row r="284" spans="1:27" x14ac:dyDescent="0.25">
      <c r="A284" t="s">
        <v>91</v>
      </c>
      <c r="B284">
        <v>2024</v>
      </c>
      <c r="C284" s="7">
        <f>'1_Du_lieu'!V450</f>
        <v>2.9957322735539909</v>
      </c>
      <c r="D284" s="9">
        <f>'1_Du_lieu'!W450</f>
        <v>4.5217885770490405</v>
      </c>
      <c r="E284" s="9">
        <f>'1_Du_lieu'!L450</f>
        <v>4.6929999999999996</v>
      </c>
      <c r="F284" s="9">
        <f>'1_Du_lieu'!M450</f>
        <v>38.6</v>
      </c>
      <c r="G284" s="9">
        <f>'1_Du_lieu'!N450</f>
        <v>21.4</v>
      </c>
      <c r="H284" s="9">
        <f>'1_Du_lieu'!X450</f>
        <v>1.7739907853339476</v>
      </c>
      <c r="I284" s="9">
        <f>'1_Du_lieu'!T450</f>
        <v>0.39488232506712995</v>
      </c>
      <c r="J284" s="9">
        <f>'1_Du_lieu'!Y450</f>
        <v>8.046869510959576</v>
      </c>
      <c r="K284" s="9">
        <f>'1_Du_lieu'!O450</f>
        <v>11.9</v>
      </c>
      <c r="L284" s="5">
        <f t="shared" si="20"/>
        <v>0</v>
      </c>
      <c r="M284" s="5">
        <f t="shared" si="21"/>
        <v>0</v>
      </c>
      <c r="N284" s="5">
        <f t="shared" si="22"/>
        <v>0</v>
      </c>
      <c r="O284" s="5">
        <f t="shared" si="23"/>
        <v>0</v>
      </c>
      <c r="P284" s="5">
        <f t="shared" si="24"/>
        <v>1</v>
      </c>
      <c r="AA284" s="5">
        <f>'1_Du_lieu'!D450</f>
        <v>0</v>
      </c>
    </row>
    <row r="285" spans="1:27" x14ac:dyDescent="0.25">
      <c r="A285" t="s">
        <v>93</v>
      </c>
      <c r="B285">
        <v>2024</v>
      </c>
      <c r="C285" s="7">
        <f>'1_Du_lieu'!V451</f>
        <v>3.044522437723423</v>
      </c>
      <c r="D285" s="9">
        <f>'1_Du_lieu'!W451</f>
        <v>4.4461744544976334</v>
      </c>
      <c r="E285" s="9">
        <f>'1_Du_lieu'!L451</f>
        <v>5.5460000000000003</v>
      </c>
      <c r="F285" s="9">
        <f>'1_Du_lieu'!M451</f>
        <v>41.34</v>
      </c>
      <c r="G285" s="9">
        <f>'1_Du_lieu'!N451</f>
        <v>26.1</v>
      </c>
      <c r="H285" s="9">
        <f>'1_Du_lieu'!X451</f>
        <v>3.1665151187207949</v>
      </c>
      <c r="I285" s="9">
        <f>'1_Du_lieu'!T451</f>
        <v>0.8561080013170892</v>
      </c>
      <c r="J285" s="9">
        <f>'1_Du_lieu'!Y451</f>
        <v>6.7389815347334512</v>
      </c>
      <c r="K285" s="9">
        <f>'1_Du_lieu'!O451</f>
        <v>18.399999999999999</v>
      </c>
      <c r="L285" s="5">
        <f t="shared" si="20"/>
        <v>0</v>
      </c>
      <c r="M285" s="5">
        <f t="shared" si="21"/>
        <v>0</v>
      </c>
      <c r="N285" s="5">
        <f t="shared" si="22"/>
        <v>0</v>
      </c>
      <c r="O285" s="5">
        <f t="shared" si="23"/>
        <v>0</v>
      </c>
      <c r="P285" s="5">
        <f t="shared" si="24"/>
        <v>1</v>
      </c>
      <c r="AA285" s="5">
        <f>'1_Du_lieu'!D451</f>
        <v>0</v>
      </c>
    </row>
    <row r="286" spans="1:27" x14ac:dyDescent="0.25">
      <c r="A286" t="s">
        <v>94</v>
      </c>
      <c r="B286">
        <v>2024</v>
      </c>
      <c r="C286" s="7">
        <f>'1_Du_lieu'!V452</f>
        <v>2.6390573296152584</v>
      </c>
      <c r="D286" s="9">
        <f>'1_Du_lieu'!W452</f>
        <v>4.2598590006996737</v>
      </c>
      <c r="E286" s="9">
        <f>'1_Du_lieu'!L452</f>
        <v>2.4630000000000001</v>
      </c>
      <c r="F286" s="9">
        <f>'1_Du_lieu'!M452</f>
        <v>27.77</v>
      </c>
      <c r="G286" s="9">
        <f>'1_Du_lieu'!N452</f>
        <v>14.3</v>
      </c>
      <c r="H286" s="9">
        <f>'1_Du_lieu'!X452</f>
        <v>1.4155802736934249</v>
      </c>
      <c r="I286" s="9">
        <f>'1_Du_lieu'!T452</f>
        <v>1.5074835791967267</v>
      </c>
      <c r="J286" s="9">
        <f>'1_Du_lieu'!Y452</f>
        <v>8.5289834127907138</v>
      </c>
      <c r="K286" s="9">
        <f>'1_Du_lieu'!O452</f>
        <v>12.3</v>
      </c>
      <c r="L286" s="5">
        <f t="shared" si="20"/>
        <v>0</v>
      </c>
      <c r="M286" s="5">
        <f t="shared" si="21"/>
        <v>0</v>
      </c>
      <c r="N286" s="5">
        <f t="shared" si="22"/>
        <v>0</v>
      </c>
      <c r="O286" s="5">
        <f t="shared" si="23"/>
        <v>0</v>
      </c>
      <c r="P286" s="5">
        <f t="shared" si="24"/>
        <v>1</v>
      </c>
      <c r="AA286" s="5">
        <f>'1_Du_lieu'!D452</f>
        <v>0</v>
      </c>
    </row>
    <row r="287" spans="1:27" x14ac:dyDescent="0.25">
      <c r="A287" t="s">
        <v>95</v>
      </c>
      <c r="B287">
        <v>2024</v>
      </c>
      <c r="C287" s="7">
        <f>'1_Du_lieu'!V453</f>
        <v>3.0910424533583161</v>
      </c>
      <c r="D287" s="9">
        <f>'1_Du_lieu'!W453</f>
        <v>4.6931810633108046</v>
      </c>
      <c r="E287" s="9">
        <f>'1_Du_lieu'!L453</f>
        <v>4.8220000000000001</v>
      </c>
      <c r="F287" s="9">
        <f>'1_Du_lieu'!M453</f>
        <v>24.23</v>
      </c>
      <c r="G287" s="9">
        <f>'1_Du_lieu'!N453</f>
        <v>33.700000000000003</v>
      </c>
      <c r="H287" s="9">
        <f>'1_Du_lieu'!X453</f>
        <v>3.0169391132682017</v>
      </c>
      <c r="I287" s="9">
        <f>'1_Du_lieu'!T453</f>
        <v>0.61143381228981963</v>
      </c>
      <c r="J287" s="9">
        <f>'1_Du_lieu'!Y453</f>
        <v>8.8378118501142797</v>
      </c>
      <c r="K287" s="9">
        <f>'1_Du_lieu'!O453</f>
        <v>19.3</v>
      </c>
      <c r="L287" s="5">
        <f t="shared" si="20"/>
        <v>0</v>
      </c>
      <c r="M287" s="5">
        <f t="shared" si="21"/>
        <v>0</v>
      </c>
      <c r="N287" s="5">
        <f t="shared" si="22"/>
        <v>0</v>
      </c>
      <c r="O287" s="5">
        <f t="shared" si="23"/>
        <v>0</v>
      </c>
      <c r="P287" s="5">
        <f t="shared" si="24"/>
        <v>1</v>
      </c>
      <c r="AA287" s="5">
        <f>'1_Du_lieu'!D453</f>
        <v>0</v>
      </c>
    </row>
    <row r="288" spans="1:27" x14ac:dyDescent="0.25">
      <c r="A288" t="s">
        <v>97</v>
      </c>
      <c r="B288">
        <v>2024</v>
      </c>
      <c r="C288" s="7">
        <f>'1_Du_lieu'!V454</f>
        <v>2.3978952727983707</v>
      </c>
      <c r="D288" s="9">
        <f>'1_Du_lieu'!W454</f>
        <v>4.0430512678345503</v>
      </c>
      <c r="E288" s="9">
        <f>'1_Du_lieu'!L454</f>
        <v>2.3199999999999998</v>
      </c>
      <c r="F288" s="9">
        <f>'1_Du_lieu'!M454</f>
        <v>24.57</v>
      </c>
      <c r="G288" s="9">
        <f>'1_Du_lieu'!N454</f>
        <v>29</v>
      </c>
      <c r="H288" s="9">
        <f>'1_Du_lieu'!X454</f>
        <v>2.8204493552852776</v>
      </c>
      <c r="I288" s="9">
        <f>'1_Du_lieu'!T454</f>
        <v>0.91102338293349516</v>
      </c>
      <c r="J288" s="9">
        <f>'1_Du_lieu'!Y454</f>
        <v>4.5900565481780431</v>
      </c>
      <c r="K288" s="9">
        <f>'1_Du_lieu'!O454</f>
        <v>20.100000000000001</v>
      </c>
      <c r="L288" s="5">
        <f t="shared" si="20"/>
        <v>0</v>
      </c>
      <c r="M288" s="5">
        <f t="shared" si="21"/>
        <v>0</v>
      </c>
      <c r="N288" s="5">
        <f t="shared" si="22"/>
        <v>0</v>
      </c>
      <c r="O288" s="5">
        <f t="shared" si="23"/>
        <v>0</v>
      </c>
      <c r="P288" s="5">
        <f t="shared" si="24"/>
        <v>1</v>
      </c>
      <c r="AA288" s="5">
        <f>'1_Du_lieu'!D454</f>
        <v>0</v>
      </c>
    </row>
    <row r="289" spans="1:27" x14ac:dyDescent="0.25">
      <c r="A289" t="s">
        <v>98</v>
      </c>
      <c r="B289">
        <v>2024</v>
      </c>
      <c r="C289" s="7">
        <f>'1_Du_lieu'!V455</f>
        <v>3.4011973816621555</v>
      </c>
      <c r="D289" s="9">
        <f>'1_Du_lieu'!W455</f>
        <v>5.0695329353437408</v>
      </c>
      <c r="E289" s="9">
        <f>'1_Du_lieu'!L455</f>
        <v>11.715999999999999</v>
      </c>
      <c r="F289" s="9">
        <f>'1_Du_lieu'!M455</f>
        <v>50.94</v>
      </c>
      <c r="G289" s="9">
        <f>'1_Du_lieu'!N455</f>
        <v>35.9</v>
      </c>
      <c r="H289" s="9">
        <f>'1_Du_lieu'!X455</f>
        <v>2.8962026782069579</v>
      </c>
      <c r="I289" s="9">
        <f>'1_Du_lieu'!T455</f>
        <v>1.8750808224492437</v>
      </c>
      <c r="J289" s="9">
        <f>'1_Du_lieu'!Y455</f>
        <v>9.904681839091948</v>
      </c>
      <c r="K289" s="9">
        <f>'1_Du_lieu'!O455</f>
        <v>25.8</v>
      </c>
      <c r="L289" s="5">
        <f t="shared" si="20"/>
        <v>0</v>
      </c>
      <c r="M289" s="5">
        <f t="shared" si="21"/>
        <v>0</v>
      </c>
      <c r="N289" s="5">
        <f t="shared" si="22"/>
        <v>0</v>
      </c>
      <c r="O289" s="5">
        <f t="shared" si="23"/>
        <v>0</v>
      </c>
      <c r="P289" s="5">
        <f t="shared" si="24"/>
        <v>1</v>
      </c>
      <c r="AA289" s="5">
        <f>'1_Du_lieu'!D455</f>
        <v>1</v>
      </c>
    </row>
    <row r="290" spans="1:27" x14ac:dyDescent="0.25">
      <c r="A290" t="s">
        <v>100</v>
      </c>
      <c r="B290">
        <v>2024</v>
      </c>
      <c r="C290" s="7">
        <f>'1_Du_lieu'!V456</f>
        <v>2.9444389791664403</v>
      </c>
      <c r="D290" s="9">
        <f>'1_Du_lieu'!W456</f>
        <v>4.0324691585040133</v>
      </c>
      <c r="E290" s="9">
        <f>'1_Du_lieu'!L456</f>
        <v>3.0470000000000002</v>
      </c>
      <c r="F290" s="9">
        <f>'1_Du_lieu'!M456</f>
        <v>13.37</v>
      </c>
      <c r="G290" s="9">
        <f>'1_Du_lieu'!N456</f>
        <v>13.7</v>
      </c>
      <c r="H290" s="9">
        <f>'1_Du_lieu'!X456</f>
        <v>1.4972580731896656</v>
      </c>
      <c r="I290" s="9">
        <f>'1_Du_lieu'!T456</f>
        <v>0.45931256219857614</v>
      </c>
      <c r="J290" s="9">
        <f>'1_Du_lieu'!Y456</f>
        <v>7.1132235386163387</v>
      </c>
      <c r="K290" s="9">
        <f>'1_Du_lieu'!O456</f>
        <v>17.899999999999999</v>
      </c>
      <c r="L290" s="5">
        <f t="shared" si="20"/>
        <v>0</v>
      </c>
      <c r="M290" s="5">
        <f t="shared" si="21"/>
        <v>0</v>
      </c>
      <c r="N290" s="5">
        <f t="shared" si="22"/>
        <v>0</v>
      </c>
      <c r="O290" s="5">
        <f t="shared" si="23"/>
        <v>0</v>
      </c>
      <c r="P290" s="5">
        <f t="shared" si="24"/>
        <v>1</v>
      </c>
      <c r="AA290" s="5">
        <f>'1_Du_lieu'!D456</f>
        <v>0</v>
      </c>
    </row>
    <row r="291" spans="1:27" x14ac:dyDescent="0.25">
      <c r="A291" t="s">
        <v>102</v>
      </c>
      <c r="B291">
        <v>2024</v>
      </c>
      <c r="C291" s="7">
        <f>'1_Du_lieu'!V458</f>
        <v>2.7725887222397811</v>
      </c>
      <c r="D291" s="9">
        <f>'1_Du_lieu'!W458</f>
        <v>4.2682978693455391</v>
      </c>
      <c r="E291" s="9">
        <f>'1_Du_lieu'!L458</f>
        <v>3.1110000000000002</v>
      </c>
      <c r="F291" s="9">
        <f>'1_Du_lieu'!M458</f>
        <v>23.51</v>
      </c>
      <c r="G291" s="9">
        <f>'1_Du_lieu'!N458</f>
        <v>16.399999999999999</v>
      </c>
      <c r="H291" s="9">
        <f>'1_Du_lieu'!X458</f>
        <v>0.14996939029400611</v>
      </c>
      <c r="I291" s="9">
        <f>'1_Du_lieu'!T458</f>
        <v>0.57755775577557755</v>
      </c>
      <c r="J291" s="9">
        <f>'1_Du_lieu'!Y458</f>
        <v>4.9030500834163186</v>
      </c>
      <c r="K291" s="9">
        <f>'1_Du_lieu'!O458</f>
        <v>12.3</v>
      </c>
      <c r="L291" s="5">
        <f t="shared" si="20"/>
        <v>0</v>
      </c>
      <c r="M291" s="5">
        <f t="shared" si="21"/>
        <v>0</v>
      </c>
      <c r="N291" s="5">
        <f t="shared" si="22"/>
        <v>0</v>
      </c>
      <c r="O291" s="5">
        <f t="shared" si="23"/>
        <v>0</v>
      </c>
      <c r="P291" s="5">
        <f t="shared" si="24"/>
        <v>1</v>
      </c>
      <c r="AA291" s="5">
        <f>'1_Du_lieu'!D458</f>
        <v>0</v>
      </c>
    </row>
    <row r="292" spans="1:27" x14ac:dyDescent="0.25">
      <c r="A292" t="s">
        <v>103</v>
      </c>
      <c r="B292">
        <v>2024</v>
      </c>
      <c r="C292" s="7">
        <f>'1_Du_lieu'!V459</f>
        <v>3.3322045101752038</v>
      </c>
      <c r="D292" s="9">
        <f>'1_Du_lieu'!W459</f>
        <v>4.6472713620067267</v>
      </c>
      <c r="E292" s="9">
        <f>'1_Du_lieu'!L459</f>
        <v>8.5429999999999993</v>
      </c>
      <c r="F292" s="9">
        <f>'1_Du_lieu'!M459</f>
        <v>70.67</v>
      </c>
      <c r="G292" s="9">
        <f>'1_Du_lieu'!N459</f>
        <v>25.2</v>
      </c>
      <c r="H292" s="9">
        <f>'1_Du_lieu'!X459</f>
        <v>1.153238075556438</v>
      </c>
      <c r="I292" s="9">
        <f>'1_Du_lieu'!T459</f>
        <v>1.4154281670205235</v>
      </c>
      <c r="J292" s="9">
        <f>'1_Du_lieu'!Y459</f>
        <v>7.4655980675111842</v>
      </c>
      <c r="K292" s="9">
        <f>'1_Du_lieu'!O459</f>
        <v>20.8</v>
      </c>
      <c r="L292" s="5">
        <f t="shared" si="20"/>
        <v>0</v>
      </c>
      <c r="M292" s="5">
        <f t="shared" si="21"/>
        <v>0</v>
      </c>
      <c r="N292" s="5">
        <f t="shared" si="22"/>
        <v>0</v>
      </c>
      <c r="O292" s="5">
        <f t="shared" si="23"/>
        <v>0</v>
      </c>
      <c r="P292" s="5">
        <f t="shared" si="24"/>
        <v>1</v>
      </c>
      <c r="AA292" s="5">
        <f>'1_Du_lieu'!D459</f>
        <v>0</v>
      </c>
    </row>
    <row r="293" spans="1:27" x14ac:dyDescent="0.25">
      <c r="A293" t="s">
        <v>104</v>
      </c>
      <c r="B293">
        <v>2024</v>
      </c>
      <c r="C293" s="7">
        <f>'1_Du_lieu'!V460</f>
        <v>2.7080502011022101</v>
      </c>
      <c r="D293" s="9">
        <f>'1_Du_lieu'!W460</f>
        <v>4.2002049529215784</v>
      </c>
      <c r="E293" s="9">
        <f>'1_Du_lieu'!L460</f>
        <v>3.39</v>
      </c>
      <c r="F293" s="9">
        <f>'1_Du_lieu'!M460</f>
        <v>29.53</v>
      </c>
      <c r="G293" s="9">
        <f>'1_Du_lieu'!N460</f>
        <v>16.2</v>
      </c>
      <c r="H293" s="9">
        <f>'1_Du_lieu'!X460</f>
        <v>2.4457426153554831</v>
      </c>
      <c r="I293" s="9">
        <f>'1_Du_lieu'!T460</f>
        <v>1.8961404367239587</v>
      </c>
      <c r="J293" s="9">
        <f>'1_Du_lieu'!Y460</f>
        <v>4.0587173845789497</v>
      </c>
      <c r="K293" s="9">
        <f>'1_Du_lieu'!O460</f>
        <v>11.5</v>
      </c>
      <c r="L293" s="5">
        <f t="shared" si="20"/>
        <v>0</v>
      </c>
      <c r="M293" s="5">
        <f t="shared" si="21"/>
        <v>0</v>
      </c>
      <c r="N293" s="5">
        <f t="shared" si="22"/>
        <v>0</v>
      </c>
      <c r="O293" s="5">
        <f t="shared" si="23"/>
        <v>0</v>
      </c>
      <c r="P293" s="5">
        <f t="shared" si="24"/>
        <v>1</v>
      </c>
      <c r="AA293" s="5">
        <f>'1_Du_lieu'!D460</f>
        <v>0</v>
      </c>
    </row>
    <row r="294" spans="1:27" x14ac:dyDescent="0.25">
      <c r="A294" t="s">
        <v>107</v>
      </c>
      <c r="B294">
        <v>2024</v>
      </c>
      <c r="C294" s="7">
        <f>'1_Du_lieu'!V462</f>
        <v>3.1354942159291497</v>
      </c>
      <c r="D294" s="9">
        <f>'1_Du_lieu'!W462</f>
        <v>4.677490847567717</v>
      </c>
      <c r="E294" s="9">
        <f>'1_Du_lieu'!L462</f>
        <v>6.5060000000000002</v>
      </c>
      <c r="F294" s="9">
        <f>'1_Du_lieu'!M462</f>
        <v>28.74</v>
      </c>
      <c r="G294" s="9">
        <f>'1_Du_lieu'!N462</f>
        <v>32.299999999999997</v>
      </c>
      <c r="H294" s="9">
        <f>'1_Du_lieu'!X462</f>
        <v>3.0323602921703454</v>
      </c>
      <c r="I294" s="9">
        <f>'1_Du_lieu'!T462</f>
        <v>1.1183180496533214</v>
      </c>
      <c r="J294" s="9">
        <f>'1_Du_lieu'!Y462</f>
        <v>8.909113650174131</v>
      </c>
      <c r="K294" s="9">
        <f>'1_Du_lieu'!O462</f>
        <v>13.9</v>
      </c>
      <c r="L294" s="5">
        <f t="shared" si="20"/>
        <v>0</v>
      </c>
      <c r="M294" s="5">
        <f t="shared" si="21"/>
        <v>0</v>
      </c>
      <c r="N294" s="5">
        <f t="shared" si="22"/>
        <v>0</v>
      </c>
      <c r="O294" s="5">
        <f t="shared" si="23"/>
        <v>0</v>
      </c>
      <c r="P294" s="5">
        <f t="shared" si="24"/>
        <v>1</v>
      </c>
      <c r="AA294" s="5">
        <f>'1_Du_lieu'!D462</f>
        <v>1</v>
      </c>
    </row>
    <row r="295" spans="1:27" x14ac:dyDescent="0.25">
      <c r="A295" t="s">
        <v>108</v>
      </c>
      <c r="B295">
        <v>2024</v>
      </c>
      <c r="C295" s="7">
        <f>'1_Du_lieu'!V463</f>
        <v>4.4308167988433134</v>
      </c>
      <c r="D295" s="9">
        <f>'1_Du_lieu'!W463</f>
        <v>5.0931365156079993</v>
      </c>
      <c r="E295" s="9">
        <f>'1_Du_lieu'!L463</f>
        <v>22.579000000000001</v>
      </c>
      <c r="F295" s="9">
        <f>'1_Du_lieu'!M463</f>
        <v>49.11</v>
      </c>
      <c r="G295" s="9">
        <f>'1_Du_lieu'!N463</f>
        <v>53.9</v>
      </c>
      <c r="H295" s="9">
        <f>'1_Du_lieu'!X463</f>
        <v>3.3194894766662983</v>
      </c>
      <c r="I295" s="9">
        <f>'1_Du_lieu'!T463</f>
        <v>1.8468385794255298</v>
      </c>
      <c r="J295" s="9">
        <f>'1_Du_lieu'!Y463</f>
        <v>8.4883203538471221</v>
      </c>
      <c r="K295" s="9">
        <f>'1_Du_lieu'!O463</f>
        <v>43.9</v>
      </c>
      <c r="L295" s="5">
        <f t="shared" si="20"/>
        <v>0</v>
      </c>
      <c r="M295" s="5">
        <f t="shared" si="21"/>
        <v>0</v>
      </c>
      <c r="N295" s="5">
        <f t="shared" si="22"/>
        <v>0</v>
      </c>
      <c r="O295" s="5">
        <f t="shared" si="23"/>
        <v>0</v>
      </c>
      <c r="P295" s="5">
        <f t="shared" si="24"/>
        <v>1</v>
      </c>
      <c r="AA295" s="5">
        <f>'1_Du_lieu'!D463</f>
        <v>1</v>
      </c>
    </row>
    <row r="296" spans="1:27" x14ac:dyDescent="0.25">
      <c r="A296" t="s">
        <v>109</v>
      </c>
      <c r="B296">
        <v>2024</v>
      </c>
      <c r="C296" s="7">
        <f>'1_Du_lieu'!V464</f>
        <v>2.8903717578961645</v>
      </c>
      <c r="D296" s="9">
        <f>'1_Du_lieu'!W464</f>
        <v>4.4164280613912137</v>
      </c>
      <c r="E296" s="9">
        <f>'1_Du_lieu'!L464</f>
        <v>4.484</v>
      </c>
      <c r="F296" s="9">
        <f>'1_Du_lieu'!M464</f>
        <v>22.59</v>
      </c>
      <c r="G296" s="9">
        <f>'1_Du_lieu'!N464</f>
        <v>32.299999999999997</v>
      </c>
      <c r="H296" s="9">
        <f>'1_Du_lieu'!X464</f>
        <v>3.5761073893199447</v>
      </c>
      <c r="I296" s="9">
        <f>'1_Du_lieu'!T464</f>
        <v>0.37599639043465183</v>
      </c>
      <c r="J296" s="9">
        <f>'1_Du_lieu'!Y464</f>
        <v>9.1150511919513608</v>
      </c>
      <c r="K296" s="9">
        <f>'1_Du_lieu'!O464</f>
        <v>21.1</v>
      </c>
      <c r="L296" s="5">
        <f t="shared" si="20"/>
        <v>0</v>
      </c>
      <c r="M296" s="5">
        <f t="shared" si="21"/>
        <v>0</v>
      </c>
      <c r="N296" s="5">
        <f t="shared" si="22"/>
        <v>0</v>
      </c>
      <c r="O296" s="5">
        <f t="shared" si="23"/>
        <v>0</v>
      </c>
      <c r="P296" s="5">
        <f t="shared" si="24"/>
        <v>1</v>
      </c>
      <c r="AA296" s="5">
        <f>'1_Du_lieu'!D464</f>
        <v>0</v>
      </c>
    </row>
    <row r="297" spans="1:27" x14ac:dyDescent="0.25">
      <c r="A297" t="s">
        <v>110</v>
      </c>
      <c r="B297">
        <v>2024</v>
      </c>
      <c r="C297" s="7">
        <f>'1_Du_lieu'!V465</f>
        <v>2.6390573296152584</v>
      </c>
      <c r="D297" s="9">
        <f>'1_Du_lieu'!W465</f>
        <v>4.3744983682530902</v>
      </c>
      <c r="E297" s="9">
        <f>'1_Du_lieu'!L465</f>
        <v>3.4889999999999999</v>
      </c>
      <c r="F297" s="9">
        <f>'1_Du_lieu'!M465</f>
        <v>26.17</v>
      </c>
      <c r="G297" s="9">
        <f>'1_Du_lieu'!N465</f>
        <v>25.6</v>
      </c>
      <c r="H297" s="9">
        <f>'1_Du_lieu'!X465</f>
        <v>2.367937285247359</v>
      </c>
      <c r="I297" s="9">
        <f>'1_Du_lieu'!T465</f>
        <v>1.1179429849077696</v>
      </c>
      <c r="J297" s="9">
        <f>'1_Du_lieu'!Y465</f>
        <v>6.7923444274708089</v>
      </c>
      <c r="K297" s="9">
        <f>'1_Du_lieu'!O465</f>
        <v>14.2</v>
      </c>
      <c r="L297" s="5">
        <f t="shared" si="20"/>
        <v>0</v>
      </c>
      <c r="M297" s="5">
        <f t="shared" si="21"/>
        <v>0</v>
      </c>
      <c r="N297" s="5">
        <f t="shared" si="22"/>
        <v>0</v>
      </c>
      <c r="O297" s="5">
        <f t="shared" si="23"/>
        <v>0</v>
      </c>
      <c r="P297" s="5">
        <f t="shared" si="24"/>
        <v>1</v>
      </c>
      <c r="AA297" s="5">
        <f>'1_Du_lieu'!D465</f>
        <v>0</v>
      </c>
    </row>
    <row r="298" spans="1:27" x14ac:dyDescent="0.25">
      <c r="A298" t="s">
        <v>111</v>
      </c>
      <c r="B298">
        <v>2024</v>
      </c>
      <c r="C298" s="7">
        <f>'1_Du_lieu'!V466</f>
        <v>3.2958368660043291</v>
      </c>
      <c r="D298" s="9">
        <f>'1_Du_lieu'!W466</f>
        <v>4.7681390142662314</v>
      </c>
      <c r="E298" s="9">
        <f>'1_Du_lieu'!L466</f>
        <v>8.2309999999999999</v>
      </c>
      <c r="F298" s="9">
        <f>'1_Du_lieu'!M466</f>
        <v>17.09</v>
      </c>
      <c r="G298" s="9">
        <f>'1_Du_lieu'!N466</f>
        <v>29.3</v>
      </c>
      <c r="H298" s="9">
        <f>'1_Du_lieu'!X466</f>
        <v>3.3521150877319186</v>
      </c>
      <c r="I298" s="9">
        <f>'1_Du_lieu'!T466</f>
        <v>1.8966694484485247</v>
      </c>
      <c r="J298" s="9">
        <f>'1_Du_lieu'!Y466</f>
        <v>8.8265144389714987</v>
      </c>
      <c r="K298" s="9">
        <f>'1_Du_lieu'!O466</f>
        <v>23.6</v>
      </c>
      <c r="L298" s="5">
        <f t="shared" si="20"/>
        <v>0</v>
      </c>
      <c r="M298" s="5">
        <f t="shared" si="21"/>
        <v>0</v>
      </c>
      <c r="N298" s="5">
        <f t="shared" si="22"/>
        <v>0</v>
      </c>
      <c r="O298" s="5">
        <f t="shared" si="23"/>
        <v>0</v>
      </c>
      <c r="P298" s="5">
        <f t="shared" si="24"/>
        <v>1</v>
      </c>
      <c r="AA298" s="5">
        <f>'1_Du_lieu'!D466</f>
        <v>1</v>
      </c>
    </row>
    <row r="299" spans="1:27" x14ac:dyDescent="0.25">
      <c r="A299" t="s">
        <v>112</v>
      </c>
      <c r="B299">
        <v>2024</v>
      </c>
      <c r="C299" s="7">
        <f>'1_Du_lieu'!V467</f>
        <v>3.044522437723423</v>
      </c>
      <c r="D299" s="9">
        <f>'1_Du_lieu'!W467</f>
        <v>4.6653241088078383</v>
      </c>
      <c r="E299" s="9">
        <f>'1_Du_lieu'!L467</f>
        <v>6.0410000000000004</v>
      </c>
      <c r="F299" s="9">
        <f>'1_Du_lieu'!M467</f>
        <v>31.87</v>
      </c>
      <c r="G299" s="9">
        <f>'1_Du_lieu'!N467</f>
        <v>29.4</v>
      </c>
      <c r="H299" s="9">
        <f>'1_Du_lieu'!X467</f>
        <v>3.400809748829857</v>
      </c>
      <c r="I299" s="9">
        <f>'1_Du_lieu'!T467</f>
        <v>0.45495905368516831</v>
      </c>
      <c r="J299" s="9">
        <f>'1_Du_lieu'!Y467</f>
        <v>8.6407727281864286</v>
      </c>
      <c r="K299" s="9">
        <f>'1_Du_lieu'!O467</f>
        <v>23.1</v>
      </c>
      <c r="L299" s="5">
        <f t="shared" si="20"/>
        <v>0</v>
      </c>
      <c r="M299" s="5">
        <f t="shared" si="21"/>
        <v>0</v>
      </c>
      <c r="N299" s="5">
        <f t="shared" si="22"/>
        <v>0</v>
      </c>
      <c r="O299" s="5">
        <f t="shared" si="23"/>
        <v>0</v>
      </c>
      <c r="P299" s="5">
        <f t="shared" si="24"/>
        <v>1</v>
      </c>
      <c r="AA299" s="5">
        <f>'1_Du_lieu'!D467</f>
        <v>1</v>
      </c>
    </row>
    <row r="300" spans="1:27" x14ac:dyDescent="0.25">
      <c r="A300" t="s">
        <v>113</v>
      </c>
      <c r="B300">
        <v>2024</v>
      </c>
      <c r="C300" s="7">
        <f>'1_Du_lieu'!V468</f>
        <v>3.5835189384561099</v>
      </c>
      <c r="D300" s="9">
        <f>'1_Du_lieu'!W468</f>
        <v>5.3288465715828597</v>
      </c>
      <c r="E300" s="9">
        <f>'1_Du_lieu'!L468</f>
        <v>10.497999999999999</v>
      </c>
      <c r="F300" s="9">
        <f>'1_Du_lieu'!M468</f>
        <v>45.67</v>
      </c>
      <c r="G300" s="9">
        <f>'1_Du_lieu'!N468</f>
        <v>38</v>
      </c>
      <c r="H300" s="9">
        <f>'1_Du_lieu'!X468</f>
        <v>4.2098513587657651</v>
      </c>
      <c r="I300" s="9">
        <f>'1_Du_lieu'!T468</f>
        <v>1.8357260531889856</v>
      </c>
      <c r="J300" s="9">
        <f>'1_Du_lieu'!Y468</f>
        <v>9.6381343255674103</v>
      </c>
      <c r="K300" s="9">
        <f>'1_Du_lieu'!O468</f>
        <v>26.1</v>
      </c>
      <c r="L300" s="5">
        <f t="shared" si="20"/>
        <v>0</v>
      </c>
      <c r="M300" s="5">
        <f t="shared" si="21"/>
        <v>0</v>
      </c>
      <c r="N300" s="5">
        <f t="shared" si="22"/>
        <v>0</v>
      </c>
      <c r="O300" s="5">
        <f t="shared" si="23"/>
        <v>0</v>
      </c>
      <c r="P300" s="5">
        <f t="shared" si="24"/>
        <v>1</v>
      </c>
      <c r="AA300" s="5">
        <f>'1_Du_lieu'!D468</f>
        <v>1</v>
      </c>
    </row>
    <row r="301" spans="1:27" x14ac:dyDescent="0.25">
      <c r="A301" t="s">
        <v>114</v>
      </c>
      <c r="B301">
        <v>2024</v>
      </c>
      <c r="C301" s="7">
        <f>'1_Du_lieu'!V469</f>
        <v>2.7080502011022101</v>
      </c>
      <c r="D301" s="9">
        <f>'1_Du_lieu'!W469</f>
        <v>4.5020294270685781</v>
      </c>
      <c r="E301" s="9">
        <f>'1_Du_lieu'!L469</f>
        <v>3.9809999999999999</v>
      </c>
      <c r="F301" s="9">
        <f>'1_Du_lieu'!M469</f>
        <v>28.11</v>
      </c>
      <c r="G301" s="9">
        <f>'1_Du_lieu'!N469</f>
        <v>14.1</v>
      </c>
      <c r="H301" s="9">
        <f>'1_Du_lieu'!X469</f>
        <v>1.2939387164844527</v>
      </c>
      <c r="I301" s="9">
        <f>'1_Du_lieu'!T469</f>
        <v>0.68493150684931503</v>
      </c>
      <c r="J301" s="9">
        <f>'1_Du_lieu'!Y469</f>
        <v>6.9676266760195276</v>
      </c>
      <c r="K301" s="9">
        <f>'1_Du_lieu'!O469</f>
        <v>21</v>
      </c>
      <c r="L301" s="5">
        <f t="shared" si="20"/>
        <v>0</v>
      </c>
      <c r="M301" s="5">
        <f t="shared" si="21"/>
        <v>0</v>
      </c>
      <c r="N301" s="5">
        <f t="shared" si="22"/>
        <v>0</v>
      </c>
      <c r="O301" s="5">
        <f t="shared" si="23"/>
        <v>0</v>
      </c>
      <c r="P301" s="5">
        <f t="shared" si="24"/>
        <v>1</v>
      </c>
      <c r="AA301" s="5">
        <f>'1_Du_lieu'!D469</f>
        <v>0</v>
      </c>
    </row>
    <row r="302" spans="1:27" x14ac:dyDescent="0.25">
      <c r="A302" t="s">
        <v>115</v>
      </c>
      <c r="B302">
        <v>2024</v>
      </c>
      <c r="C302" s="7">
        <f>'1_Du_lieu'!V470</f>
        <v>3.2188758248682006</v>
      </c>
      <c r="D302" s="9">
        <f>'1_Du_lieu'!W470</f>
        <v>4.6472713620067267</v>
      </c>
      <c r="E302" s="9">
        <f>'1_Du_lieu'!L470</f>
        <v>9.0359999999999996</v>
      </c>
      <c r="F302" s="9">
        <f>'1_Du_lieu'!M470</f>
        <v>42.39</v>
      </c>
      <c r="G302" s="9">
        <f>'1_Du_lieu'!N470</f>
        <v>26.2</v>
      </c>
      <c r="H302" s="9">
        <f>'1_Du_lieu'!X470</f>
        <v>3.1546257150891464</v>
      </c>
      <c r="I302" s="9">
        <f>'1_Du_lieu'!T470</f>
        <v>1.7332387930355315</v>
      </c>
      <c r="J302" s="9">
        <f>'1_Du_lieu'!Y470</f>
        <v>8.1587738697921548</v>
      </c>
      <c r="K302" s="9">
        <f>'1_Du_lieu'!O470</f>
        <v>24.4</v>
      </c>
      <c r="L302" s="5">
        <f t="shared" si="20"/>
        <v>0</v>
      </c>
      <c r="M302" s="5">
        <f t="shared" si="21"/>
        <v>0</v>
      </c>
      <c r="N302" s="5">
        <f t="shared" si="22"/>
        <v>0</v>
      </c>
      <c r="O302" s="5">
        <f t="shared" si="23"/>
        <v>0</v>
      </c>
      <c r="P302" s="5">
        <f t="shared" si="24"/>
        <v>1</v>
      </c>
      <c r="AA302" s="5">
        <f>'1_Du_lieu'!D470</f>
        <v>0</v>
      </c>
    </row>
    <row r="303" spans="1:27" x14ac:dyDescent="0.25">
      <c r="A303" t="s">
        <v>116</v>
      </c>
      <c r="B303">
        <v>2024</v>
      </c>
      <c r="C303" s="7">
        <f>'1_Du_lieu'!V471</f>
        <v>2.8332133440562162</v>
      </c>
      <c r="D303" s="9">
        <f>'1_Du_lieu'!W471</f>
        <v>4.3956829611213672</v>
      </c>
      <c r="E303" s="9">
        <f>'1_Du_lieu'!L471</f>
        <v>4.9249999999999998</v>
      </c>
      <c r="F303" s="9">
        <f>'1_Du_lieu'!M471</f>
        <v>29.85</v>
      </c>
      <c r="G303" s="9">
        <f>'1_Du_lieu'!N471</f>
        <v>17.399999999999999</v>
      </c>
      <c r="H303" s="9">
        <f>'1_Du_lieu'!X471</f>
        <v>0.60361638494950653</v>
      </c>
      <c r="I303" s="9">
        <f>'1_Du_lieu'!T471</f>
        <v>4.8112299767928901</v>
      </c>
      <c r="J303" s="9">
        <f>'1_Du_lieu'!Y471</f>
        <v>7.914252278742441</v>
      </c>
      <c r="K303" s="9">
        <f>'1_Du_lieu'!O471</f>
        <v>19.399999999999999</v>
      </c>
      <c r="L303" s="5">
        <f t="shared" si="20"/>
        <v>0</v>
      </c>
      <c r="M303" s="5">
        <f t="shared" si="21"/>
        <v>0</v>
      </c>
      <c r="N303" s="5">
        <f t="shared" si="22"/>
        <v>0</v>
      </c>
      <c r="O303" s="5">
        <f t="shared" si="23"/>
        <v>0</v>
      </c>
      <c r="P303" s="5">
        <f t="shared" si="24"/>
        <v>1</v>
      </c>
      <c r="AA303" s="5">
        <f>'1_Du_lieu'!D471</f>
        <v>0</v>
      </c>
    </row>
    <row r="304" spans="1:27" x14ac:dyDescent="0.25">
      <c r="A304" t="s">
        <v>117</v>
      </c>
      <c r="B304">
        <v>2024</v>
      </c>
      <c r="C304" s="7">
        <f>'1_Du_lieu'!V472</f>
        <v>2.5649493574615367</v>
      </c>
      <c r="D304" s="9">
        <f>'1_Du_lieu'!W472</f>
        <v>4.2150861799182291</v>
      </c>
      <c r="E304" s="9">
        <f>'1_Du_lieu'!L472</f>
        <v>3.6059999999999999</v>
      </c>
      <c r="F304" s="9">
        <f>'1_Du_lieu'!M472</f>
        <v>32.369999999999997</v>
      </c>
      <c r="G304" s="9">
        <f>'1_Du_lieu'!N472</f>
        <v>18.7</v>
      </c>
      <c r="H304" s="9">
        <f>'1_Du_lieu'!X472</f>
        <v>2.7554520297049514</v>
      </c>
      <c r="I304" s="9">
        <f>'1_Du_lieu'!T472</f>
        <v>0.83084081090063144</v>
      </c>
      <c r="J304" s="9">
        <f>'1_Du_lieu'!Y472</f>
        <v>6.0051208735554678</v>
      </c>
      <c r="K304" s="9">
        <f>'1_Du_lieu'!O472</f>
        <v>21.7</v>
      </c>
      <c r="L304" s="5">
        <f t="shared" si="20"/>
        <v>0</v>
      </c>
      <c r="M304" s="5">
        <f t="shared" si="21"/>
        <v>0</v>
      </c>
      <c r="N304" s="5">
        <f t="shared" si="22"/>
        <v>0</v>
      </c>
      <c r="O304" s="5">
        <f t="shared" si="23"/>
        <v>0</v>
      </c>
      <c r="P304" s="5">
        <f t="shared" si="24"/>
        <v>1</v>
      </c>
      <c r="AA304" s="5">
        <f>'1_Du_lieu'!D472</f>
        <v>0</v>
      </c>
    </row>
    <row r="305" spans="1:27" x14ac:dyDescent="0.25">
      <c r="A305" t="s">
        <v>119</v>
      </c>
      <c r="B305">
        <v>2024</v>
      </c>
      <c r="C305" s="7">
        <f>'1_Du_lieu'!V474</f>
        <v>3.0910424533583161</v>
      </c>
      <c r="D305" s="9">
        <f>'1_Du_lieu'!W474</f>
        <v>4.6395716127054234</v>
      </c>
      <c r="E305" s="9">
        <f>'1_Du_lieu'!L474</f>
        <v>7.73</v>
      </c>
      <c r="F305" s="9">
        <f>'1_Du_lieu'!M474</f>
        <v>18.61</v>
      </c>
      <c r="G305" s="9">
        <f>'1_Du_lieu'!N474</f>
        <v>17.2</v>
      </c>
      <c r="H305" s="9">
        <f>'1_Du_lieu'!X474</f>
        <v>1.6112242672103196</v>
      </c>
      <c r="I305" s="9">
        <f>'1_Du_lieu'!T474</f>
        <v>0.45552898303154543</v>
      </c>
      <c r="J305" s="9">
        <f>'1_Du_lieu'!Y474</f>
        <v>9.0020115387999873</v>
      </c>
      <c r="K305" s="9">
        <f>'1_Du_lieu'!O474</f>
        <v>19</v>
      </c>
      <c r="L305" s="5">
        <f t="shared" si="20"/>
        <v>0</v>
      </c>
      <c r="M305" s="5">
        <f t="shared" si="21"/>
        <v>0</v>
      </c>
      <c r="N305" s="5">
        <f t="shared" si="22"/>
        <v>0</v>
      </c>
      <c r="O305" s="5">
        <f t="shared" si="23"/>
        <v>0</v>
      </c>
      <c r="P305" s="5">
        <f t="shared" si="24"/>
        <v>1</v>
      </c>
      <c r="AA305" s="5">
        <f>'1_Du_lieu'!D474</f>
        <v>0</v>
      </c>
    </row>
    <row r="306" spans="1:27" x14ac:dyDescent="0.25">
      <c r="A306" t="s">
        <v>120</v>
      </c>
      <c r="B306">
        <v>2024</v>
      </c>
      <c r="C306" s="7">
        <f>'1_Du_lieu'!V475</f>
        <v>2.9957322735539909</v>
      </c>
      <c r="D306" s="9">
        <f>'1_Du_lieu'!W475</f>
        <v>4.5325994931532563</v>
      </c>
      <c r="E306" s="9">
        <f>'1_Du_lieu'!L475</f>
        <v>4.7409999999999997</v>
      </c>
      <c r="F306" s="9">
        <f>'1_Du_lieu'!M475</f>
        <v>27.14</v>
      </c>
      <c r="G306" s="9">
        <f>'1_Du_lieu'!N475</f>
        <v>24</v>
      </c>
      <c r="H306" s="9">
        <f>'1_Du_lieu'!X475</f>
        <v>2.3943545508393007</v>
      </c>
      <c r="I306" s="9">
        <f>'1_Du_lieu'!T475</f>
        <v>1.1360767482958847</v>
      </c>
      <c r="J306" s="9">
        <f>'1_Du_lieu'!Y475</f>
        <v>6.7199788715052184</v>
      </c>
      <c r="K306" s="9">
        <f>'1_Du_lieu'!O475</f>
        <v>14.1</v>
      </c>
      <c r="L306" s="5">
        <f t="shared" si="20"/>
        <v>0</v>
      </c>
      <c r="M306" s="5">
        <f t="shared" si="21"/>
        <v>0</v>
      </c>
      <c r="N306" s="5">
        <f t="shared" si="22"/>
        <v>0</v>
      </c>
      <c r="O306" s="5">
        <f t="shared" si="23"/>
        <v>0</v>
      </c>
      <c r="P306" s="5">
        <f t="shared" si="24"/>
        <v>1</v>
      </c>
      <c r="AA306" s="5">
        <f>'1_Du_lieu'!D475</f>
        <v>0</v>
      </c>
    </row>
    <row r="307" spans="1:27" x14ac:dyDescent="0.25">
      <c r="A307" t="s">
        <v>121</v>
      </c>
      <c r="B307">
        <v>2024</v>
      </c>
      <c r="C307" s="7">
        <f>'1_Du_lieu'!V476</f>
        <v>3.2580965380214821</v>
      </c>
      <c r="D307" s="9">
        <f>'1_Du_lieu'!W476</f>
        <v>4.604169685654508</v>
      </c>
      <c r="E307" s="9">
        <f>'1_Du_lieu'!L476</f>
        <v>5.9939999999999998</v>
      </c>
      <c r="F307" s="9">
        <f>'1_Du_lieu'!M476</f>
        <v>39.659999999999997</v>
      </c>
      <c r="G307" s="9">
        <f>'1_Du_lieu'!N476</f>
        <v>23</v>
      </c>
      <c r="H307" s="9">
        <f>'1_Du_lieu'!X476</f>
        <v>3.0564112921639643</v>
      </c>
      <c r="I307" s="9">
        <f>'1_Du_lieu'!T476</f>
        <v>0.44036697247706424</v>
      </c>
      <c r="J307" s="9">
        <f>'1_Du_lieu'!Y476</f>
        <v>6.0100409326809174</v>
      </c>
      <c r="K307" s="9">
        <f>'1_Du_lieu'!O476</f>
        <v>30.1</v>
      </c>
      <c r="L307" s="5">
        <f t="shared" si="20"/>
        <v>0</v>
      </c>
      <c r="M307" s="5">
        <f t="shared" si="21"/>
        <v>0</v>
      </c>
      <c r="N307" s="5">
        <f t="shared" si="22"/>
        <v>0</v>
      </c>
      <c r="O307" s="5">
        <f t="shared" si="23"/>
        <v>0</v>
      </c>
      <c r="P307" s="5">
        <f t="shared" si="24"/>
        <v>1</v>
      </c>
      <c r="AA307" s="5">
        <f>'1_Du_lieu'!D476</f>
        <v>0</v>
      </c>
    </row>
    <row r="308" spans="1:27" x14ac:dyDescent="0.25">
      <c r="A308" t="s">
        <v>122</v>
      </c>
      <c r="B308">
        <v>2024</v>
      </c>
      <c r="C308" s="7">
        <f>'1_Du_lieu'!V477</f>
        <v>2.5649493574615367</v>
      </c>
      <c r="D308" s="9">
        <f>'1_Du_lieu'!W477</f>
        <v>4.133565275375382</v>
      </c>
      <c r="E308" s="9">
        <f>'1_Du_lieu'!L477</f>
        <v>3.44</v>
      </c>
      <c r="F308" s="9">
        <f>'1_Du_lieu'!M477</f>
        <v>23.62</v>
      </c>
      <c r="G308" s="9">
        <f>'1_Du_lieu'!N477</f>
        <v>29</v>
      </c>
      <c r="H308" s="9">
        <f>'1_Du_lieu'!X477</f>
        <v>2.2984734576914283</v>
      </c>
      <c r="I308" s="9">
        <f>'1_Du_lieu'!T477</f>
        <v>0.98280098280098283</v>
      </c>
      <c r="J308" s="9">
        <f>'1_Du_lieu'!Y477</f>
        <v>6.4515756563294717</v>
      </c>
      <c r="K308" s="9">
        <f>'1_Du_lieu'!O477</f>
        <v>12.1</v>
      </c>
      <c r="L308" s="5">
        <f t="shared" si="20"/>
        <v>0</v>
      </c>
      <c r="M308" s="5">
        <f t="shared" si="21"/>
        <v>0</v>
      </c>
      <c r="N308" s="5">
        <f t="shared" si="22"/>
        <v>0</v>
      </c>
      <c r="O308" s="5">
        <f t="shared" si="23"/>
        <v>0</v>
      </c>
      <c r="P308" s="5">
        <f t="shared" si="24"/>
        <v>1</v>
      </c>
      <c r="AA308" s="5">
        <f>'1_Du_lieu'!D477</f>
        <v>0</v>
      </c>
    </row>
    <row r="309" spans="1:27" x14ac:dyDescent="0.25">
      <c r="A309" t="s">
        <v>123</v>
      </c>
      <c r="B309">
        <v>2024</v>
      </c>
      <c r="C309" s="7">
        <f>'1_Du_lieu'!V478</f>
        <v>3.2580965380214821</v>
      </c>
      <c r="D309" s="9">
        <f>'1_Du_lieu'!W478</f>
        <v>4.0724397268340509</v>
      </c>
      <c r="E309" s="9">
        <f>'1_Du_lieu'!L478</f>
        <v>3.9430000000000001</v>
      </c>
      <c r="F309" s="9">
        <f>'1_Du_lieu'!M478</f>
        <v>20.48</v>
      </c>
      <c r="G309" s="9">
        <f>'1_Du_lieu'!N478</f>
        <v>23.8</v>
      </c>
      <c r="H309" s="9">
        <f>'1_Du_lieu'!X478</f>
        <v>2.3705870819969586</v>
      </c>
      <c r="I309" s="9">
        <f>'1_Du_lieu'!T478</f>
        <v>1.1614401858304297</v>
      </c>
      <c r="J309" s="9">
        <f>'1_Du_lieu'!Y478</f>
        <v>7.7445264996249579</v>
      </c>
      <c r="K309" s="9">
        <f>'1_Du_lieu'!O478</f>
        <v>14.8</v>
      </c>
      <c r="L309" s="5">
        <f t="shared" si="20"/>
        <v>0</v>
      </c>
      <c r="M309" s="5">
        <f t="shared" si="21"/>
        <v>0</v>
      </c>
      <c r="N309" s="5">
        <f t="shared" si="22"/>
        <v>0</v>
      </c>
      <c r="O309" s="5">
        <f t="shared" si="23"/>
        <v>0</v>
      </c>
      <c r="P309" s="5">
        <f t="shared" si="24"/>
        <v>1</v>
      </c>
      <c r="AA309" s="5">
        <f>'1_Du_lieu'!D478</f>
        <v>1</v>
      </c>
    </row>
    <row r="310" spans="1:27" x14ac:dyDescent="0.25">
      <c r="A310" t="s">
        <v>124</v>
      </c>
      <c r="B310">
        <v>2024</v>
      </c>
      <c r="C310" s="7">
        <f>'1_Du_lieu'!V479</f>
        <v>3.0910424533583161</v>
      </c>
      <c r="D310" s="9">
        <f>'1_Du_lieu'!W479</f>
        <v>4.1059436980654525</v>
      </c>
      <c r="E310" s="9">
        <f>'1_Du_lieu'!L479</f>
        <v>4.1280000000000001</v>
      </c>
      <c r="F310" s="9">
        <f>'1_Du_lieu'!M479</f>
        <v>15.72</v>
      </c>
      <c r="G310" s="9">
        <f>'1_Du_lieu'!N479</f>
        <v>26.5</v>
      </c>
      <c r="H310" s="9">
        <f>'1_Du_lieu'!X479</f>
        <v>3.9513035308374196</v>
      </c>
      <c r="I310" s="9">
        <f>'1_Du_lieu'!T479</f>
        <v>3.5423206520173944</v>
      </c>
      <c r="J310" s="9">
        <f>'1_Du_lieu'!Y479</f>
        <v>7.4016585235521788</v>
      </c>
      <c r="K310" s="9">
        <f>'1_Du_lieu'!O479</f>
        <v>17.8</v>
      </c>
      <c r="L310" s="5">
        <f t="shared" si="20"/>
        <v>0</v>
      </c>
      <c r="M310" s="5">
        <f t="shared" si="21"/>
        <v>0</v>
      </c>
      <c r="N310" s="5">
        <f t="shared" si="22"/>
        <v>0</v>
      </c>
      <c r="O310" s="5">
        <f t="shared" si="23"/>
        <v>0</v>
      </c>
      <c r="P310" s="5">
        <f t="shared" si="24"/>
        <v>1</v>
      </c>
      <c r="AA310" s="5">
        <f>'1_Du_lieu'!D479</f>
        <v>0</v>
      </c>
    </row>
    <row r="311" spans="1:27" x14ac:dyDescent="0.25">
      <c r="A311" t="s">
        <v>125</v>
      </c>
      <c r="B311">
        <v>2024</v>
      </c>
      <c r="C311" s="7">
        <f>'1_Du_lieu'!V480</f>
        <v>3.1780538303479458</v>
      </c>
      <c r="D311" s="9">
        <f>'1_Du_lieu'!W480</f>
        <v>4.5152454784601046</v>
      </c>
      <c r="E311" s="9">
        <f>'1_Du_lieu'!L480</f>
        <v>5.6769999999999996</v>
      </c>
      <c r="F311" s="9">
        <f>'1_Du_lieu'!M480</f>
        <v>21.81</v>
      </c>
      <c r="G311" s="9">
        <f>'1_Du_lieu'!N480</f>
        <v>33.9</v>
      </c>
      <c r="H311" s="9">
        <f>'1_Du_lieu'!X480</f>
        <v>4.1157324997764873</v>
      </c>
      <c r="I311" s="9">
        <f>'1_Du_lieu'!T480</f>
        <v>3.3970688149082795</v>
      </c>
      <c r="J311" s="9">
        <f>'1_Du_lieu'!Y480</f>
        <v>7.4975953896761531</v>
      </c>
      <c r="K311" s="9">
        <f>'1_Du_lieu'!O480</f>
        <v>26</v>
      </c>
      <c r="L311" s="5">
        <f t="shared" si="20"/>
        <v>0</v>
      </c>
      <c r="M311" s="5">
        <f t="shared" si="21"/>
        <v>0</v>
      </c>
      <c r="N311" s="5">
        <f t="shared" si="22"/>
        <v>0</v>
      </c>
      <c r="O311" s="5">
        <f t="shared" si="23"/>
        <v>0</v>
      </c>
      <c r="P311" s="5">
        <f t="shared" si="24"/>
        <v>1</v>
      </c>
      <c r="AA311" s="5">
        <f>'1_Du_lieu'!D480</f>
        <v>1</v>
      </c>
    </row>
    <row r="312" spans="1:27" x14ac:dyDescent="0.25">
      <c r="A312" t="s">
        <v>126</v>
      </c>
      <c r="B312">
        <v>2024</v>
      </c>
      <c r="C312" s="7">
        <f>'1_Du_lieu'!V481</f>
        <v>2.8332133440562162</v>
      </c>
      <c r="D312" s="9">
        <f>'1_Du_lieu'!W481</f>
        <v>4.5507140001920323</v>
      </c>
      <c r="E312" s="9">
        <f>'1_Du_lieu'!L481</f>
        <v>5.2469999999999999</v>
      </c>
      <c r="F312" s="9">
        <f>'1_Du_lieu'!M481</f>
        <v>36.18</v>
      </c>
      <c r="G312" s="9">
        <f>'1_Du_lieu'!N481</f>
        <v>18.600000000000001</v>
      </c>
      <c r="H312" s="9">
        <f>'1_Du_lieu'!X481</f>
        <v>2.7565786736801647</v>
      </c>
      <c r="I312" s="9">
        <f>'1_Du_lieu'!T481</f>
        <v>1.3056960992329034</v>
      </c>
      <c r="J312" s="9">
        <f>'1_Du_lieu'!Y481</f>
        <v>8.379033964007025</v>
      </c>
      <c r="K312" s="9">
        <f>'1_Du_lieu'!O481</f>
        <v>14.3</v>
      </c>
      <c r="L312" s="5">
        <f t="shared" si="20"/>
        <v>0</v>
      </c>
      <c r="M312" s="5">
        <f t="shared" si="21"/>
        <v>0</v>
      </c>
      <c r="N312" s="5">
        <f t="shared" si="22"/>
        <v>0</v>
      </c>
      <c r="O312" s="5">
        <f t="shared" si="23"/>
        <v>0</v>
      </c>
      <c r="P312" s="5">
        <f t="shared" si="24"/>
        <v>1</v>
      </c>
      <c r="AA312" s="5">
        <f>'1_Du_lieu'!D481</f>
        <v>0</v>
      </c>
    </row>
    <row r="313" spans="1:27" x14ac:dyDescent="0.25">
      <c r="A313" t="s">
        <v>127</v>
      </c>
      <c r="B313">
        <v>2024</v>
      </c>
      <c r="C313" s="7">
        <f>'1_Du_lieu'!V482</f>
        <v>3.044522437723423</v>
      </c>
      <c r="D313" s="9">
        <f>'1_Du_lieu'!W482</f>
        <v>4.2918283667557331</v>
      </c>
      <c r="E313" s="9">
        <f>'1_Du_lieu'!L482</f>
        <v>4.4370000000000003</v>
      </c>
      <c r="F313" s="9">
        <f>'1_Du_lieu'!M482</f>
        <v>19.52</v>
      </c>
      <c r="G313" s="9">
        <f>'1_Du_lieu'!N482</f>
        <v>35.200000000000003</v>
      </c>
      <c r="H313" s="9">
        <f>'1_Du_lieu'!X482</f>
        <v>3.1923093156516198</v>
      </c>
      <c r="I313" s="9">
        <f>'1_Du_lieu'!T482</f>
        <v>1.230649653474966</v>
      </c>
      <c r="J313" s="9">
        <f>'1_Du_lieu'!Y482</f>
        <v>7.7511311727887735</v>
      </c>
      <c r="K313" s="9">
        <f>'1_Du_lieu'!O482</f>
        <v>29.3</v>
      </c>
      <c r="L313" s="5">
        <f t="shared" si="20"/>
        <v>0</v>
      </c>
      <c r="M313" s="5">
        <f t="shared" si="21"/>
        <v>0</v>
      </c>
      <c r="N313" s="5">
        <f t="shared" si="22"/>
        <v>0</v>
      </c>
      <c r="O313" s="5">
        <f t="shared" si="23"/>
        <v>0</v>
      </c>
      <c r="P313" s="5">
        <f t="shared" si="24"/>
        <v>1</v>
      </c>
      <c r="AA313" s="5">
        <f>'1_Du_lieu'!D482</f>
        <v>0</v>
      </c>
    </row>
    <row r="314" spans="1:27" x14ac:dyDescent="0.25">
      <c r="A314" t="s">
        <v>128</v>
      </c>
      <c r="B314">
        <v>2024</v>
      </c>
      <c r="C314" s="7">
        <f>'1_Du_lieu'!V483</f>
        <v>2.7725887222397811</v>
      </c>
      <c r="D314" s="9">
        <f>'1_Du_lieu'!W483</f>
        <v>4.2224445648494164</v>
      </c>
      <c r="E314" s="9">
        <f>'1_Du_lieu'!L483</f>
        <v>3.9340000000000002</v>
      </c>
      <c r="F314" s="9">
        <f>'1_Du_lieu'!M483</f>
        <v>33</v>
      </c>
      <c r="G314" s="9">
        <f>'1_Du_lieu'!N483</f>
        <v>23.9</v>
      </c>
      <c r="H314" s="9">
        <f>'1_Du_lieu'!X483</f>
        <v>2.6120265570220109</v>
      </c>
      <c r="I314" s="9">
        <f>'1_Du_lieu'!T483</f>
        <v>0.45187528242205149</v>
      </c>
      <c r="J314" s="9">
        <f>'1_Du_lieu'!Y483</f>
        <v>7.6383909039530744</v>
      </c>
      <c r="K314" s="9">
        <f>'1_Du_lieu'!O483</f>
        <v>19.8</v>
      </c>
      <c r="L314" s="5">
        <f t="shared" si="20"/>
        <v>0</v>
      </c>
      <c r="M314" s="5">
        <f t="shared" si="21"/>
        <v>0</v>
      </c>
      <c r="N314" s="5">
        <f t="shared" si="22"/>
        <v>0</v>
      </c>
      <c r="O314" s="5">
        <f t="shared" si="23"/>
        <v>0</v>
      </c>
      <c r="P314" s="5">
        <f t="shared" si="24"/>
        <v>1</v>
      </c>
      <c r="AA314" s="5">
        <f>'1_Du_lieu'!D483</f>
        <v>0</v>
      </c>
    </row>
    <row r="315" spans="1:27" x14ac:dyDescent="0.25">
      <c r="A315" t="s">
        <v>129</v>
      </c>
      <c r="B315">
        <v>2024</v>
      </c>
      <c r="C315" s="7">
        <f>'1_Du_lieu'!V484</f>
        <v>2.8332133440562162</v>
      </c>
      <c r="D315" s="9">
        <f>'1_Du_lieu'!W484</f>
        <v>4.169761201506855</v>
      </c>
      <c r="E315" s="9">
        <f>'1_Du_lieu'!L484</f>
        <v>5.6120000000000001</v>
      </c>
      <c r="F315" s="9">
        <f>'1_Du_lieu'!M484</f>
        <v>23.5</v>
      </c>
      <c r="G315" s="9">
        <f>'1_Du_lieu'!N484</f>
        <v>28.4</v>
      </c>
      <c r="H315" s="9">
        <f>'1_Du_lieu'!X484</f>
        <v>3.5835880200760712</v>
      </c>
      <c r="I315" s="9">
        <f>'1_Du_lieu'!T484</f>
        <v>0.97318339100346019</v>
      </c>
      <c r="J315" s="9">
        <f>'1_Du_lieu'!Y484</f>
        <v>7.0968041565255184</v>
      </c>
      <c r="K315" s="9">
        <f>'1_Du_lieu'!O484</f>
        <v>15.4</v>
      </c>
      <c r="L315" s="5">
        <f t="shared" si="20"/>
        <v>0</v>
      </c>
      <c r="M315" s="5">
        <f t="shared" si="21"/>
        <v>0</v>
      </c>
      <c r="N315" s="5">
        <f t="shared" si="22"/>
        <v>0</v>
      </c>
      <c r="O315" s="5">
        <f t="shared" si="23"/>
        <v>0</v>
      </c>
      <c r="P315" s="5">
        <f t="shared" si="24"/>
        <v>1</v>
      </c>
      <c r="AA315" s="5">
        <f>'1_Du_lieu'!D484</f>
        <v>0</v>
      </c>
    </row>
    <row r="316" spans="1:27" x14ac:dyDescent="0.25">
      <c r="A316" t="s">
        <v>130</v>
      </c>
      <c r="B316">
        <v>2024</v>
      </c>
      <c r="C316" s="7">
        <f>'1_Du_lieu'!V485</f>
        <v>2.9957322735539909</v>
      </c>
      <c r="D316" s="9">
        <f>'1_Du_lieu'!W485</f>
        <v>4.4200447018614026</v>
      </c>
      <c r="E316" s="9">
        <f>'1_Du_lieu'!L485</f>
        <v>5.468</v>
      </c>
      <c r="F316" s="9">
        <f>'1_Du_lieu'!M485</f>
        <v>30.75</v>
      </c>
      <c r="G316" s="9">
        <f>'1_Du_lieu'!N485</f>
        <v>28.5</v>
      </c>
      <c r="H316" s="9">
        <f>'1_Du_lieu'!X485</f>
        <v>2.6971526851914871</v>
      </c>
      <c r="I316" s="9">
        <f>'1_Du_lieu'!T485</f>
        <v>0.19431310318025777</v>
      </c>
      <c r="J316" s="9">
        <f>'1_Du_lieu'!Y485</f>
        <v>8.3375879421165102</v>
      </c>
      <c r="K316" s="9">
        <f>'1_Du_lieu'!O485</f>
        <v>18</v>
      </c>
      <c r="L316" s="5">
        <f t="shared" si="20"/>
        <v>0</v>
      </c>
      <c r="M316" s="5">
        <f t="shared" si="21"/>
        <v>0</v>
      </c>
      <c r="N316" s="5">
        <f t="shared" si="22"/>
        <v>0</v>
      </c>
      <c r="O316" s="5">
        <f t="shared" si="23"/>
        <v>0</v>
      </c>
      <c r="P316" s="5">
        <f t="shared" si="24"/>
        <v>1</v>
      </c>
      <c r="AA316" s="5">
        <f>'1_Du_lieu'!D485</f>
        <v>0</v>
      </c>
    </row>
    <row r="317" spans="1:27" x14ac:dyDescent="0.25">
      <c r="A317" t="s">
        <v>131</v>
      </c>
      <c r="B317">
        <v>2024</v>
      </c>
      <c r="C317" s="7">
        <f>'1_Du_lieu'!V486</f>
        <v>2.8332133440562162</v>
      </c>
      <c r="D317" s="9">
        <f>'1_Du_lieu'!W486</f>
        <v>4.6472713620067267</v>
      </c>
      <c r="E317" s="9">
        <f>'1_Du_lieu'!L486</f>
        <v>4.4930000000000003</v>
      </c>
      <c r="F317" s="9">
        <f>'1_Du_lieu'!M486</f>
        <v>22.3</v>
      </c>
      <c r="G317" s="9">
        <f>'1_Du_lieu'!N486</f>
        <v>27.4</v>
      </c>
      <c r="H317" s="9">
        <f>'1_Du_lieu'!X486</f>
        <v>2.6075957169644401</v>
      </c>
      <c r="I317" s="9">
        <f>'1_Du_lieu'!T486</f>
        <v>0.79371378680847671</v>
      </c>
      <c r="J317" s="9">
        <f>'1_Du_lieu'!Y486</f>
        <v>7.5643422042302797</v>
      </c>
      <c r="K317" s="9">
        <f>'1_Du_lieu'!O486</f>
        <v>21.9</v>
      </c>
      <c r="L317" s="5">
        <f t="shared" si="20"/>
        <v>0</v>
      </c>
      <c r="M317" s="5">
        <f t="shared" si="21"/>
        <v>0</v>
      </c>
      <c r="N317" s="5">
        <f t="shared" si="22"/>
        <v>0</v>
      </c>
      <c r="O317" s="5">
        <f t="shared" si="23"/>
        <v>0</v>
      </c>
      <c r="P317" s="5">
        <f t="shared" si="24"/>
        <v>1</v>
      </c>
      <c r="AA317" s="5">
        <f>'1_Du_lieu'!D486</f>
        <v>0</v>
      </c>
    </row>
    <row r="318" spans="1:27" x14ac:dyDescent="0.25">
      <c r="A318" t="s">
        <v>132</v>
      </c>
      <c r="B318">
        <v>2024</v>
      </c>
      <c r="C318" s="7">
        <f>'1_Du_lieu'!V487</f>
        <v>3.2580965380214821</v>
      </c>
      <c r="D318" s="9">
        <f>'1_Du_lieu'!W487</f>
        <v>5.4557483744968653</v>
      </c>
      <c r="E318" s="9">
        <f>'1_Du_lieu'!L487</f>
        <v>7.7060000000000004</v>
      </c>
      <c r="F318" s="9">
        <f>'1_Du_lieu'!M487</f>
        <v>69.34</v>
      </c>
      <c r="G318" s="9">
        <f>'1_Du_lieu'!N487</f>
        <v>42.4</v>
      </c>
      <c r="H318" s="9">
        <f>'1_Du_lieu'!X487</f>
        <v>4.2224025653807038</v>
      </c>
      <c r="I318" s="9">
        <f>'1_Du_lieu'!T487</f>
        <v>2.3630504833512354</v>
      </c>
      <c r="J318" s="9">
        <f>'1_Du_lieu'!Y487</f>
        <v>9.3590275827711498</v>
      </c>
      <c r="K318" s="9">
        <f>'1_Du_lieu'!O487</f>
        <v>6.7</v>
      </c>
      <c r="L318" s="5">
        <f t="shared" si="20"/>
        <v>0</v>
      </c>
      <c r="M318" s="5">
        <f t="shared" si="21"/>
        <v>0</v>
      </c>
      <c r="N318" s="5">
        <f t="shared" si="22"/>
        <v>0</v>
      </c>
      <c r="O318" s="5">
        <f t="shared" si="23"/>
        <v>0</v>
      </c>
      <c r="P318" s="5">
        <f t="shared" si="24"/>
        <v>1</v>
      </c>
      <c r="AA318" s="5">
        <f>'1_Du_lieu'!D487</f>
        <v>1</v>
      </c>
    </row>
    <row r="319" spans="1:27" x14ac:dyDescent="0.25">
      <c r="A319" t="s">
        <v>133</v>
      </c>
      <c r="B319">
        <v>2024</v>
      </c>
      <c r="C319" s="7">
        <f>'1_Du_lieu'!V488</f>
        <v>2.8332133440562162</v>
      </c>
      <c r="D319" s="9">
        <f>'1_Du_lieu'!W488</f>
        <v>4.3438054218536841</v>
      </c>
      <c r="E319" s="9">
        <f>'1_Du_lieu'!L488</f>
        <v>5.0620000000000003</v>
      </c>
      <c r="F319" s="9">
        <f>'1_Du_lieu'!M488</f>
        <v>32.770000000000003</v>
      </c>
      <c r="G319" s="9">
        <f>'1_Du_lieu'!N488</f>
        <v>30</v>
      </c>
      <c r="H319" s="9">
        <f>'1_Du_lieu'!X488</f>
        <v>3.0647949241597212</v>
      </c>
      <c r="I319" s="9">
        <f>'1_Du_lieu'!T488</f>
        <v>6.2196601941747565</v>
      </c>
      <c r="J319" s="9">
        <f>'1_Du_lieu'!Y488</f>
        <v>8.2894641427603997</v>
      </c>
      <c r="K319" s="9">
        <f>'1_Du_lieu'!O488</f>
        <v>24.5</v>
      </c>
      <c r="L319" s="5">
        <f t="shared" si="20"/>
        <v>0</v>
      </c>
      <c r="M319" s="5">
        <f t="shared" si="21"/>
        <v>0</v>
      </c>
      <c r="N319" s="5">
        <f t="shared" si="22"/>
        <v>0</v>
      </c>
      <c r="O319" s="5">
        <f t="shared" si="23"/>
        <v>0</v>
      </c>
      <c r="P319" s="5">
        <f t="shared" si="24"/>
        <v>1</v>
      </c>
      <c r="AA319" s="5">
        <f>'1_Du_lieu'!D488</f>
        <v>0</v>
      </c>
    </row>
    <row r="320" spans="1:27" x14ac:dyDescent="0.25">
      <c r="A320" t="s">
        <v>134</v>
      </c>
      <c r="B320">
        <v>2024</v>
      </c>
      <c r="C320" s="7">
        <f>'1_Du_lieu'!V489</f>
        <v>2.6390573296152584</v>
      </c>
      <c r="D320" s="9">
        <f>'1_Du_lieu'!W489</f>
        <v>4.1835756959500436</v>
      </c>
      <c r="E320" s="9">
        <f>'1_Du_lieu'!L489</f>
        <v>2.452</v>
      </c>
      <c r="F320" s="9">
        <f>'1_Du_lieu'!M489</f>
        <v>34.11</v>
      </c>
      <c r="G320" s="9">
        <f>'1_Du_lieu'!N489</f>
        <v>12.9</v>
      </c>
      <c r="H320" s="9">
        <f>'1_Du_lieu'!X489</f>
        <v>1.9109703593385061</v>
      </c>
      <c r="I320" s="9">
        <f>'1_Du_lieu'!T489</f>
        <v>3.8994441217954035</v>
      </c>
      <c r="J320" s="9">
        <f>'1_Du_lieu'!Y489</f>
        <v>5.9215784196438159</v>
      </c>
      <c r="K320" s="9">
        <f>'1_Du_lieu'!O489</f>
        <v>10.5</v>
      </c>
      <c r="L320" s="5">
        <f t="shared" si="20"/>
        <v>0</v>
      </c>
      <c r="M320" s="5">
        <f t="shared" si="21"/>
        <v>0</v>
      </c>
      <c r="N320" s="5">
        <f t="shared" si="22"/>
        <v>0</v>
      </c>
      <c r="O320" s="5">
        <f t="shared" si="23"/>
        <v>0</v>
      </c>
      <c r="P320" s="5">
        <f t="shared" si="24"/>
        <v>1</v>
      </c>
      <c r="AA320" s="5">
        <f>'1_Du_lieu'!D489</f>
        <v>0</v>
      </c>
    </row>
    <row r="321" spans="1:27" x14ac:dyDescent="0.25">
      <c r="A321" t="s">
        <v>136</v>
      </c>
      <c r="B321">
        <v>2024</v>
      </c>
      <c r="C321" s="7">
        <f>'1_Du_lieu'!V491</f>
        <v>4.4659081186545837</v>
      </c>
      <c r="D321" s="9">
        <f>'1_Du_lieu'!W491</f>
        <v>5.2187328872051939</v>
      </c>
      <c r="E321" s="9">
        <f>'1_Du_lieu'!L491</f>
        <v>28.277999999999999</v>
      </c>
      <c r="F321" s="9">
        <f>'1_Du_lieu'!M491</f>
        <v>77.84</v>
      </c>
      <c r="G321" s="9">
        <f>'1_Du_lieu'!N491</f>
        <v>37.5</v>
      </c>
      <c r="H321" s="9">
        <f>'1_Du_lieu'!X491</f>
        <v>2.7320389062615984</v>
      </c>
      <c r="I321" s="9">
        <f>'1_Du_lieu'!T491</f>
        <v>3.4054235299048572</v>
      </c>
      <c r="J321" s="9">
        <f>'1_Du_lieu'!Y491</f>
        <v>8.728846987571476</v>
      </c>
      <c r="K321" s="9">
        <f>'1_Du_lieu'!O491</f>
        <v>40.4</v>
      </c>
      <c r="L321" s="5">
        <f t="shared" si="20"/>
        <v>0</v>
      </c>
      <c r="M321" s="5">
        <f t="shared" si="21"/>
        <v>0</v>
      </c>
      <c r="N321" s="5">
        <f t="shared" si="22"/>
        <v>0</v>
      </c>
      <c r="O321" s="5">
        <f t="shared" si="23"/>
        <v>0</v>
      </c>
      <c r="P321" s="5">
        <f t="shared" si="24"/>
        <v>1</v>
      </c>
      <c r="AA321" s="5">
        <f>'1_Du_lieu'!D491</f>
        <v>1</v>
      </c>
    </row>
    <row r="322" spans="1:27" x14ac:dyDescent="0.25">
      <c r="A322" t="s">
        <v>137</v>
      </c>
      <c r="B322">
        <v>2024</v>
      </c>
      <c r="C322" s="7">
        <f>'1_Du_lieu'!V492</f>
        <v>3.1354942159291497</v>
      </c>
      <c r="D322" s="9">
        <f>'1_Du_lieu'!W492</f>
        <v>4.3981460165537651</v>
      </c>
      <c r="E322" s="9">
        <f>'1_Du_lieu'!L492</f>
        <v>4.4729999999999999</v>
      </c>
      <c r="F322" s="9">
        <f>'1_Du_lieu'!M492</f>
        <v>28.11</v>
      </c>
      <c r="G322" s="9">
        <f>'1_Du_lieu'!N492</f>
        <v>27.9</v>
      </c>
      <c r="H322" s="9">
        <f>'1_Du_lieu'!X492</f>
        <v>3.0315516050419387</v>
      </c>
      <c r="I322" s="9">
        <f>'1_Du_lieu'!T492</f>
        <v>0.77041602465331283</v>
      </c>
      <c r="J322" s="9">
        <f>'1_Du_lieu'!Y492</f>
        <v>8.3268313983763704</v>
      </c>
      <c r="K322" s="9">
        <f>'1_Du_lieu'!O492</f>
        <v>14.8</v>
      </c>
      <c r="L322" s="5">
        <f t="shared" si="20"/>
        <v>0</v>
      </c>
      <c r="M322" s="5">
        <f t="shared" si="21"/>
        <v>0</v>
      </c>
      <c r="N322" s="5">
        <f t="shared" si="22"/>
        <v>0</v>
      </c>
      <c r="O322" s="5">
        <f t="shared" si="23"/>
        <v>0</v>
      </c>
      <c r="P322" s="5">
        <f t="shared" si="24"/>
        <v>1</v>
      </c>
      <c r="AA322" s="5">
        <f>'1_Du_lieu'!D492</f>
        <v>0</v>
      </c>
    </row>
    <row r="323" spans="1:27" x14ac:dyDescent="0.25">
      <c r="A323" t="s">
        <v>138</v>
      </c>
      <c r="B323">
        <v>2024</v>
      </c>
      <c r="C323" s="7">
        <f>'1_Du_lieu'!V493</f>
        <v>3.0910424533583161</v>
      </c>
      <c r="D323" s="9">
        <f>'1_Du_lieu'!W493</f>
        <v>4.2326561780196128</v>
      </c>
      <c r="E323" s="9">
        <f>'1_Du_lieu'!L493</f>
        <v>3.673</v>
      </c>
      <c r="F323" s="9">
        <f>'1_Du_lieu'!M493</f>
        <v>11.88</v>
      </c>
      <c r="G323" s="9">
        <f>'1_Du_lieu'!N493</f>
        <v>23.9</v>
      </c>
      <c r="H323" s="9">
        <f>'1_Du_lieu'!X493</f>
        <v>2.0788859493644658</v>
      </c>
      <c r="I323" s="9">
        <f>'1_Du_lieu'!T493</f>
        <v>0.89928057553956831</v>
      </c>
      <c r="J323" s="9">
        <f>'1_Du_lieu'!Y493</f>
        <v>8.0432457957366807</v>
      </c>
      <c r="K323" s="9">
        <f>'1_Du_lieu'!O493</f>
        <v>20.3</v>
      </c>
      <c r="L323" s="5">
        <f t="shared" si="20"/>
        <v>0</v>
      </c>
      <c r="M323" s="5">
        <f t="shared" si="21"/>
        <v>0</v>
      </c>
      <c r="N323" s="5">
        <f t="shared" si="22"/>
        <v>0</v>
      </c>
      <c r="O323" s="5">
        <f t="shared" si="23"/>
        <v>0</v>
      </c>
      <c r="P323" s="5">
        <f t="shared" si="24"/>
        <v>1</v>
      </c>
      <c r="AA323" s="5">
        <f>'1_Du_lieu'!D493</f>
        <v>1</v>
      </c>
    </row>
    <row r="324" spans="1:27" x14ac:dyDescent="0.25">
      <c r="A324" t="s">
        <v>139</v>
      </c>
      <c r="B324">
        <v>2024</v>
      </c>
      <c r="C324" s="7">
        <f>'1_Du_lieu'!V494</f>
        <v>2.9957322735539909</v>
      </c>
      <c r="D324" s="9">
        <f>'1_Du_lieu'!W494</f>
        <v>4.7405748229942946</v>
      </c>
      <c r="E324" s="9">
        <f>'1_Du_lieu'!L494</f>
        <v>4.4560000000000004</v>
      </c>
      <c r="F324" s="9">
        <f>'1_Du_lieu'!M494</f>
        <v>40.729999999999997</v>
      </c>
      <c r="G324" s="9">
        <f>'1_Du_lieu'!N494</f>
        <v>38.1</v>
      </c>
      <c r="H324" s="9">
        <f>'1_Du_lieu'!X494</f>
        <v>3.7905172932687372</v>
      </c>
      <c r="I324" s="9">
        <f>'1_Du_lieu'!T494</f>
        <v>1.1719894520949312</v>
      </c>
      <c r="J324" s="9">
        <f>'1_Du_lieu'!Y494</f>
        <v>8.9982974797328783</v>
      </c>
      <c r="K324" s="9">
        <f>'1_Du_lieu'!O494</f>
        <v>17.7</v>
      </c>
      <c r="L324" s="5">
        <f t="shared" si="20"/>
        <v>0</v>
      </c>
      <c r="M324" s="5">
        <f t="shared" si="21"/>
        <v>0</v>
      </c>
      <c r="N324" s="5">
        <f t="shared" si="22"/>
        <v>0</v>
      </c>
      <c r="O324" s="5">
        <f t="shared" si="23"/>
        <v>0</v>
      </c>
      <c r="P324" s="5">
        <f t="shared" si="24"/>
        <v>1</v>
      </c>
      <c r="AA324" s="5">
        <f>'1_Du_lieu'!D494</f>
        <v>0</v>
      </c>
    </row>
    <row r="325" spans="1:27" x14ac:dyDescent="0.25">
      <c r="A325" t="s">
        <v>141</v>
      </c>
      <c r="B325">
        <v>2024</v>
      </c>
      <c r="C325" s="7">
        <f>'1_Du_lieu'!V496</f>
        <v>2.8332133440562162</v>
      </c>
      <c r="D325" s="9">
        <f>'1_Du_lieu'!W496</f>
        <v>4.3412046401536264</v>
      </c>
      <c r="E325" s="9">
        <f>'1_Du_lieu'!L496</f>
        <v>3.3769999999999998</v>
      </c>
      <c r="F325" s="9">
        <f>'1_Du_lieu'!M496</f>
        <v>16.850000000000001</v>
      </c>
      <c r="G325" s="9">
        <f>'1_Du_lieu'!N496</f>
        <v>15.3</v>
      </c>
      <c r="H325" s="9">
        <f>'1_Du_lieu'!X496</f>
        <v>0.72374167202848938</v>
      </c>
      <c r="I325" s="9">
        <f>'1_Du_lieu'!T496</f>
        <v>0.890818996715105</v>
      </c>
      <c r="J325" s="9">
        <f>'1_Du_lieu'!Y496</f>
        <v>7.4226725206513811</v>
      </c>
      <c r="K325" s="9">
        <f>'1_Du_lieu'!O496</f>
        <v>18.7</v>
      </c>
      <c r="L325" s="5">
        <f t="shared" si="20"/>
        <v>0</v>
      </c>
      <c r="M325" s="5">
        <f t="shared" si="21"/>
        <v>0</v>
      </c>
      <c r="N325" s="5">
        <f t="shared" si="22"/>
        <v>0</v>
      </c>
      <c r="O325" s="5">
        <f t="shared" si="23"/>
        <v>0</v>
      </c>
      <c r="P325" s="5">
        <f t="shared" si="24"/>
        <v>1</v>
      </c>
      <c r="AA325" s="5">
        <f>'1_Du_lieu'!D496</f>
        <v>0</v>
      </c>
    </row>
    <row r="326" spans="1:27" x14ac:dyDescent="0.25">
      <c r="A326" t="s">
        <v>142</v>
      </c>
      <c r="B326">
        <v>2024</v>
      </c>
      <c r="C326" s="7">
        <f>'1_Du_lieu'!V497</f>
        <v>2.6390573296152584</v>
      </c>
      <c r="D326" s="9">
        <f>'1_Du_lieu'!W497</f>
        <v>4.5538768916005408</v>
      </c>
      <c r="E326" s="9">
        <f>'1_Du_lieu'!L497</f>
        <v>2.7360000000000002</v>
      </c>
      <c r="F326" s="9">
        <f>'1_Du_lieu'!M497</f>
        <v>18.46</v>
      </c>
      <c r="G326" s="9">
        <f>'1_Du_lieu'!N497</f>
        <v>17.399999999999999</v>
      </c>
      <c r="H326" s="9">
        <f>'1_Du_lieu'!X497</f>
        <v>2.1194779948103237</v>
      </c>
      <c r="I326" s="9">
        <f>'1_Du_lieu'!T497</f>
        <v>0.8789920890711983</v>
      </c>
      <c r="J326" s="9">
        <f>'1_Du_lieu'!Y497</f>
        <v>8.0470295493691371</v>
      </c>
      <c r="K326" s="9">
        <f>'1_Du_lieu'!O497</f>
        <v>4.3</v>
      </c>
      <c r="L326" s="5">
        <f t="shared" ref="L326:L336" si="25">IF(B326=2020,1,0)</f>
        <v>0</v>
      </c>
      <c r="M326" s="5">
        <f t="shared" ref="M326:M336" si="26">IF(B326=2021,1,0)</f>
        <v>0</v>
      </c>
      <c r="N326" s="5">
        <f t="shared" ref="N326:N336" si="27">IF(B326=2022,1,0)</f>
        <v>0</v>
      </c>
      <c r="O326" s="5">
        <f t="shared" ref="O326:O336" si="28">IF(B326=2023,1,0)</f>
        <v>0</v>
      </c>
      <c r="P326" s="5">
        <f t="shared" ref="P326:P336" si="29">IF(B326=2024,1,0)</f>
        <v>1</v>
      </c>
      <c r="AA326" s="5">
        <f>'1_Du_lieu'!D497</f>
        <v>0</v>
      </c>
    </row>
    <row r="327" spans="1:27" x14ac:dyDescent="0.25">
      <c r="A327" t="s">
        <v>143</v>
      </c>
      <c r="B327">
        <v>2024</v>
      </c>
      <c r="C327" s="7">
        <f>'1_Du_lieu'!V498</f>
        <v>2.5649493574615367</v>
      </c>
      <c r="D327" s="9">
        <f>'1_Du_lieu'!W498</f>
        <v>4.0943445622221004</v>
      </c>
      <c r="E327" s="9">
        <f>'1_Du_lieu'!L498</f>
        <v>2.3330000000000002</v>
      </c>
      <c r="F327" s="9">
        <f>'1_Du_lieu'!M498</f>
        <v>19.41</v>
      </c>
      <c r="G327" s="9">
        <f>'1_Du_lieu'!N498</f>
        <v>22.5</v>
      </c>
      <c r="H327" s="9">
        <f>'1_Du_lieu'!X498</f>
        <v>3.5099812641148551</v>
      </c>
      <c r="I327" s="9">
        <f>'1_Du_lieu'!T498</f>
        <v>0.7314397171766428</v>
      </c>
      <c r="J327" s="9">
        <f>'1_Du_lieu'!Y498</f>
        <v>5.7071102647488754</v>
      </c>
      <c r="K327" s="9">
        <f>'1_Du_lieu'!O498</f>
        <v>16</v>
      </c>
      <c r="L327" s="5">
        <f t="shared" si="25"/>
        <v>0</v>
      </c>
      <c r="M327" s="5">
        <f t="shared" si="26"/>
        <v>0</v>
      </c>
      <c r="N327" s="5">
        <f t="shared" si="27"/>
        <v>0</v>
      </c>
      <c r="O327" s="5">
        <f t="shared" si="28"/>
        <v>0</v>
      </c>
      <c r="P327" s="5">
        <f t="shared" si="29"/>
        <v>1</v>
      </c>
      <c r="AA327" s="5">
        <f>'1_Du_lieu'!D498</f>
        <v>0</v>
      </c>
    </row>
    <row r="328" spans="1:27" x14ac:dyDescent="0.25">
      <c r="A328" t="s">
        <v>144</v>
      </c>
      <c r="B328">
        <v>2024</v>
      </c>
      <c r="C328" s="7">
        <f>'1_Du_lieu'!V499</f>
        <v>2.9444389791664403</v>
      </c>
      <c r="D328" s="9">
        <f>'1_Du_lieu'!W499</f>
        <v>4.6405373298253823</v>
      </c>
      <c r="E328" s="9">
        <f>'1_Du_lieu'!L499</f>
        <v>4.3609999999999998</v>
      </c>
      <c r="F328" s="9">
        <f>'1_Du_lieu'!M499</f>
        <v>32.57</v>
      </c>
      <c r="G328" s="9">
        <f>'1_Du_lieu'!N499</f>
        <v>20.100000000000001</v>
      </c>
      <c r="H328" s="9">
        <f>'1_Du_lieu'!X499</f>
        <v>2.833042160172516</v>
      </c>
      <c r="I328" s="9">
        <f>'1_Du_lieu'!T499</f>
        <v>1.1639507815098105</v>
      </c>
      <c r="J328" s="9">
        <f>'1_Du_lieu'!Y499</f>
        <v>9.0344620131290867</v>
      </c>
      <c r="K328" s="9">
        <f>'1_Du_lieu'!O499</f>
        <v>13.8</v>
      </c>
      <c r="L328" s="5">
        <f t="shared" si="25"/>
        <v>0</v>
      </c>
      <c r="M328" s="5">
        <f t="shared" si="26"/>
        <v>0</v>
      </c>
      <c r="N328" s="5">
        <f t="shared" si="27"/>
        <v>0</v>
      </c>
      <c r="O328" s="5">
        <f t="shared" si="28"/>
        <v>0</v>
      </c>
      <c r="P328" s="5">
        <f t="shared" si="29"/>
        <v>1</v>
      </c>
      <c r="AA328" s="5">
        <f>'1_Du_lieu'!D499</f>
        <v>1</v>
      </c>
    </row>
    <row r="329" spans="1:27" x14ac:dyDescent="0.25">
      <c r="A329" t="s">
        <v>145</v>
      </c>
      <c r="B329">
        <v>2024</v>
      </c>
      <c r="C329" s="7">
        <f>'1_Du_lieu'!V500</f>
        <v>2.6390573296152584</v>
      </c>
      <c r="D329" s="9">
        <f>'1_Du_lieu'!W500</f>
        <v>4.3932138240644463</v>
      </c>
      <c r="E329" s="9">
        <f>'1_Du_lieu'!L500</f>
        <v>3.0339999999999998</v>
      </c>
      <c r="F329" s="9">
        <f>'1_Du_lieu'!M500</f>
        <v>22.92</v>
      </c>
      <c r="G329" s="9">
        <f>'1_Du_lieu'!N500</f>
        <v>17.100000000000001</v>
      </c>
      <c r="H329" s="9">
        <f>'1_Du_lieu'!X500</f>
        <v>0.73663024134596156</v>
      </c>
      <c r="I329" s="9">
        <f>'1_Du_lieu'!T500</f>
        <v>0.67482888267617858</v>
      </c>
      <c r="J329" s="9">
        <f>'1_Du_lieu'!Y500</f>
        <v>6.9775611532260999</v>
      </c>
      <c r="K329" s="9">
        <f>'1_Du_lieu'!O500</f>
        <v>16.600000000000001</v>
      </c>
      <c r="L329" s="5">
        <f t="shared" si="25"/>
        <v>0</v>
      </c>
      <c r="M329" s="5">
        <f t="shared" si="26"/>
        <v>0</v>
      </c>
      <c r="N329" s="5">
        <f t="shared" si="27"/>
        <v>0</v>
      </c>
      <c r="O329" s="5">
        <f t="shared" si="28"/>
        <v>0</v>
      </c>
      <c r="P329" s="5">
        <f t="shared" si="29"/>
        <v>1</v>
      </c>
      <c r="AA329" s="5">
        <f>'1_Du_lieu'!D500</f>
        <v>0</v>
      </c>
    </row>
    <row r="330" spans="1:27" x14ac:dyDescent="0.25">
      <c r="A330" t="s">
        <v>146</v>
      </c>
      <c r="B330">
        <v>2024</v>
      </c>
      <c r="C330" s="7">
        <f>'1_Du_lieu'!V501</f>
        <v>3.1780538303479458</v>
      </c>
      <c r="D330" s="9">
        <f>'1_Du_lieu'!W501</f>
        <v>4.9494688588587685</v>
      </c>
      <c r="E330" s="9">
        <f>'1_Du_lieu'!L501</f>
        <v>8.3569999999999993</v>
      </c>
      <c r="F330" s="9">
        <f>'1_Du_lieu'!M501</f>
        <v>34</v>
      </c>
      <c r="G330" s="9">
        <f>'1_Du_lieu'!N501</f>
        <v>37.299999999999997</v>
      </c>
      <c r="H330" s="9">
        <f>'1_Du_lieu'!X501</f>
        <v>3.1825494093573443</v>
      </c>
      <c r="I330" s="9">
        <f>'1_Du_lieu'!T501</f>
        <v>0.73451399657226801</v>
      </c>
      <c r="J330" s="9">
        <f>'1_Du_lieu'!Y501</f>
        <v>8.7034901690763391</v>
      </c>
      <c r="K330" s="9">
        <f>'1_Du_lieu'!O501</f>
        <v>37.200000000000003</v>
      </c>
      <c r="L330" s="5">
        <f t="shared" si="25"/>
        <v>0</v>
      </c>
      <c r="M330" s="5">
        <f t="shared" si="26"/>
        <v>0</v>
      </c>
      <c r="N330" s="5">
        <f t="shared" si="27"/>
        <v>0</v>
      </c>
      <c r="O330" s="5">
        <f t="shared" si="28"/>
        <v>0</v>
      </c>
      <c r="P330" s="5">
        <f t="shared" si="29"/>
        <v>1</v>
      </c>
      <c r="AA330" s="5">
        <f>'1_Du_lieu'!D501</f>
        <v>1</v>
      </c>
    </row>
    <row r="331" spans="1:27" x14ac:dyDescent="0.25">
      <c r="A331" t="s">
        <v>147</v>
      </c>
      <c r="B331">
        <v>2024</v>
      </c>
      <c r="C331" s="7">
        <f>'1_Du_lieu'!V502</f>
        <v>2.6390573296152584</v>
      </c>
      <c r="D331" s="9">
        <f>'1_Du_lieu'!W502</f>
        <v>4.0127729085282891</v>
      </c>
      <c r="E331" s="9">
        <f>'1_Du_lieu'!L502</f>
        <v>2.66</v>
      </c>
      <c r="F331" s="9">
        <f>'1_Du_lieu'!M502</f>
        <v>20.97</v>
      </c>
      <c r="G331" s="9">
        <f>'1_Du_lieu'!N502</f>
        <v>24.2</v>
      </c>
      <c r="H331" s="9">
        <f>'1_Du_lieu'!X502</f>
        <v>2.9885687777542134</v>
      </c>
      <c r="I331" s="9">
        <f>'1_Du_lieu'!T502</f>
        <v>0.23137436372049977</v>
      </c>
      <c r="J331" s="9">
        <f>'1_Du_lieu'!Y502</f>
        <v>6.1588839496498302</v>
      </c>
      <c r="K331" s="9">
        <f>'1_Du_lieu'!O502</f>
        <v>19.600000000000001</v>
      </c>
      <c r="L331" s="5">
        <f t="shared" si="25"/>
        <v>0</v>
      </c>
      <c r="M331" s="5">
        <f t="shared" si="26"/>
        <v>0</v>
      </c>
      <c r="N331" s="5">
        <f t="shared" si="27"/>
        <v>0</v>
      </c>
      <c r="O331" s="5">
        <f t="shared" si="28"/>
        <v>0</v>
      </c>
      <c r="P331" s="5">
        <f t="shared" si="29"/>
        <v>1</v>
      </c>
      <c r="AA331" s="5">
        <f>'1_Du_lieu'!D502</f>
        <v>0</v>
      </c>
    </row>
    <row r="332" spans="1:27" x14ac:dyDescent="0.25">
      <c r="A332" t="s">
        <v>149</v>
      </c>
      <c r="B332">
        <v>2024</v>
      </c>
      <c r="C332" s="7">
        <f>'1_Du_lieu'!V504</f>
        <v>3.8501476017100584</v>
      </c>
      <c r="D332" s="9">
        <f>'1_Du_lieu'!W504</f>
        <v>4.78164132910387</v>
      </c>
      <c r="E332" s="9">
        <f>'1_Du_lieu'!L504</f>
        <v>19.88</v>
      </c>
      <c r="F332" s="9">
        <f>'1_Du_lieu'!M504</f>
        <v>87.81</v>
      </c>
      <c r="G332" s="9">
        <f>'1_Du_lieu'!N504</f>
        <v>51.3</v>
      </c>
      <c r="H332" s="9">
        <f>'1_Du_lieu'!X504</f>
        <v>3.7381117507120294</v>
      </c>
      <c r="I332" s="9">
        <f>'1_Du_lieu'!T504</f>
        <v>6.1912225705329149</v>
      </c>
      <c r="J332" s="9">
        <f>'1_Du_lieu'!Y504</f>
        <v>8.5779119264509429</v>
      </c>
      <c r="K332" s="9">
        <f>'1_Du_lieu'!O504</f>
        <v>46.3</v>
      </c>
      <c r="L332" s="5">
        <f t="shared" si="25"/>
        <v>0</v>
      </c>
      <c r="M332" s="5">
        <f t="shared" si="26"/>
        <v>0</v>
      </c>
      <c r="N332" s="5">
        <f t="shared" si="27"/>
        <v>0</v>
      </c>
      <c r="O332" s="5">
        <f t="shared" si="28"/>
        <v>0</v>
      </c>
      <c r="P332" s="5">
        <f t="shared" si="29"/>
        <v>1</v>
      </c>
      <c r="AA332" s="5">
        <f>'1_Du_lieu'!D504</f>
        <v>0</v>
      </c>
    </row>
    <row r="333" spans="1:27" x14ac:dyDescent="0.25">
      <c r="A333" t="s">
        <v>150</v>
      </c>
      <c r="B333">
        <v>2024</v>
      </c>
      <c r="C333" s="7">
        <f>'1_Du_lieu'!V505</f>
        <v>3.1354942159291497</v>
      </c>
      <c r="D333" s="9">
        <f>'1_Du_lieu'!W505</f>
        <v>4.2835865618606288</v>
      </c>
      <c r="E333" s="9">
        <f>'1_Du_lieu'!L505</f>
        <v>4.2039999999999997</v>
      </c>
      <c r="F333" s="9">
        <f>'1_Du_lieu'!M505</f>
        <v>26.09</v>
      </c>
      <c r="G333" s="9">
        <f>'1_Du_lieu'!N505</f>
        <v>19.600000000000001</v>
      </c>
      <c r="H333" s="9">
        <f>'1_Du_lieu'!X505</f>
        <v>2.4325319422065355</v>
      </c>
      <c r="I333" s="9">
        <f>'1_Du_lieu'!T505</f>
        <v>0.56520398725721921</v>
      </c>
      <c r="J333" s="9">
        <f>'1_Du_lieu'!Y505</f>
        <v>5.9191626353525768</v>
      </c>
      <c r="K333" s="9">
        <f>'1_Du_lieu'!O505</f>
        <v>21.8</v>
      </c>
      <c r="L333" s="5">
        <f t="shared" si="25"/>
        <v>0</v>
      </c>
      <c r="M333" s="5">
        <f t="shared" si="26"/>
        <v>0</v>
      </c>
      <c r="N333" s="5">
        <f t="shared" si="27"/>
        <v>0</v>
      </c>
      <c r="O333" s="5">
        <f t="shared" si="28"/>
        <v>0</v>
      </c>
      <c r="P333" s="5">
        <f t="shared" si="29"/>
        <v>1</v>
      </c>
      <c r="AA333" s="5">
        <f>'1_Du_lieu'!D505</f>
        <v>0</v>
      </c>
    </row>
    <row r="334" spans="1:27" x14ac:dyDescent="0.25">
      <c r="A334" t="s">
        <v>151</v>
      </c>
      <c r="B334">
        <v>2024</v>
      </c>
      <c r="C334" s="7">
        <f>'1_Du_lieu'!V506</f>
        <v>2.5649493574615367</v>
      </c>
      <c r="D334" s="9">
        <f>'1_Du_lieu'!W506</f>
        <v>4.4224485491727972</v>
      </c>
      <c r="E334" s="9">
        <f>'1_Du_lieu'!L506</f>
        <v>3.9870000000000001</v>
      </c>
      <c r="F334" s="9">
        <f>'1_Du_lieu'!M506</f>
        <v>17.25</v>
      </c>
      <c r="G334" s="9">
        <f>'1_Du_lieu'!N506</f>
        <v>17.899999999999999</v>
      </c>
      <c r="H334" s="9">
        <f>'1_Du_lieu'!X506</f>
        <v>1.2043608273535038</v>
      </c>
      <c r="I334" s="9">
        <f>'1_Du_lieu'!T506</f>
        <v>0.43122035360068989</v>
      </c>
      <c r="J334" s="9">
        <f>'1_Du_lieu'!Y506</f>
        <v>6.1340485905637747</v>
      </c>
      <c r="K334" s="9">
        <f>'1_Du_lieu'!O506</f>
        <v>23.2</v>
      </c>
      <c r="L334" s="5">
        <f t="shared" si="25"/>
        <v>0</v>
      </c>
      <c r="M334" s="5">
        <f t="shared" si="26"/>
        <v>0</v>
      </c>
      <c r="N334" s="5">
        <f t="shared" si="27"/>
        <v>0</v>
      </c>
      <c r="O334" s="5">
        <f t="shared" si="28"/>
        <v>0</v>
      </c>
      <c r="P334" s="5">
        <f t="shared" si="29"/>
        <v>1</v>
      </c>
      <c r="AA334" s="5">
        <f>'1_Du_lieu'!D506</f>
        <v>0</v>
      </c>
    </row>
    <row r="335" spans="1:27" x14ac:dyDescent="0.25">
      <c r="A335" t="s">
        <v>152</v>
      </c>
      <c r="B335">
        <v>2024</v>
      </c>
      <c r="C335" s="7">
        <f>'1_Du_lieu'!V507</f>
        <v>3.4011973816621555</v>
      </c>
      <c r="D335" s="9">
        <f>'1_Du_lieu'!W507</f>
        <v>4.9579375050958063</v>
      </c>
      <c r="E335" s="9">
        <f>'1_Du_lieu'!L507</f>
        <v>8.23</v>
      </c>
      <c r="F335" s="9">
        <f>'1_Du_lieu'!M507</f>
        <v>45.36</v>
      </c>
      <c r="G335" s="9">
        <f>'1_Du_lieu'!N507</f>
        <v>23.7</v>
      </c>
      <c r="H335" s="9">
        <f>'1_Du_lieu'!X507</f>
        <v>3.0168339051781765</v>
      </c>
      <c r="I335" s="9">
        <f>'1_Du_lieu'!T507</f>
        <v>0.50514054792892382</v>
      </c>
      <c r="J335" s="9">
        <f>'1_Du_lieu'!Y507</f>
        <v>9.3201001964686334</v>
      </c>
      <c r="K335" s="9">
        <f>'1_Du_lieu'!O507</f>
        <v>25.8</v>
      </c>
      <c r="L335" s="5">
        <f t="shared" si="25"/>
        <v>0</v>
      </c>
      <c r="M335" s="5">
        <f t="shared" si="26"/>
        <v>0</v>
      </c>
      <c r="N335" s="5">
        <f t="shared" si="27"/>
        <v>0</v>
      </c>
      <c r="O335" s="5">
        <f t="shared" si="28"/>
        <v>0</v>
      </c>
      <c r="P335" s="5">
        <f t="shared" si="29"/>
        <v>1</v>
      </c>
      <c r="AA335" s="5">
        <f>'1_Du_lieu'!D507</f>
        <v>1</v>
      </c>
    </row>
    <row r="336" spans="1:27" x14ac:dyDescent="0.25">
      <c r="A336" t="s">
        <v>153</v>
      </c>
      <c r="B336">
        <v>2024</v>
      </c>
      <c r="C336" s="7">
        <f>'1_Du_lieu'!V508</f>
        <v>2.9444389791664403</v>
      </c>
      <c r="D336" s="9">
        <f>'1_Du_lieu'!W508</f>
        <v>4.3412046401536264</v>
      </c>
      <c r="E336" s="9">
        <f>'1_Du_lieu'!L508</f>
        <v>2.698</v>
      </c>
      <c r="F336" s="9">
        <f>'1_Du_lieu'!M508</f>
        <v>20.52</v>
      </c>
      <c r="G336" s="9">
        <f>'1_Du_lieu'!N508</f>
        <v>16.3</v>
      </c>
      <c r="H336" s="9">
        <f>'1_Du_lieu'!X508</f>
        <v>1.0088433244387667</v>
      </c>
      <c r="I336" s="9">
        <f>'1_Du_lieu'!T508</f>
        <v>0.81194179001936173</v>
      </c>
      <c r="J336" s="9">
        <f>'1_Du_lieu'!Y508</f>
        <v>4.9815497132011588</v>
      </c>
      <c r="K336" s="9">
        <f>'1_Du_lieu'!O508</f>
        <v>12.1</v>
      </c>
      <c r="L336" s="5">
        <f t="shared" si="25"/>
        <v>0</v>
      </c>
      <c r="M336" s="5">
        <f t="shared" si="26"/>
        <v>0</v>
      </c>
      <c r="N336" s="5">
        <f t="shared" si="27"/>
        <v>0</v>
      </c>
      <c r="O336" s="5">
        <f t="shared" si="28"/>
        <v>0</v>
      </c>
      <c r="P336" s="5">
        <f t="shared" si="29"/>
        <v>1</v>
      </c>
      <c r="AA336" s="5">
        <f>'1_Du_lieu'!D508</f>
        <v>0</v>
      </c>
    </row>
    <row r="338" spans="1:7" x14ac:dyDescent="0.25">
      <c r="A338" s="14" t="s">
        <v>388</v>
      </c>
    </row>
    <row r="339" spans="1:7" ht="32.1" customHeight="1" x14ac:dyDescent="0.25">
      <c r="A339" s="3" t="s">
        <v>155</v>
      </c>
      <c r="B339" s="3" t="s">
        <v>389</v>
      </c>
      <c r="C339" s="3" t="s">
        <v>390</v>
      </c>
      <c r="D339" s="3" t="s">
        <v>391</v>
      </c>
      <c r="E339" s="3" t="s">
        <v>392</v>
      </c>
      <c r="F339" s="3" t="s">
        <v>393</v>
      </c>
      <c r="G339" s="3" t="s">
        <v>394</v>
      </c>
    </row>
    <row r="340" spans="1:7" x14ac:dyDescent="0.25">
      <c r="A340" t="s">
        <v>74</v>
      </c>
      <c r="B340" s="12">
        <f>INDEX(LINEST($C$6:$C$336,$D$6:$P$336,TRUE,TRUE),1,13)</f>
        <v>5.3955727397904003E-2</v>
      </c>
      <c r="C340" s="7">
        <f>INDEX(LINEST($C$6:$C$336,$D$6:$P$336,TRUE,TRUE),2,13)</f>
        <v>4.9456918202714306E-2</v>
      </c>
      <c r="D340" s="18">
        <v>8.5405873787204198E-2</v>
      </c>
      <c r="E340" s="18">
        <v>0.52754591433939457</v>
      </c>
      <c r="F340" s="5" t="str">
        <f t="shared" ref="F340:F353" si="30">IF(E340="","",IF(E340&lt;0.01,"***",IF(E340&lt;0.05,"**",IF(E340&lt;0.1,"*",""))))</f>
        <v/>
      </c>
      <c r="G340" s="18">
        <v>5.3955727397901901E-2</v>
      </c>
    </row>
    <row r="341" spans="1:7" x14ac:dyDescent="0.25">
      <c r="A341" t="s">
        <v>326</v>
      </c>
      <c r="B341" s="12">
        <f>INDEX(LINEST($C$6:$C$336,$D$6:$P$336,TRUE,TRUE),1,12)</f>
        <v>7.0259841754192545E-2</v>
      </c>
      <c r="C341" s="7">
        <f>INDEX(LINEST($C$6:$C$336,$D$6:$P$336,TRUE,TRUE),2,12)</f>
        <v>4.8978894898798666E-3</v>
      </c>
      <c r="D341" s="18">
        <v>7.3973700362437002E-3</v>
      </c>
      <c r="E341" s="18">
        <v>2.1406524481740632E-21</v>
      </c>
      <c r="F341" s="5" t="str">
        <f t="shared" si="30"/>
        <v>***</v>
      </c>
      <c r="G341" s="18">
        <v>7.02598417541931E-2</v>
      </c>
    </row>
    <row r="342" spans="1:7" x14ac:dyDescent="0.25">
      <c r="A342" t="s">
        <v>176</v>
      </c>
      <c r="B342" s="12">
        <f>INDEX(LINEST($C$6:$C$336,$D$6:$P$336,TRUE,TRUE),1,11)</f>
        <v>-1.8160128531510466E-3</v>
      </c>
      <c r="C342" s="7">
        <f>INDEX(LINEST($C$6:$C$336,$D$6:$P$336,TRUE,TRUE),2,11)</f>
        <v>1.0355280434901696E-3</v>
      </c>
      <c r="D342" s="18">
        <v>2.2552622409676999E-3</v>
      </c>
      <c r="E342" s="18">
        <v>0.42068491103643069</v>
      </c>
      <c r="F342" s="5" t="str">
        <f t="shared" si="30"/>
        <v/>
      </c>
      <c r="G342" s="18">
        <v>-1.8160128531511E-3</v>
      </c>
    </row>
    <row r="343" spans="1:7" x14ac:dyDescent="0.25">
      <c r="A343" t="s">
        <v>327</v>
      </c>
      <c r="B343" s="12">
        <f>INDEX(LINEST($C$6:$C$336,$D$6:$P$336,TRUE,TRUE),1,10)</f>
        <v>-5.2178842961161812E-4</v>
      </c>
      <c r="C343" s="7">
        <f>INDEX(LINEST($C$6:$C$336,$D$6:$P$336,TRUE,TRUE),2,10)</f>
        <v>2.4070986009606578E-3</v>
      </c>
      <c r="D343" s="18">
        <v>3.8498145100611001E-3</v>
      </c>
      <c r="E343" s="18">
        <v>0.89218810908895085</v>
      </c>
      <c r="F343" s="5" t="str">
        <f t="shared" si="30"/>
        <v/>
      </c>
      <c r="G343" s="18">
        <v>-5.2178842961150005E-4</v>
      </c>
    </row>
    <row r="344" spans="1:7" x14ac:dyDescent="0.25">
      <c r="A344" t="s">
        <v>380</v>
      </c>
      <c r="B344" s="12">
        <f>INDEX(LINEST($C$6:$C$336,$D$6:$P$336,TRUE,TRUE),1,9)</f>
        <v>4.472453567254709E-2</v>
      </c>
      <c r="C344" s="7">
        <f>INDEX(LINEST($C$6:$C$336,$D$6:$P$336,TRUE,TRUE),2,9)</f>
        <v>1.5453572659793491E-2</v>
      </c>
      <c r="D344" s="18">
        <v>3.0417632973401901E-2</v>
      </c>
      <c r="E344" s="18">
        <v>0.14146726133519219</v>
      </c>
      <c r="F344" s="5" t="str">
        <f t="shared" si="30"/>
        <v/>
      </c>
      <c r="G344" s="18">
        <v>4.4724535672547402E-2</v>
      </c>
    </row>
    <row r="345" spans="1:7" x14ac:dyDescent="0.25">
      <c r="A345" t="s">
        <v>183</v>
      </c>
      <c r="B345" s="12">
        <f>INDEX(LINEST($C$6:$C$336,$D$6:$P$336,TRUE,TRUE),1,8)</f>
        <v>-3.3024420247359118E-2</v>
      </c>
      <c r="C345" s="7">
        <f>INDEX(LINEST($C$6:$C$336,$D$6:$P$336,TRUE,TRUE),2,8)</f>
        <v>1.0031123017660069E-2</v>
      </c>
      <c r="D345" s="18">
        <v>1.6588003347801999E-2</v>
      </c>
      <c r="E345" s="18">
        <v>4.6496095842072399E-2</v>
      </c>
      <c r="F345" s="5" t="str">
        <f t="shared" si="30"/>
        <v>**</v>
      </c>
      <c r="G345" s="18">
        <v>-3.3024420247359298E-2</v>
      </c>
    </row>
    <row r="346" spans="1:7" x14ac:dyDescent="0.25">
      <c r="A346" t="s">
        <v>381</v>
      </c>
      <c r="B346" s="12">
        <f>INDEX(LINEST($C$6:$C$336,$D$6:$P$336,TRUE,TRUE),1,7)</f>
        <v>1.3401748145793389E-2</v>
      </c>
      <c r="C346" s="7">
        <f>INDEX(LINEST($C$6:$C$336,$D$6:$P$336,TRUE,TRUE),2,7)</f>
        <v>1.0373169945590193E-2</v>
      </c>
      <c r="D346" s="18">
        <v>1.71236873165788E-2</v>
      </c>
      <c r="E346" s="18">
        <v>0.43383629824066638</v>
      </c>
      <c r="F346" s="5" t="str">
        <f t="shared" si="30"/>
        <v/>
      </c>
      <c r="G346" s="18">
        <v>1.3401748145794101E-2</v>
      </c>
    </row>
    <row r="347" spans="1:7" x14ac:dyDescent="0.25">
      <c r="A347" t="s">
        <v>179</v>
      </c>
      <c r="B347" s="12">
        <f>INDEX(LINEST($C$6:$C$336,$D$6:$P$336,TRUE,TRUE),1,6)</f>
        <v>2.0177416122315879E-3</v>
      </c>
      <c r="C347" s="7">
        <f>INDEX(LINEST($C$6:$C$336,$D$6:$P$336,TRUE,TRUE),2,6)</f>
        <v>2.2975427004754633E-3</v>
      </c>
      <c r="D347" s="18">
        <v>3.3107837523272E-3</v>
      </c>
      <c r="E347" s="18">
        <v>0.54222931627269655</v>
      </c>
      <c r="F347" s="5" t="str">
        <f t="shared" si="30"/>
        <v/>
      </c>
      <c r="G347" s="18">
        <v>2.0177416122312999E-3</v>
      </c>
    </row>
    <row r="348" spans="1:7" x14ac:dyDescent="0.25">
      <c r="A348" t="s">
        <v>395</v>
      </c>
      <c r="B348" s="12">
        <f>INDEX(LINEST($C$6:$C$336,$D$6:$P$336,TRUE,TRUE),1,5)</f>
        <v>1.8384600509424164E-2</v>
      </c>
      <c r="C348" s="7">
        <f>INDEX(LINEST($C$6:$C$336,$D$6:$P$336,TRUE,TRUE),2,5)</f>
        <v>3.6075009818475938E-2</v>
      </c>
      <c r="D348" s="18">
        <v>1.13534371096282E-2</v>
      </c>
      <c r="E348" s="18">
        <v>0.1053831133613701</v>
      </c>
      <c r="F348" s="5" t="str">
        <f t="shared" si="30"/>
        <v/>
      </c>
      <c r="G348" s="18">
        <v>1.8384600509424899E-2</v>
      </c>
    </row>
    <row r="349" spans="1:7" x14ac:dyDescent="0.25">
      <c r="A349" t="s">
        <v>396</v>
      </c>
      <c r="B349" s="12">
        <f>INDEX(LINEST($C$6:$C$336,$D$6:$P$336,TRUE,TRUE),1,4)</f>
        <v>-1.7849758199238528</v>
      </c>
      <c r="C349" s="7">
        <f>INDEX(LINEST($C$6:$C$336,$D$6:$P$336,TRUE,TRUE),2,4)</f>
        <v>3.6974174826215206E-2</v>
      </c>
      <c r="D349" s="18">
        <v>4.4973282178099497E-2</v>
      </c>
      <c r="E349" s="18">
        <v>0</v>
      </c>
      <c r="F349" s="5" t="str">
        <f t="shared" si="30"/>
        <v>***</v>
      </c>
      <c r="G349" s="18">
        <v>-1.784975819923855</v>
      </c>
    </row>
    <row r="350" spans="1:7" x14ac:dyDescent="0.25">
      <c r="A350" t="s">
        <v>397</v>
      </c>
      <c r="B350" s="12">
        <f>INDEX(LINEST($C$6:$C$336,$D$6:$P$336,TRUE,TRUE),1,3)</f>
        <v>-0.83768128756711768</v>
      </c>
      <c r="C350" s="7">
        <f>INDEX(LINEST($C$6:$C$336,$D$6:$P$336,TRUE,TRUE),2,3)</f>
        <v>3.6888118862984987E-2</v>
      </c>
      <c r="D350" s="18">
        <v>3.5596443679797002E-2</v>
      </c>
      <c r="E350" s="18">
        <v>1.8867370441095921E-122</v>
      </c>
      <c r="F350" s="5" t="str">
        <f t="shared" si="30"/>
        <v>***</v>
      </c>
      <c r="G350" s="18">
        <v>-0.8376812875671179</v>
      </c>
    </row>
    <row r="351" spans="1:7" x14ac:dyDescent="0.25">
      <c r="A351" t="s">
        <v>398</v>
      </c>
      <c r="B351" s="12">
        <f>INDEX(LINEST($C$6:$C$336,$D$6:$P$336,TRUE,TRUE),1,2)</f>
        <v>-0.9016020866383313</v>
      </c>
      <c r="C351" s="7">
        <f>INDEX(LINEST($C$6:$C$336,$D$6:$P$336,TRUE,TRUE),2,2)</f>
        <v>3.6835218282715201E-2</v>
      </c>
      <c r="D351" s="18">
        <v>3.1815454667454099E-2</v>
      </c>
      <c r="E351" s="18">
        <v>1.160194533343436E-176</v>
      </c>
      <c r="F351" s="5" t="str">
        <f t="shared" si="30"/>
        <v>***</v>
      </c>
      <c r="G351" s="18">
        <v>-0.90160208663833163</v>
      </c>
    </row>
    <row r="352" spans="1:7" x14ac:dyDescent="0.25">
      <c r="A352" t="s">
        <v>399</v>
      </c>
      <c r="B352" s="12">
        <f>INDEX(LINEST($C$6:$C$336,$D$6:$P$336,TRUE,TRUE),1,1)</f>
        <v>-0.71258325947087187</v>
      </c>
      <c r="C352" s="7">
        <f>INDEX(LINEST($C$6:$C$336,$D$6:$P$336,TRUE,TRUE),2,1)</f>
        <v>3.8987728436814369E-2</v>
      </c>
      <c r="D352" s="18">
        <v>3.4611867231258503E-2</v>
      </c>
      <c r="E352" s="18">
        <v>3.5281625450393609E-94</v>
      </c>
      <c r="F352" s="5" t="str">
        <f t="shared" si="30"/>
        <v>***</v>
      </c>
      <c r="G352" s="18">
        <v>-0.71258325947087209</v>
      </c>
    </row>
    <row r="353" spans="1:7" x14ac:dyDescent="0.25">
      <c r="A353" t="s">
        <v>400</v>
      </c>
      <c r="B353" s="12">
        <f>INDEX(LINEST($C$6:$C$336,$D$6:$P$336,TRUE,TRUE),1,14)</f>
        <v>2.9274912705377765</v>
      </c>
      <c r="C353" s="7">
        <f>INDEX(LINEST($C$6:$C$336,$D$6:$P$336,TRUE,TRUE),2,14)</f>
        <v>0.15337568672756816</v>
      </c>
      <c r="D353" s="18">
        <v>0.25752211952544662</v>
      </c>
      <c r="E353" s="18">
        <v>6.0408882485459547E-30</v>
      </c>
      <c r="F353" s="5" t="str">
        <f t="shared" si="30"/>
        <v>***</v>
      </c>
      <c r="G353" s="18">
        <v>2.9274912705377729</v>
      </c>
    </row>
    <row r="354" spans="1:7" x14ac:dyDescent="0.25">
      <c r="A354" s="10" t="s">
        <v>157</v>
      </c>
      <c r="B354" s="20">
        <f>COUNT($C$6:$C$336)</f>
        <v>331</v>
      </c>
    </row>
    <row r="355" spans="1:7" x14ac:dyDescent="0.25">
      <c r="A355" s="10" t="s">
        <v>341</v>
      </c>
      <c r="B355" s="12">
        <f>INDEX(LINEST($C$6:$C$336,$D$6:$P$336,TRUE,TRUE),3,1)</f>
        <v>0.93594980919511284</v>
      </c>
    </row>
    <row r="356" spans="1:7" x14ac:dyDescent="0.25">
      <c r="A356" s="10" t="s">
        <v>401</v>
      </c>
      <c r="B356" s="12">
        <f>1-(1-B355)*(B354-1)/(B354-13-1)</f>
        <v>0.93332314521888715</v>
      </c>
    </row>
    <row r="358" spans="1:7" x14ac:dyDescent="0.25">
      <c r="A358" s="10" t="s">
        <v>402</v>
      </c>
    </row>
    <row r="359" spans="1:7" x14ac:dyDescent="0.25">
      <c r="A359" t="s">
        <v>74</v>
      </c>
      <c r="B359" s="21">
        <v>3.641040009542527</v>
      </c>
    </row>
    <row r="360" spans="1:7" x14ac:dyDescent="0.25">
      <c r="A360" t="s">
        <v>326</v>
      </c>
      <c r="B360" s="21">
        <v>5.3697311712797466</v>
      </c>
    </row>
    <row r="361" spans="1:7" x14ac:dyDescent="0.25">
      <c r="A361" t="s">
        <v>176</v>
      </c>
      <c r="B361" s="21">
        <v>3.0777965510975438</v>
      </c>
    </row>
    <row r="362" spans="1:7" x14ac:dyDescent="0.25">
      <c r="A362" t="s">
        <v>327</v>
      </c>
      <c r="B362" s="21">
        <v>3.889935801738087</v>
      </c>
    </row>
    <row r="363" spans="1:7" x14ac:dyDescent="0.25">
      <c r="A363" t="s">
        <v>380</v>
      </c>
      <c r="B363" s="21">
        <v>1.9889667988319171</v>
      </c>
    </row>
    <row r="364" spans="1:7" x14ac:dyDescent="0.25">
      <c r="A364" t="s">
        <v>183</v>
      </c>
      <c r="B364" s="21">
        <v>1.476182767282936</v>
      </c>
    </row>
    <row r="365" spans="1:7" x14ac:dyDescent="0.25">
      <c r="A365" t="s">
        <v>381</v>
      </c>
      <c r="B365" s="21">
        <v>2.2338064974514769</v>
      </c>
    </row>
    <row r="366" spans="1:7" x14ac:dyDescent="0.25">
      <c r="A366" t="s">
        <v>179</v>
      </c>
      <c r="B366" s="21">
        <v>3.7000567136820361</v>
      </c>
    </row>
    <row r="368" spans="1:7" x14ac:dyDescent="0.25">
      <c r="A368" s="10" t="s">
        <v>403</v>
      </c>
    </row>
    <row r="369" spans="1:16" ht="32.1" customHeight="1" x14ac:dyDescent="0.25">
      <c r="A369" s="3"/>
      <c r="B369" s="3" t="s">
        <v>73</v>
      </c>
      <c r="C369" s="3" t="s">
        <v>74</v>
      </c>
      <c r="D369" s="3" t="s">
        <v>326</v>
      </c>
      <c r="E369" s="3" t="s">
        <v>176</v>
      </c>
      <c r="F369" s="3" t="s">
        <v>327</v>
      </c>
      <c r="G369" s="3" t="s">
        <v>380</v>
      </c>
      <c r="H369" s="3" t="s">
        <v>183</v>
      </c>
      <c r="I369" s="3" t="s">
        <v>381</v>
      </c>
      <c r="J369" s="3" t="s">
        <v>179</v>
      </c>
    </row>
    <row r="370" spans="1:16" x14ac:dyDescent="0.25">
      <c r="A370" t="s">
        <v>73</v>
      </c>
      <c r="B370" s="9">
        <f>CORREL($C$6:$C$336,$C$6:$C$336)</f>
        <v>1.0000000000000002</v>
      </c>
      <c r="C370" s="9">
        <f>CORREL($C$6:$C$336,$D$6:$D$336)</f>
        <v>0.26101478563273289</v>
      </c>
      <c r="D370" s="9">
        <f>CORREL($C$6:$C$336,$E$6:$E$336)</f>
        <v>0.4621627520736713</v>
      </c>
      <c r="E370" s="9">
        <f>CORREL($C$6:$C$336,$F$6:$F$336)</f>
        <v>0.33537821659135408</v>
      </c>
      <c r="F370" s="9">
        <f>CORREL($C$6:$C$336,$G$6:$G$336)</f>
        <v>0.23391894697748589</v>
      </c>
      <c r="G370" s="9">
        <f>CORREL($C$6:$C$336,$H$6:$H$336)</f>
        <v>0.22039838349042024</v>
      </c>
      <c r="H370" s="9">
        <f>CORREL($C$6:$C$336,$I$6:$I$336)</f>
        <v>0.1707854111625286</v>
      </c>
      <c r="I370" s="9">
        <f>CORREL($C$6:$C$336,$J$6:$J$336)</f>
        <v>0.22518693108747587</v>
      </c>
      <c r="J370" s="9">
        <f>CORREL($C$6:$C$336,$K$6:$K$336)</f>
        <v>0.34771477104920046</v>
      </c>
    </row>
    <row r="371" spans="1:16" x14ac:dyDescent="0.25">
      <c r="A371" t="s">
        <v>74</v>
      </c>
      <c r="B371" s="9">
        <f>CORREL($D$6:$D$336,$C$6:$C$336)</f>
        <v>0.26101478563273289</v>
      </c>
      <c r="C371" s="9">
        <f>CORREL($D$6:$D$336,$D$6:$D$336)</f>
        <v>0.99999999999999989</v>
      </c>
      <c r="D371" s="9">
        <f>CORREL($D$6:$D$336,$E$6:$E$336)</f>
        <v>0.64058929411297716</v>
      </c>
      <c r="E371" s="9">
        <f>CORREL($D$6:$D$336,$F$6:$F$336)</f>
        <v>0.65701326055468245</v>
      </c>
      <c r="F371" s="9">
        <f>CORREL($D$6:$D$336,$G$6:$G$336)</f>
        <v>0.59021084950896796</v>
      </c>
      <c r="G371" s="9">
        <f>CORREL($D$6:$D$336,$H$6:$H$336)</f>
        <v>0.3236197272297226</v>
      </c>
      <c r="H371" s="9">
        <f>CORREL($D$6:$D$336,$I$6:$I$336)</f>
        <v>0.2145725851027169</v>
      </c>
      <c r="I371" s="9">
        <f>CORREL($D$6:$D$336,$J$6:$J$336)</f>
        <v>0.71321510347581873</v>
      </c>
      <c r="J371" s="9">
        <f>CORREL($D$6:$D$336,$K$6:$K$336)</f>
        <v>0.49949386626006276</v>
      </c>
    </row>
    <row r="372" spans="1:16" x14ac:dyDescent="0.25">
      <c r="A372" t="s">
        <v>326</v>
      </c>
      <c r="B372" s="9">
        <f>CORREL($E$6:$E$336,$C$6:$C$336)</f>
        <v>0.4621627520736713</v>
      </c>
      <c r="C372" s="9">
        <f>CORREL($E$6:$E$336,$D$6:$D$336)</f>
        <v>0.64058929411297716</v>
      </c>
      <c r="D372" s="9">
        <f>CORREL($E$6:$E$336,$E$6:$E$336)</f>
        <v>0.99999999999999989</v>
      </c>
      <c r="E372" s="9">
        <f>CORREL($E$6:$E$336,$F$6:$F$336)</f>
        <v>0.76897445254979846</v>
      </c>
      <c r="F372" s="9">
        <f>CORREL($E$6:$E$336,$G$6:$G$336)</f>
        <v>0.66230826031015411</v>
      </c>
      <c r="G372" s="9">
        <f>CORREL($E$6:$E$336,$H$6:$H$336)</f>
        <v>0.29321910508048721</v>
      </c>
      <c r="H372" s="9">
        <f>CORREL($E$6:$E$336,$I$6:$I$336)</f>
        <v>0.46023210533666564</v>
      </c>
      <c r="I372" s="9">
        <f>CORREL($E$6:$E$336,$J$6:$J$336)</f>
        <v>0.45825640453637201</v>
      </c>
      <c r="J372" s="9">
        <f>CORREL($E$6:$E$336,$K$6:$K$336)</f>
        <v>0.82772380710138949</v>
      </c>
    </row>
    <row r="373" spans="1:16" x14ac:dyDescent="0.25">
      <c r="A373" t="s">
        <v>176</v>
      </c>
      <c r="B373" s="9">
        <f>CORREL($F$6:$F$336,$C$6:$C$336)</f>
        <v>0.33537821659135408</v>
      </c>
      <c r="C373" s="9">
        <f>CORREL($F$6:$F$336,$D$6:$D$336)</f>
        <v>0.65701326055468245</v>
      </c>
      <c r="D373" s="9">
        <f>CORREL($F$6:$F$336,$E$6:$E$336)</f>
        <v>0.76897445254979846</v>
      </c>
      <c r="E373" s="9">
        <f>CORREL($F$6:$F$336,$F$6:$F$336)</f>
        <v>0.99999999999999978</v>
      </c>
      <c r="F373" s="9">
        <f>CORREL($F$6:$F$336,$G$6:$G$336)</f>
        <v>0.5137908324054119</v>
      </c>
      <c r="G373" s="9">
        <f>CORREL($F$6:$F$336,$H$6:$H$336)</f>
        <v>0.27142793902046053</v>
      </c>
      <c r="H373" s="9">
        <f>CORREL($F$6:$F$336,$I$6:$I$336)</f>
        <v>0.41799657761726233</v>
      </c>
      <c r="I373" s="9">
        <f>CORREL($F$6:$F$336,$J$6:$J$336)</f>
        <v>0.38545207828107098</v>
      </c>
      <c r="J373" s="9">
        <f>CORREL($F$6:$F$336,$K$6:$K$336)</f>
        <v>0.6189921585132625</v>
      </c>
    </row>
    <row r="374" spans="1:16" x14ac:dyDescent="0.25">
      <c r="A374" t="s">
        <v>327</v>
      </c>
      <c r="B374" s="9">
        <f>CORREL($G$6:$G$336,$C$6:$C$336)</f>
        <v>0.23391894697748589</v>
      </c>
      <c r="C374" s="9">
        <f>CORREL($G$6:$G$336,$D$6:$D$336)</f>
        <v>0.59021084950896796</v>
      </c>
      <c r="D374" s="9">
        <f>CORREL($G$6:$G$336,$E$6:$E$336)</f>
        <v>0.66230826031015411</v>
      </c>
      <c r="E374" s="9">
        <f>CORREL($G$6:$G$336,$F$6:$F$336)</f>
        <v>0.5137908324054119</v>
      </c>
      <c r="F374" s="9">
        <f>CORREL($G$6:$G$336,$G$6:$G$336)</f>
        <v>1</v>
      </c>
      <c r="G374" s="9">
        <f>CORREL($G$6:$G$336,$H$6:$H$336)</f>
        <v>0.65648682471811493</v>
      </c>
      <c r="H374" s="9">
        <f>CORREL($G$6:$G$336,$I$6:$I$336)</f>
        <v>0.46538918123416861</v>
      </c>
      <c r="I374" s="9">
        <f>CORREL($G$6:$G$336,$J$6:$J$336)</f>
        <v>0.4652536929040274</v>
      </c>
      <c r="J374" s="9">
        <f>CORREL($G$6:$G$336,$K$6:$K$336)</f>
        <v>0.67957385062751818</v>
      </c>
    </row>
    <row r="375" spans="1:16" x14ac:dyDescent="0.25">
      <c r="A375" t="s">
        <v>380</v>
      </c>
      <c r="B375" s="9">
        <f>CORREL($H$6:$H$336,$C$6:$C$336)</f>
        <v>0.22039838349042024</v>
      </c>
      <c r="C375" s="9">
        <f>CORREL($H$6:$H$336,$D$6:$D$336)</f>
        <v>0.3236197272297226</v>
      </c>
      <c r="D375" s="9">
        <f>CORREL($H$6:$H$336,$E$6:$E$336)</f>
        <v>0.29321910508048721</v>
      </c>
      <c r="E375" s="9">
        <f>CORREL($H$6:$H$336,$F$6:$F$336)</f>
        <v>0.27142793902046053</v>
      </c>
      <c r="F375" s="9">
        <f>CORREL($H$6:$H$336,$G$6:$G$336)</f>
        <v>0.65648682471811493</v>
      </c>
      <c r="G375" s="9">
        <f>CORREL($H$6:$H$336,$H$6:$H$336)</f>
        <v>1.0000000000000002</v>
      </c>
      <c r="H375" s="9">
        <f>CORREL($H$6:$H$336,$I$6:$I$336)</f>
        <v>0.27629167948048783</v>
      </c>
      <c r="I375" s="9">
        <f>CORREL($H$6:$H$336,$J$6:$J$336)</f>
        <v>0.35667933088881715</v>
      </c>
      <c r="J375" s="9">
        <f>CORREL($H$6:$H$336,$K$6:$K$336)</f>
        <v>0.31105424722218566</v>
      </c>
    </row>
    <row r="376" spans="1:16" x14ac:dyDescent="0.25">
      <c r="A376" t="s">
        <v>183</v>
      </c>
      <c r="B376" s="9">
        <f>CORREL($I$6:$I$336,$C$6:$C$336)</f>
        <v>0.1707854111625286</v>
      </c>
      <c r="C376" s="9">
        <f>CORREL($I$6:$I$336,$D$6:$D$336)</f>
        <v>0.2145725851027169</v>
      </c>
      <c r="D376" s="9">
        <f>CORREL($I$6:$I$336,$E$6:$E$336)</f>
        <v>0.46023210533666564</v>
      </c>
      <c r="E376" s="9">
        <f>CORREL($I$6:$I$336,$F$6:$F$336)</f>
        <v>0.41799657761726233</v>
      </c>
      <c r="F376" s="9">
        <f>CORREL($I$6:$I$336,$G$6:$G$336)</f>
        <v>0.46538918123416861</v>
      </c>
      <c r="G376" s="9">
        <f>CORREL($I$6:$I$336,$H$6:$H$336)</f>
        <v>0.27629167948048783</v>
      </c>
      <c r="H376" s="9">
        <f>CORREL($I$6:$I$336,$I$6:$I$336)</f>
        <v>1</v>
      </c>
      <c r="I376" s="9">
        <f>CORREL($I$6:$I$336,$J$6:$J$336)</f>
        <v>0.18354027030834127</v>
      </c>
      <c r="J376" s="9">
        <f>CORREL($I$6:$I$336,$K$6:$K$336)</f>
        <v>0.4627981167565417</v>
      </c>
    </row>
    <row r="377" spans="1:16" x14ac:dyDescent="0.25">
      <c r="A377" t="s">
        <v>381</v>
      </c>
      <c r="B377" s="9">
        <f>CORREL($J$6:$J$336,$C$6:$C$336)</f>
        <v>0.22518693108747587</v>
      </c>
      <c r="C377" s="9">
        <f>CORREL($J$6:$J$336,$D$6:$D$336)</f>
        <v>0.71321510347581873</v>
      </c>
      <c r="D377" s="9">
        <f>CORREL($J$6:$J$336,$E$6:$E$336)</f>
        <v>0.45825640453637201</v>
      </c>
      <c r="E377" s="9">
        <f>CORREL($J$6:$J$336,$F$6:$F$336)</f>
        <v>0.38545207828107098</v>
      </c>
      <c r="F377" s="9">
        <f>CORREL($J$6:$J$336,$G$6:$G$336)</f>
        <v>0.4652536929040274</v>
      </c>
      <c r="G377" s="9">
        <f>CORREL($J$6:$J$336,$H$6:$H$336)</f>
        <v>0.35667933088881715</v>
      </c>
      <c r="H377" s="9">
        <f>CORREL($J$6:$J$336,$I$6:$I$336)</f>
        <v>0.18354027030834127</v>
      </c>
      <c r="I377" s="9">
        <f>CORREL($J$6:$J$336,$J$6:$J$336)</f>
        <v>1</v>
      </c>
      <c r="J377" s="9">
        <f>CORREL($J$6:$J$336,$K$6:$K$336)</f>
        <v>0.34407573529509738</v>
      </c>
    </row>
    <row r="378" spans="1:16" x14ac:dyDescent="0.25">
      <c r="A378" t="s">
        <v>179</v>
      </c>
      <c r="B378" s="9">
        <f>CORREL($K$6:$K$336,$C$6:$C$336)</f>
        <v>0.34771477104920046</v>
      </c>
      <c r="C378" s="9">
        <f>CORREL($K$6:$K$336,$D$6:$D$336)</f>
        <v>0.49949386626006276</v>
      </c>
      <c r="D378" s="9">
        <f>CORREL($K$6:$K$336,$E$6:$E$336)</f>
        <v>0.82772380710138949</v>
      </c>
      <c r="E378" s="9">
        <f>CORREL($K$6:$K$336,$F$6:$F$336)</f>
        <v>0.6189921585132625</v>
      </c>
      <c r="F378" s="9">
        <f>CORREL($K$6:$K$336,$G$6:$G$336)</f>
        <v>0.67957385062751818</v>
      </c>
      <c r="G378" s="9">
        <f>CORREL($K$6:$K$336,$H$6:$H$336)</f>
        <v>0.31105424722218566</v>
      </c>
      <c r="H378" s="9">
        <f>CORREL($K$6:$K$336,$I$6:$I$336)</f>
        <v>0.4627981167565417</v>
      </c>
      <c r="I378" s="9">
        <f>CORREL($K$6:$K$336,$J$6:$J$336)</f>
        <v>0.34407573529509738</v>
      </c>
      <c r="J378" s="9">
        <f>CORREL($K$6:$K$336,$K$6:$K$336)</f>
        <v>1.0000000000000002</v>
      </c>
    </row>
    <row r="380" spans="1:16" x14ac:dyDescent="0.25">
      <c r="A380" s="14" t="s">
        <v>404</v>
      </c>
    </row>
    <row r="381" spans="1:16" ht="32.1" customHeight="1" x14ac:dyDescent="0.25">
      <c r="A381" s="3" t="s">
        <v>52</v>
      </c>
      <c r="B381" s="3" t="s">
        <v>53</v>
      </c>
      <c r="C381" s="3" t="s">
        <v>405</v>
      </c>
      <c r="D381" s="3" t="s">
        <v>406</v>
      </c>
      <c r="E381" s="3" t="s">
        <v>407</v>
      </c>
      <c r="F381" s="3" t="s">
        <v>408</v>
      </c>
      <c r="G381" s="3" t="s">
        <v>409</v>
      </c>
      <c r="H381" s="3" t="s">
        <v>410</v>
      </c>
      <c r="I381" s="3" t="s">
        <v>411</v>
      </c>
      <c r="J381" s="3" t="s">
        <v>412</v>
      </c>
      <c r="K381" s="3" t="s">
        <v>413</v>
      </c>
      <c r="L381" s="3" t="s">
        <v>382</v>
      </c>
      <c r="M381" s="3" t="s">
        <v>383</v>
      </c>
      <c r="N381" s="3" t="s">
        <v>384</v>
      </c>
      <c r="O381" s="3" t="s">
        <v>385</v>
      </c>
      <c r="P381" s="3" t="s">
        <v>386</v>
      </c>
    </row>
    <row r="382" spans="1:16" x14ac:dyDescent="0.25">
      <c r="A382" s="5" t="str">
        <f t="shared" ref="A382:B401" si="31">A6</f>
        <v>An Giang</v>
      </c>
      <c r="B382" s="5">
        <f t="shared" si="31"/>
        <v>2019</v>
      </c>
      <c r="C382" s="9">
        <f t="shared" ref="C382:C445" si="32">STANDARDIZE(C6,AVERAGE($C$6:$C$336),_xlfn.STDEV.S($C$6:$C$336))</f>
        <v>0.80807900801604848</v>
      </c>
      <c r="D382" s="9">
        <f t="shared" ref="D382:D445" si="33">STANDARDIZE(D6,AVERAGE($D$6:$D$336),_xlfn.STDEV.S($D$6:$D$336))</f>
        <v>-1.2378848707461831</v>
      </c>
      <c r="E382" s="9">
        <f t="shared" ref="E382:E445" si="34">STANDARDIZE(E6,AVERAGE($E$6:$E$336),_xlfn.STDEV.S($E$6:$E$336))</f>
        <v>-0.72055847287920072</v>
      </c>
      <c r="F382" s="9">
        <f t="shared" ref="F382:F445" si="35">STANDARDIZE(F6,AVERAGE($F$6:$F$336),_xlfn.STDEV.S($F$6:$F$336))</f>
        <v>-2.5139296980262692E-2</v>
      </c>
      <c r="G382" s="9">
        <f t="shared" ref="G382:G445" si="36">STANDARDIZE(G6,AVERAGE($G$6:$G$336),_xlfn.STDEV.S($G$6:$G$336))</f>
        <v>-1.0590132203913605</v>
      </c>
      <c r="H382" s="9">
        <f t="shared" ref="H382:H445" si="37">STANDARDIZE(H6,AVERAGE($H$6:$H$336),_xlfn.STDEV.S($H$6:$H$336))</f>
        <v>-1.1119476552060352</v>
      </c>
      <c r="I382" s="9">
        <f t="shared" ref="I382:I445" si="38">STANDARDIZE(I6,AVERAGE($I$6:$I$336),_xlfn.STDEV.S($I$6:$I$336))</f>
        <v>-0.68763840970842838</v>
      </c>
      <c r="J382" s="9">
        <f t="shared" ref="J382:J445" si="39">STANDARDIZE(J6,AVERAGE($J$6:$J$336),_xlfn.STDEV.S($J$6:$J$336))</f>
        <v>-1.6393565121930105</v>
      </c>
      <c r="K382" s="9">
        <f t="shared" ref="K382:K445" si="40">STANDARDIZE(K6,AVERAGE($K$6:$K$336),_xlfn.STDEV.S($K$6:$K$336))</f>
        <v>-0.65020213191130083</v>
      </c>
      <c r="L382" s="5">
        <f t="shared" ref="L382:P391" si="41">L6</f>
        <v>0</v>
      </c>
      <c r="M382" s="5">
        <f t="shared" si="41"/>
        <v>0</v>
      </c>
      <c r="N382" s="5">
        <f t="shared" si="41"/>
        <v>0</v>
      </c>
      <c r="O382" s="5">
        <f t="shared" si="41"/>
        <v>0</v>
      </c>
      <c r="P382" s="5">
        <f t="shared" si="41"/>
        <v>0</v>
      </c>
    </row>
    <row r="383" spans="1:16" x14ac:dyDescent="0.25">
      <c r="A383" s="5" t="str">
        <f t="shared" si="31"/>
        <v>Bà Rịa - Vũng Tàu</v>
      </c>
      <c r="B383" s="5">
        <f t="shared" si="31"/>
        <v>2019</v>
      </c>
      <c r="C383" s="9">
        <f t="shared" si="32"/>
        <v>1.210895497650412</v>
      </c>
      <c r="D383" s="9">
        <f t="shared" si="33"/>
        <v>3.2014338616005706</v>
      </c>
      <c r="E383" s="9">
        <f t="shared" si="34"/>
        <v>0.58890533640344056</v>
      </c>
      <c r="F383" s="9">
        <f t="shared" si="35"/>
        <v>1.5119130963386014</v>
      </c>
      <c r="G383" s="9">
        <f t="shared" si="36"/>
        <v>0.47744388156245993</v>
      </c>
      <c r="H383" s="9">
        <f t="shared" si="37"/>
        <v>-0.450858045488782</v>
      </c>
      <c r="I383" s="9">
        <f t="shared" si="38"/>
        <v>-9.0127648373605929E-2</v>
      </c>
      <c r="J383" s="9">
        <f t="shared" si="39"/>
        <v>1.80273485303811</v>
      </c>
      <c r="K383" s="9">
        <f t="shared" si="40"/>
        <v>0.20874679961947865</v>
      </c>
      <c r="L383" s="5">
        <f t="shared" si="41"/>
        <v>0</v>
      </c>
      <c r="M383" s="5">
        <f t="shared" si="41"/>
        <v>0</v>
      </c>
      <c r="N383" s="5">
        <f t="shared" si="41"/>
        <v>0</v>
      </c>
      <c r="O383" s="5">
        <f t="shared" si="41"/>
        <v>0</v>
      </c>
      <c r="P383" s="5">
        <f t="shared" si="41"/>
        <v>0</v>
      </c>
    </row>
    <row r="384" spans="1:16" x14ac:dyDescent="0.25">
      <c r="A384" s="5" t="str">
        <f t="shared" si="31"/>
        <v>Bình Dương</v>
      </c>
      <c r="B384" s="5">
        <f t="shared" si="31"/>
        <v>2019</v>
      </c>
      <c r="C384" s="9">
        <f t="shared" si="32"/>
        <v>1.3808389058872046</v>
      </c>
      <c r="D384" s="9">
        <f t="shared" si="33"/>
        <v>1.5463245673168735</v>
      </c>
      <c r="E384" s="9">
        <f t="shared" si="34"/>
        <v>1.4239404914132545</v>
      </c>
      <c r="F384" s="9">
        <f t="shared" si="35"/>
        <v>2.718257728876845</v>
      </c>
      <c r="G384" s="9">
        <f t="shared" si="36"/>
        <v>-0.20930588370477815</v>
      </c>
      <c r="H384" s="9">
        <f t="shared" si="37"/>
        <v>0.8655794470359045</v>
      </c>
      <c r="I384" s="9">
        <f t="shared" si="38"/>
        <v>-0.51056767809501036</v>
      </c>
      <c r="J384" s="9">
        <f t="shared" si="39"/>
        <v>1.3730257885544854</v>
      </c>
      <c r="K384" s="9">
        <f t="shared" si="40"/>
        <v>0.23105716147742089</v>
      </c>
      <c r="L384" s="5">
        <f t="shared" si="41"/>
        <v>0</v>
      </c>
      <c r="M384" s="5">
        <f t="shared" si="41"/>
        <v>0</v>
      </c>
      <c r="N384" s="5">
        <f t="shared" si="41"/>
        <v>0</v>
      </c>
      <c r="O384" s="5">
        <f t="shared" si="41"/>
        <v>0</v>
      </c>
      <c r="P384" s="5">
        <f t="shared" si="41"/>
        <v>0</v>
      </c>
    </row>
    <row r="385" spans="1:16" x14ac:dyDescent="0.25">
      <c r="A385" s="5" t="str">
        <f t="shared" si="31"/>
        <v>Bình Phước</v>
      </c>
      <c r="B385" s="5">
        <f t="shared" si="31"/>
        <v>2019</v>
      </c>
      <c r="C385" s="9">
        <f t="shared" si="32"/>
        <v>0.52888607472760052</v>
      </c>
      <c r="D385" s="9">
        <f t="shared" si="33"/>
        <v>-0.44451823866972651</v>
      </c>
      <c r="E385" s="9">
        <f t="shared" si="34"/>
        <v>-0.15307664478547947</v>
      </c>
      <c r="F385" s="9">
        <f t="shared" si="35"/>
        <v>-0.46210539326943334</v>
      </c>
      <c r="G385" s="9">
        <f t="shared" si="36"/>
        <v>-0.91933530203192215</v>
      </c>
      <c r="H385" s="9">
        <f t="shared" si="37"/>
        <v>-1.1978390220792656</v>
      </c>
      <c r="I385" s="9">
        <f t="shared" si="38"/>
        <v>-0.10011349713024617</v>
      </c>
      <c r="J385" s="9">
        <f t="shared" si="39"/>
        <v>0.32317787361964395</v>
      </c>
      <c r="K385" s="9">
        <f t="shared" si="40"/>
        <v>7.4884628471824768E-2</v>
      </c>
      <c r="L385" s="5">
        <f t="shared" si="41"/>
        <v>0</v>
      </c>
      <c r="M385" s="5">
        <f t="shared" si="41"/>
        <v>0</v>
      </c>
      <c r="N385" s="5">
        <f t="shared" si="41"/>
        <v>0</v>
      </c>
      <c r="O385" s="5">
        <f t="shared" si="41"/>
        <v>0</v>
      </c>
      <c r="P385" s="5">
        <f t="shared" si="41"/>
        <v>0</v>
      </c>
    </row>
    <row r="386" spans="1:16" x14ac:dyDescent="0.25">
      <c r="A386" s="5" t="str">
        <f t="shared" si="31"/>
        <v>Bình Thuận</v>
      </c>
      <c r="B386" s="5">
        <f t="shared" si="31"/>
        <v>2019</v>
      </c>
      <c r="C386" s="9">
        <f t="shared" si="32"/>
        <v>0.83123943847004</v>
      </c>
      <c r="D386" s="9">
        <f t="shared" si="33"/>
        <v>-0.38584746087822186</v>
      </c>
      <c r="E386" s="9">
        <f t="shared" si="34"/>
        <v>-0.39517779067835151</v>
      </c>
      <c r="F386" s="9">
        <f t="shared" si="35"/>
        <v>0.34363963213764581</v>
      </c>
      <c r="G386" s="9">
        <f t="shared" si="36"/>
        <v>-0.8611361693821562</v>
      </c>
      <c r="H386" s="9">
        <f t="shared" si="37"/>
        <v>-0.36774374758527245</v>
      </c>
      <c r="I386" s="9">
        <f t="shared" si="38"/>
        <v>-0.80601997215641175</v>
      </c>
      <c r="J386" s="9">
        <f t="shared" si="39"/>
        <v>0.37002046353926071</v>
      </c>
      <c r="K386" s="9">
        <f t="shared" si="40"/>
        <v>-0.41594333240290665</v>
      </c>
      <c r="L386" s="5">
        <f t="shared" si="41"/>
        <v>0</v>
      </c>
      <c r="M386" s="5">
        <f t="shared" si="41"/>
        <v>0</v>
      </c>
      <c r="N386" s="5">
        <f t="shared" si="41"/>
        <v>0</v>
      </c>
      <c r="O386" s="5">
        <f t="shared" si="41"/>
        <v>0</v>
      </c>
      <c r="P386" s="5">
        <f t="shared" si="41"/>
        <v>0</v>
      </c>
    </row>
    <row r="387" spans="1:16" x14ac:dyDescent="0.25">
      <c r="A387" s="5" t="str">
        <f t="shared" si="31"/>
        <v>Bình Định</v>
      </c>
      <c r="B387" s="5">
        <f t="shared" si="31"/>
        <v>2019</v>
      </c>
      <c r="C387" s="9">
        <f t="shared" si="32"/>
        <v>1.0206548966703608</v>
      </c>
      <c r="D387" s="9">
        <f t="shared" si="33"/>
        <v>-0.71600935451271119</v>
      </c>
      <c r="E387" s="9">
        <f t="shared" si="34"/>
        <v>-0.32024656974599075</v>
      </c>
      <c r="F387" s="9">
        <f t="shared" si="35"/>
        <v>9.9911710205424927E-4</v>
      </c>
      <c r="G387" s="9">
        <f t="shared" si="36"/>
        <v>-0.52358120001351405</v>
      </c>
      <c r="H387" s="9">
        <f t="shared" si="37"/>
        <v>0.44392112155957175</v>
      </c>
      <c r="I387" s="9">
        <f t="shared" si="38"/>
        <v>-0.47258207085035386</v>
      </c>
      <c r="J387" s="9">
        <f t="shared" si="39"/>
        <v>-0.75987908092247336</v>
      </c>
      <c r="K387" s="9">
        <f t="shared" si="40"/>
        <v>0.14181571404565152</v>
      </c>
      <c r="L387" s="5">
        <f t="shared" si="41"/>
        <v>0</v>
      </c>
      <c r="M387" s="5">
        <f t="shared" si="41"/>
        <v>0</v>
      </c>
      <c r="N387" s="5">
        <f t="shared" si="41"/>
        <v>0</v>
      </c>
      <c r="O387" s="5">
        <f t="shared" si="41"/>
        <v>0</v>
      </c>
      <c r="P387" s="5">
        <f t="shared" si="41"/>
        <v>0</v>
      </c>
    </row>
    <row r="388" spans="1:16" x14ac:dyDescent="0.25">
      <c r="A388" s="5" t="str">
        <f t="shared" si="31"/>
        <v>Bắc Giang</v>
      </c>
      <c r="B388" s="5">
        <f t="shared" si="31"/>
        <v>2019</v>
      </c>
      <c r="C388" s="9">
        <f t="shared" si="32"/>
        <v>1.0666693452111022</v>
      </c>
      <c r="D388" s="9">
        <f t="shared" si="33"/>
        <v>-0.63400063290691033</v>
      </c>
      <c r="E388" s="9">
        <f t="shared" si="34"/>
        <v>-0.53404489034104174</v>
      </c>
      <c r="F388" s="9">
        <f t="shared" si="35"/>
        <v>-1.1689790262781825</v>
      </c>
      <c r="G388" s="9">
        <f t="shared" si="36"/>
        <v>-0.66325911837295215</v>
      </c>
      <c r="H388" s="9">
        <f t="shared" si="37"/>
        <v>0.15994973406895252</v>
      </c>
      <c r="I388" s="9">
        <f t="shared" si="38"/>
        <v>-0.31205584312312223</v>
      </c>
      <c r="J388" s="9">
        <f t="shared" si="39"/>
        <v>0.42691250658798979</v>
      </c>
      <c r="K388" s="9">
        <f t="shared" si="40"/>
        <v>-0.79521948398792608</v>
      </c>
      <c r="L388" s="5">
        <f t="shared" si="41"/>
        <v>0</v>
      </c>
      <c r="M388" s="5">
        <f t="shared" si="41"/>
        <v>0</v>
      </c>
      <c r="N388" s="5">
        <f t="shared" si="41"/>
        <v>0</v>
      </c>
      <c r="O388" s="5">
        <f t="shared" si="41"/>
        <v>0</v>
      </c>
      <c r="P388" s="5">
        <f t="shared" si="41"/>
        <v>0</v>
      </c>
    </row>
    <row r="389" spans="1:16" x14ac:dyDescent="0.25">
      <c r="A389" s="5" t="str">
        <f t="shared" si="31"/>
        <v>Bắc Kạn</v>
      </c>
      <c r="B389" s="5">
        <f t="shared" si="31"/>
        <v>2019</v>
      </c>
      <c r="C389" s="9">
        <f t="shared" si="32"/>
        <v>0.43546265641363657</v>
      </c>
      <c r="D389" s="9">
        <f t="shared" si="33"/>
        <v>-1.5927598086431733</v>
      </c>
      <c r="E389" s="9">
        <f t="shared" si="34"/>
        <v>-0.79895119043071938</v>
      </c>
      <c r="F389" s="9">
        <f t="shared" si="35"/>
        <v>-0.63427799037686972</v>
      </c>
      <c r="G389" s="9">
        <f t="shared" si="36"/>
        <v>-0.88441582244206252</v>
      </c>
      <c r="H389" s="9">
        <f t="shared" si="37"/>
        <v>-0.85692101935424136</v>
      </c>
      <c r="I389" s="9">
        <f t="shared" si="38"/>
        <v>-0.55556109378735752</v>
      </c>
      <c r="J389" s="9">
        <f t="shared" si="39"/>
        <v>-2.8892243456781195</v>
      </c>
      <c r="K389" s="9">
        <f t="shared" si="40"/>
        <v>-0.92908165513557994</v>
      </c>
      <c r="L389" s="5">
        <f t="shared" si="41"/>
        <v>0</v>
      </c>
      <c r="M389" s="5">
        <f t="shared" si="41"/>
        <v>0</v>
      </c>
      <c r="N389" s="5">
        <f t="shared" si="41"/>
        <v>0</v>
      </c>
      <c r="O389" s="5">
        <f t="shared" si="41"/>
        <v>0</v>
      </c>
      <c r="P389" s="5">
        <f t="shared" si="41"/>
        <v>0</v>
      </c>
    </row>
    <row r="390" spans="1:16" x14ac:dyDescent="0.25">
      <c r="A390" s="5" t="str">
        <f t="shared" si="31"/>
        <v>Bắc Ninh</v>
      </c>
      <c r="B390" s="5">
        <f t="shared" si="31"/>
        <v>2019</v>
      </c>
      <c r="C390" s="9">
        <f t="shared" si="32"/>
        <v>1.333598659192917</v>
      </c>
      <c r="D390" s="9">
        <f t="shared" si="33"/>
        <v>1.5081616389785437</v>
      </c>
      <c r="E390" s="9">
        <f t="shared" si="34"/>
        <v>0.48078447141680036</v>
      </c>
      <c r="F390" s="9">
        <f t="shared" si="35"/>
        <v>-0.25015694864542731</v>
      </c>
      <c r="G390" s="9">
        <f t="shared" si="36"/>
        <v>0.50072353462236618</v>
      </c>
      <c r="H390" s="9">
        <f t="shared" si="37"/>
        <v>0.3962317536549817</v>
      </c>
      <c r="I390" s="9">
        <f t="shared" si="38"/>
        <v>0.44924487303861382</v>
      </c>
      <c r="J390" s="9">
        <f t="shared" si="39"/>
        <v>1.3623275503466417</v>
      </c>
      <c r="K390" s="9">
        <f t="shared" si="40"/>
        <v>0.83343693164186394</v>
      </c>
      <c r="L390" s="5">
        <f t="shared" si="41"/>
        <v>0</v>
      </c>
      <c r="M390" s="5">
        <f t="shared" si="41"/>
        <v>0</v>
      </c>
      <c r="N390" s="5">
        <f t="shared" si="41"/>
        <v>0</v>
      </c>
      <c r="O390" s="5">
        <f t="shared" si="41"/>
        <v>0</v>
      </c>
      <c r="P390" s="5">
        <f t="shared" si="41"/>
        <v>0</v>
      </c>
    </row>
    <row r="391" spans="1:16" x14ac:dyDescent="0.25">
      <c r="A391" s="5" t="str">
        <f t="shared" si="31"/>
        <v>Bến Tre</v>
      </c>
      <c r="B391" s="5">
        <f t="shared" si="31"/>
        <v>2019</v>
      </c>
      <c r="C391" s="9">
        <f t="shared" si="32"/>
        <v>0.87643649737856644</v>
      </c>
      <c r="D391" s="9">
        <f t="shared" si="33"/>
        <v>-1.4683509413344802</v>
      </c>
      <c r="E391" s="9">
        <f t="shared" si="34"/>
        <v>-0.71119207026265552</v>
      </c>
      <c r="F391" s="9">
        <f t="shared" si="35"/>
        <v>-1.2627363811386676</v>
      </c>
      <c r="G391" s="9">
        <f t="shared" si="36"/>
        <v>-1.408208016289956</v>
      </c>
      <c r="H391" s="9">
        <f t="shared" si="37"/>
        <v>-1.4091972805114634</v>
      </c>
      <c r="I391" s="9">
        <f t="shared" si="38"/>
        <v>-0.87988335426258757</v>
      </c>
      <c r="J391" s="9">
        <f t="shared" si="39"/>
        <v>-0.47201415452522899</v>
      </c>
      <c r="K391" s="9">
        <f t="shared" si="40"/>
        <v>-0.86215056956175296</v>
      </c>
      <c r="L391" s="5">
        <f t="shared" si="41"/>
        <v>0</v>
      </c>
      <c r="M391" s="5">
        <f t="shared" si="41"/>
        <v>0</v>
      </c>
      <c r="N391" s="5">
        <f t="shared" si="41"/>
        <v>0</v>
      </c>
      <c r="O391" s="5">
        <f t="shared" si="41"/>
        <v>0</v>
      </c>
      <c r="P391" s="5">
        <f t="shared" si="41"/>
        <v>0</v>
      </c>
    </row>
    <row r="392" spans="1:16" x14ac:dyDescent="0.25">
      <c r="A392" s="5" t="str">
        <f t="shared" si="31"/>
        <v>Cần Thơ</v>
      </c>
      <c r="B392" s="5">
        <f t="shared" si="31"/>
        <v>2019</v>
      </c>
      <c r="C392" s="9">
        <f t="shared" si="32"/>
        <v>1.196242851383218</v>
      </c>
      <c r="D392" s="9">
        <f t="shared" si="33"/>
        <v>-9.6797740081875583E-2</v>
      </c>
      <c r="E392" s="9">
        <f t="shared" si="34"/>
        <v>0.20019962781681924</v>
      </c>
      <c r="F392" s="9">
        <f t="shared" si="35"/>
        <v>2.1392350343142121</v>
      </c>
      <c r="G392" s="9">
        <f t="shared" si="36"/>
        <v>-0.84949634285220321</v>
      </c>
      <c r="H392" s="9">
        <f t="shared" si="37"/>
        <v>-1.1916981704221692</v>
      </c>
      <c r="I392" s="9">
        <f t="shared" si="38"/>
        <v>0.16886431175618932</v>
      </c>
      <c r="J392" s="9">
        <f t="shared" si="39"/>
        <v>-0.70430961111236445</v>
      </c>
      <c r="K392" s="9">
        <f t="shared" si="40"/>
        <v>-1.4356818959944614E-2</v>
      </c>
      <c r="L392" s="5">
        <f t="shared" ref="L392:P401" si="42">L16</f>
        <v>0</v>
      </c>
      <c r="M392" s="5">
        <f t="shared" si="42"/>
        <v>0</v>
      </c>
      <c r="N392" s="5">
        <f t="shared" si="42"/>
        <v>0</v>
      </c>
      <c r="O392" s="5">
        <f t="shared" si="42"/>
        <v>0</v>
      </c>
      <c r="P392" s="5">
        <f t="shared" si="42"/>
        <v>0</v>
      </c>
    </row>
    <row r="393" spans="1:16" x14ac:dyDescent="0.25">
      <c r="A393" s="5" t="str">
        <f t="shared" si="31"/>
        <v>Gia Lai</v>
      </c>
      <c r="B393" s="5">
        <f t="shared" si="31"/>
        <v>2019</v>
      </c>
      <c r="C393" s="9">
        <f t="shared" si="32"/>
        <v>0.64298036482375753</v>
      </c>
      <c r="D393" s="9">
        <f t="shared" si="33"/>
        <v>-1.4683509413344802</v>
      </c>
      <c r="E393" s="9">
        <f t="shared" si="34"/>
        <v>-0.67698433896744747</v>
      </c>
      <c r="F393" s="9">
        <f t="shared" si="35"/>
        <v>-0.17458283836394517</v>
      </c>
      <c r="G393" s="9">
        <f t="shared" si="36"/>
        <v>-1.3034495775203772</v>
      </c>
      <c r="H393" s="9">
        <f t="shared" si="37"/>
        <v>0.3212643633193536</v>
      </c>
      <c r="I393" s="9">
        <f t="shared" si="38"/>
        <v>-9.2910137406862249E-3</v>
      </c>
      <c r="J393" s="9">
        <f t="shared" si="39"/>
        <v>-3.4447378671391533</v>
      </c>
      <c r="K393" s="9">
        <f t="shared" si="40"/>
        <v>-0.53865032262158918</v>
      </c>
      <c r="L393" s="5">
        <f t="shared" si="42"/>
        <v>0</v>
      </c>
      <c r="M393" s="5">
        <f t="shared" si="42"/>
        <v>0</v>
      </c>
      <c r="N393" s="5">
        <f t="shared" si="42"/>
        <v>0</v>
      </c>
      <c r="O393" s="5">
        <f t="shared" si="42"/>
        <v>0</v>
      </c>
      <c r="P393" s="5">
        <f t="shared" si="42"/>
        <v>0</v>
      </c>
    </row>
    <row r="394" spans="1:16" x14ac:dyDescent="0.25">
      <c r="A394" s="5" t="str">
        <f t="shared" si="31"/>
        <v>Hà Nam</v>
      </c>
      <c r="B394" s="5">
        <f t="shared" si="31"/>
        <v>2019</v>
      </c>
      <c r="C394" s="9">
        <f t="shared" si="32"/>
        <v>0.90213993166310869</v>
      </c>
      <c r="D394" s="9">
        <f t="shared" si="33"/>
        <v>-0.39310084017044994</v>
      </c>
      <c r="E394" s="9">
        <f t="shared" si="34"/>
        <v>-0.21721614096399469</v>
      </c>
      <c r="F394" s="9">
        <f t="shared" si="35"/>
        <v>-0.86725081154534822</v>
      </c>
      <c r="G394" s="9">
        <f t="shared" si="36"/>
        <v>-0.43046258777388846</v>
      </c>
      <c r="H394" s="9">
        <f t="shared" si="37"/>
        <v>0.43549238122569395</v>
      </c>
      <c r="I394" s="9">
        <f t="shared" si="38"/>
        <v>0.15611424611479841</v>
      </c>
      <c r="J394" s="9">
        <f t="shared" si="39"/>
        <v>0.59059995534602505</v>
      </c>
      <c r="K394" s="9">
        <f t="shared" si="40"/>
        <v>-0.57211586540850279</v>
      </c>
      <c r="L394" s="5">
        <f t="shared" si="42"/>
        <v>0</v>
      </c>
      <c r="M394" s="5">
        <f t="shared" si="42"/>
        <v>0</v>
      </c>
      <c r="N394" s="5">
        <f t="shared" si="42"/>
        <v>0</v>
      </c>
      <c r="O394" s="5">
        <f t="shared" si="42"/>
        <v>0</v>
      </c>
      <c r="P394" s="5">
        <f t="shared" si="42"/>
        <v>0</v>
      </c>
    </row>
    <row r="395" spans="1:16" x14ac:dyDescent="0.25">
      <c r="A395" s="5" t="str">
        <f t="shared" si="31"/>
        <v>Hà Nội</v>
      </c>
      <c r="B395" s="5">
        <f t="shared" si="31"/>
        <v>2019</v>
      </c>
      <c r="C395" s="9">
        <f t="shared" si="32"/>
        <v>2.0014801975205692</v>
      </c>
      <c r="D395" s="9">
        <f t="shared" si="33"/>
        <v>1.0740341062538716</v>
      </c>
      <c r="E395" s="9">
        <f t="shared" si="34"/>
        <v>2.7274993946985084</v>
      </c>
      <c r="F395" s="9">
        <f t="shared" si="35"/>
        <v>0.98800836190607177</v>
      </c>
      <c r="G395" s="9">
        <f t="shared" si="36"/>
        <v>2.8403286671429564</v>
      </c>
      <c r="H395" s="9">
        <f t="shared" si="37"/>
        <v>0.39085485687851151</v>
      </c>
      <c r="I395" s="9">
        <f t="shared" si="38"/>
        <v>0.59179371810390258</v>
      </c>
      <c r="J395" s="9">
        <f t="shared" si="39"/>
        <v>0.59137279363448692</v>
      </c>
      <c r="K395" s="9">
        <f t="shared" si="40"/>
        <v>2.2613000905501726</v>
      </c>
      <c r="L395" s="5">
        <f t="shared" si="42"/>
        <v>0</v>
      </c>
      <c r="M395" s="5">
        <f t="shared" si="42"/>
        <v>0</v>
      </c>
      <c r="N395" s="5">
        <f t="shared" si="42"/>
        <v>0</v>
      </c>
      <c r="O395" s="5">
        <f t="shared" si="42"/>
        <v>0</v>
      </c>
      <c r="P395" s="5">
        <f t="shared" si="42"/>
        <v>0</v>
      </c>
    </row>
    <row r="396" spans="1:16" x14ac:dyDescent="0.25">
      <c r="A396" s="5" t="str">
        <f t="shared" si="31"/>
        <v>Hà Tĩnh</v>
      </c>
      <c r="B396" s="5">
        <f t="shared" si="31"/>
        <v>2019</v>
      </c>
      <c r="C396" s="9">
        <f t="shared" si="32"/>
        <v>0.80027252361983636</v>
      </c>
      <c r="D396" s="9">
        <f t="shared" si="33"/>
        <v>-0.52384166075983452</v>
      </c>
      <c r="E396" s="9">
        <f t="shared" si="34"/>
        <v>-0.47662476995265673</v>
      </c>
      <c r="F396" s="9">
        <f t="shared" si="35"/>
        <v>-0.70189693115503793</v>
      </c>
      <c r="G396" s="9">
        <f t="shared" si="36"/>
        <v>0.15152873872377071</v>
      </c>
      <c r="H396" s="9">
        <f t="shared" si="37"/>
        <v>1.0495005496234999</v>
      </c>
      <c r="I396" s="9">
        <f t="shared" si="38"/>
        <v>-0.63082900654627527</v>
      </c>
      <c r="J396" s="9">
        <f t="shared" si="39"/>
        <v>1.0907937365704927</v>
      </c>
      <c r="K396" s="9">
        <f t="shared" si="40"/>
        <v>-0.52749514169261824</v>
      </c>
      <c r="L396" s="5">
        <f t="shared" si="42"/>
        <v>0</v>
      </c>
      <c r="M396" s="5">
        <f t="shared" si="42"/>
        <v>0</v>
      </c>
      <c r="N396" s="5">
        <f t="shared" si="42"/>
        <v>0</v>
      </c>
      <c r="O396" s="5">
        <f t="shared" si="42"/>
        <v>0</v>
      </c>
      <c r="P396" s="5">
        <f t="shared" si="42"/>
        <v>0</v>
      </c>
    </row>
    <row r="397" spans="1:16" x14ac:dyDescent="0.25">
      <c r="A397" s="5" t="str">
        <f t="shared" si="31"/>
        <v>Hòa Bình</v>
      </c>
      <c r="B397" s="5">
        <f t="shared" si="31"/>
        <v>2019</v>
      </c>
      <c r="C397" s="9">
        <f t="shared" si="32"/>
        <v>0.68612479637450552</v>
      </c>
      <c r="D397" s="9">
        <f t="shared" si="33"/>
        <v>-0.76237855806962473</v>
      </c>
      <c r="E397" s="9">
        <f t="shared" si="34"/>
        <v>-0.64522001705046839</v>
      </c>
      <c r="F397" s="9">
        <f t="shared" si="35"/>
        <v>-0.92577813003401466</v>
      </c>
      <c r="G397" s="9">
        <f t="shared" si="36"/>
        <v>-0.73309807755267142</v>
      </c>
      <c r="H397" s="9">
        <f t="shared" si="37"/>
        <v>5.8333096095074061E-2</v>
      </c>
      <c r="I397" s="9">
        <f t="shared" si="38"/>
        <v>-0.22150828239418985</v>
      </c>
      <c r="J397" s="9">
        <f t="shared" si="39"/>
        <v>-0.47735408222685</v>
      </c>
      <c r="K397" s="9">
        <f t="shared" si="40"/>
        <v>-0.92908165513557994</v>
      </c>
      <c r="L397" s="5">
        <f t="shared" si="42"/>
        <v>0</v>
      </c>
      <c r="M397" s="5">
        <f t="shared" si="42"/>
        <v>0</v>
      </c>
      <c r="N397" s="5">
        <f t="shared" si="42"/>
        <v>0</v>
      </c>
      <c r="O397" s="5">
        <f t="shared" si="42"/>
        <v>0</v>
      </c>
      <c r="P397" s="5">
        <f t="shared" si="42"/>
        <v>0</v>
      </c>
    </row>
    <row r="398" spans="1:16" x14ac:dyDescent="0.25">
      <c r="A398" s="5" t="str">
        <f t="shared" si="31"/>
        <v>Hưng Yên</v>
      </c>
      <c r="B398" s="5">
        <f t="shared" si="31"/>
        <v>2019</v>
      </c>
      <c r="C398" s="9">
        <f t="shared" si="32"/>
        <v>0.90577345085420391</v>
      </c>
      <c r="D398" s="9">
        <f t="shared" si="33"/>
        <v>-6.5038965042154284E-2</v>
      </c>
      <c r="E398" s="9">
        <f t="shared" si="34"/>
        <v>-3.2331498011322075E-2</v>
      </c>
      <c r="F398" s="9">
        <f t="shared" si="35"/>
        <v>-0.88202469776578818</v>
      </c>
      <c r="G398" s="9">
        <f t="shared" si="36"/>
        <v>0.18644821831363034</v>
      </c>
      <c r="H398" s="9">
        <f t="shared" si="37"/>
        <v>0.86702206806679838</v>
      </c>
      <c r="I398" s="9">
        <f t="shared" si="38"/>
        <v>0.14937897172784645</v>
      </c>
      <c r="J398" s="9">
        <f t="shared" si="39"/>
        <v>0.53632508924587197</v>
      </c>
      <c r="K398" s="9">
        <f t="shared" si="40"/>
        <v>-0.60558140819541639</v>
      </c>
      <c r="L398" s="5">
        <f t="shared" si="42"/>
        <v>0</v>
      </c>
      <c r="M398" s="5">
        <f t="shared" si="42"/>
        <v>0</v>
      </c>
      <c r="N398" s="5">
        <f t="shared" si="42"/>
        <v>0</v>
      </c>
      <c r="O398" s="5">
        <f t="shared" si="42"/>
        <v>0</v>
      </c>
      <c r="P398" s="5">
        <f t="shared" si="42"/>
        <v>0</v>
      </c>
    </row>
    <row r="399" spans="1:16" x14ac:dyDescent="0.25">
      <c r="A399" s="5" t="str">
        <f t="shared" si="31"/>
        <v>Hải Dương</v>
      </c>
      <c r="B399" s="5">
        <f t="shared" si="31"/>
        <v>2019</v>
      </c>
      <c r="C399" s="9">
        <f t="shared" si="32"/>
        <v>1.1754667972027872</v>
      </c>
      <c r="D399" s="9">
        <f t="shared" si="33"/>
        <v>-0.29355692821145041</v>
      </c>
      <c r="E399" s="9">
        <f t="shared" si="34"/>
        <v>-0.23126574488881232</v>
      </c>
      <c r="F399" s="9">
        <f t="shared" si="35"/>
        <v>-4.0481409593796612E-2</v>
      </c>
      <c r="G399" s="9">
        <f t="shared" si="36"/>
        <v>-0.18602623064487145</v>
      </c>
      <c r="H399" s="9">
        <f t="shared" si="37"/>
        <v>0.72885584696603201</v>
      </c>
      <c r="I399" s="9">
        <f t="shared" si="38"/>
        <v>-0.6007741882030263</v>
      </c>
      <c r="J399" s="9">
        <f t="shared" si="39"/>
        <v>0.60179394004260334</v>
      </c>
      <c r="K399" s="9">
        <f t="shared" si="40"/>
        <v>-0.23746043753936788</v>
      </c>
      <c r="L399" s="5">
        <f t="shared" si="42"/>
        <v>0</v>
      </c>
      <c r="M399" s="5">
        <f t="shared" si="42"/>
        <v>0</v>
      </c>
      <c r="N399" s="5">
        <f t="shared" si="42"/>
        <v>0</v>
      </c>
      <c r="O399" s="5">
        <f t="shared" si="42"/>
        <v>0</v>
      </c>
      <c r="P399" s="5">
        <f t="shared" si="42"/>
        <v>0</v>
      </c>
    </row>
    <row r="400" spans="1:16" x14ac:dyDescent="0.25">
      <c r="A400" s="5" t="str">
        <f t="shared" si="31"/>
        <v>Hải Phòng</v>
      </c>
      <c r="B400" s="5">
        <f t="shared" si="31"/>
        <v>2019</v>
      </c>
      <c r="C400" s="9">
        <f t="shared" si="32"/>
        <v>1.518333122840051</v>
      </c>
      <c r="D400" s="9">
        <f t="shared" si="33"/>
        <v>1.1104632371608474</v>
      </c>
      <c r="E400" s="9">
        <f t="shared" si="34"/>
        <v>0.7992421603793336</v>
      </c>
      <c r="F400" s="9">
        <f t="shared" si="35"/>
        <v>0.7703776533511274</v>
      </c>
      <c r="G400" s="9">
        <f t="shared" si="36"/>
        <v>0.91975728970068105</v>
      </c>
      <c r="H400" s="9">
        <f t="shared" si="37"/>
        <v>1.5105540271320106</v>
      </c>
      <c r="I400" s="9">
        <f t="shared" si="38"/>
        <v>0.27735049386128741</v>
      </c>
      <c r="J400" s="9">
        <f t="shared" si="39"/>
        <v>1.1001524114056045</v>
      </c>
      <c r="K400" s="9">
        <f t="shared" si="40"/>
        <v>0.37607451355404609</v>
      </c>
      <c r="L400" s="5">
        <f t="shared" si="42"/>
        <v>0</v>
      </c>
      <c r="M400" s="5">
        <f t="shared" si="42"/>
        <v>0</v>
      </c>
      <c r="N400" s="5">
        <f t="shared" si="42"/>
        <v>0</v>
      </c>
      <c r="O400" s="5">
        <f t="shared" si="42"/>
        <v>0</v>
      </c>
      <c r="P400" s="5">
        <f t="shared" si="42"/>
        <v>0</v>
      </c>
    </row>
    <row r="401" spans="1:16" x14ac:dyDescent="0.25">
      <c r="A401" s="5" t="str">
        <f t="shared" si="31"/>
        <v>Khánh Hòa</v>
      </c>
      <c r="B401" s="5">
        <f t="shared" si="31"/>
        <v>2019</v>
      </c>
      <c r="C401" s="9">
        <f t="shared" si="32"/>
        <v>1.0536766746693205</v>
      </c>
      <c r="D401" s="9">
        <f t="shared" si="33"/>
        <v>-0.17153267642893921</v>
      </c>
      <c r="E401" s="9">
        <f t="shared" si="34"/>
        <v>0.62799988645510707</v>
      </c>
      <c r="F401" s="9">
        <f t="shared" si="35"/>
        <v>0.58286294363015667</v>
      </c>
      <c r="G401" s="9">
        <f t="shared" si="36"/>
        <v>-0.10454744493519924</v>
      </c>
      <c r="H401" s="9">
        <f t="shared" si="37"/>
        <v>0.6947635825078663</v>
      </c>
      <c r="I401" s="9">
        <f t="shared" si="38"/>
        <v>1.6067626430638406</v>
      </c>
      <c r="J401" s="9">
        <f t="shared" si="39"/>
        <v>0.46268439474590339</v>
      </c>
      <c r="K401" s="9">
        <f t="shared" si="40"/>
        <v>0.88921283628671977</v>
      </c>
      <c r="L401" s="5">
        <f t="shared" si="42"/>
        <v>0</v>
      </c>
      <c r="M401" s="5">
        <f t="shared" si="42"/>
        <v>0</v>
      </c>
      <c r="N401" s="5">
        <f t="shared" si="42"/>
        <v>0</v>
      </c>
      <c r="O401" s="5">
        <f t="shared" si="42"/>
        <v>0</v>
      </c>
      <c r="P401" s="5">
        <f t="shared" si="42"/>
        <v>0</v>
      </c>
    </row>
    <row r="402" spans="1:16" x14ac:dyDescent="0.25">
      <c r="A402" s="5" t="str">
        <f t="shared" ref="A402:B421" si="43">A26</f>
        <v>Kiên Giang</v>
      </c>
      <c r="B402" s="5">
        <f t="shared" si="43"/>
        <v>2019</v>
      </c>
      <c r="C402" s="9">
        <f t="shared" si="32"/>
        <v>0.86900472605457613</v>
      </c>
      <c r="D402" s="9">
        <f t="shared" si="33"/>
        <v>-0.73697168029234605</v>
      </c>
      <c r="E402" s="9">
        <f t="shared" si="34"/>
        <v>-0.33592511325629448</v>
      </c>
      <c r="F402" s="9">
        <f t="shared" si="35"/>
        <v>-0.20867642194957622</v>
      </c>
      <c r="G402" s="9">
        <f t="shared" si="36"/>
        <v>-1.1754114856908922</v>
      </c>
      <c r="H402" s="9">
        <f t="shared" si="37"/>
        <v>-1.6061677637662495</v>
      </c>
      <c r="I402" s="9">
        <f t="shared" si="38"/>
        <v>-0.55392925739893106</v>
      </c>
      <c r="J402" s="9">
        <f t="shared" si="39"/>
        <v>0.31562313376281076</v>
      </c>
      <c r="K402" s="9">
        <f t="shared" si="40"/>
        <v>-0.13706380917862757</v>
      </c>
      <c r="L402" s="5">
        <f t="shared" ref="L402:P411" si="44">L26</f>
        <v>0</v>
      </c>
      <c r="M402" s="5">
        <f t="shared" si="44"/>
        <v>0</v>
      </c>
      <c r="N402" s="5">
        <f t="shared" si="44"/>
        <v>0</v>
      </c>
      <c r="O402" s="5">
        <f t="shared" si="44"/>
        <v>0</v>
      </c>
      <c r="P402" s="5">
        <f t="shared" si="44"/>
        <v>0</v>
      </c>
    </row>
    <row r="403" spans="1:16" x14ac:dyDescent="0.25">
      <c r="A403" s="5" t="str">
        <f t="shared" si="43"/>
        <v>Kon Tum</v>
      </c>
      <c r="B403" s="5">
        <f t="shared" si="43"/>
        <v>2019</v>
      </c>
      <c r="C403" s="9">
        <f t="shared" si="32"/>
        <v>0.58937937885412939</v>
      </c>
      <c r="D403" s="9">
        <f t="shared" si="33"/>
        <v>-1.4683509413344802</v>
      </c>
      <c r="E403" s="9">
        <f t="shared" si="34"/>
        <v>-0.57945158128646701</v>
      </c>
      <c r="F403" s="9">
        <f t="shared" si="35"/>
        <v>-3.5466940426964531E-3</v>
      </c>
      <c r="G403" s="9">
        <f t="shared" si="36"/>
        <v>-1.2568902714005645</v>
      </c>
      <c r="H403" s="9">
        <f t="shared" si="37"/>
        <v>3.2437568136449761E-2</v>
      </c>
      <c r="I403" s="9">
        <f t="shared" si="38"/>
        <v>-0.47518741590560032</v>
      </c>
      <c r="J403" s="9">
        <f t="shared" si="39"/>
        <v>-1.5036281315453957</v>
      </c>
      <c r="K403" s="9">
        <f t="shared" si="40"/>
        <v>-0.79521948398792608</v>
      </c>
      <c r="L403" s="5">
        <f t="shared" si="44"/>
        <v>0</v>
      </c>
      <c r="M403" s="5">
        <f t="shared" si="44"/>
        <v>0</v>
      </c>
      <c r="N403" s="5">
        <f t="shared" si="44"/>
        <v>0</v>
      </c>
      <c r="O403" s="5">
        <f t="shared" si="44"/>
        <v>0</v>
      </c>
      <c r="P403" s="5">
        <f t="shared" si="44"/>
        <v>0</v>
      </c>
    </row>
    <row r="404" spans="1:16" x14ac:dyDescent="0.25">
      <c r="A404" s="5" t="str">
        <f t="shared" si="43"/>
        <v>Long An</v>
      </c>
      <c r="B404" s="5">
        <f t="shared" si="43"/>
        <v>2019</v>
      </c>
      <c r="C404" s="9">
        <f t="shared" si="32"/>
        <v>0.85025001736847416</v>
      </c>
      <c r="D404" s="9">
        <f t="shared" si="33"/>
        <v>-9.3602267170208961E-2</v>
      </c>
      <c r="E404" s="9">
        <f t="shared" si="34"/>
        <v>-3.090617587402162E-2</v>
      </c>
      <c r="F404" s="9">
        <f t="shared" si="35"/>
        <v>-0.90645843266882398</v>
      </c>
      <c r="G404" s="9">
        <f t="shared" si="36"/>
        <v>-0.81457686326234358</v>
      </c>
      <c r="H404" s="9">
        <f t="shared" si="37"/>
        <v>-1.1843199569356644</v>
      </c>
      <c r="I404" s="9">
        <f t="shared" si="38"/>
        <v>-0.6401285718207731</v>
      </c>
      <c r="J404" s="9">
        <f t="shared" si="39"/>
        <v>0.6529306366916211</v>
      </c>
      <c r="K404" s="9">
        <f t="shared" si="40"/>
        <v>-0.46056405611879114</v>
      </c>
      <c r="L404" s="5">
        <f t="shared" si="44"/>
        <v>0</v>
      </c>
      <c r="M404" s="5">
        <f t="shared" si="44"/>
        <v>0</v>
      </c>
      <c r="N404" s="5">
        <f t="shared" si="44"/>
        <v>0</v>
      </c>
      <c r="O404" s="5">
        <f t="shared" si="44"/>
        <v>0</v>
      </c>
      <c r="P404" s="5">
        <f t="shared" si="44"/>
        <v>0</v>
      </c>
    </row>
    <row r="405" spans="1:16" x14ac:dyDescent="0.25">
      <c r="A405" s="5" t="str">
        <f t="shared" si="43"/>
        <v>Lào Cai</v>
      </c>
      <c r="B405" s="5">
        <f t="shared" si="43"/>
        <v>2019</v>
      </c>
      <c r="C405" s="9">
        <f t="shared" si="32"/>
        <v>0.79635281971250227</v>
      </c>
      <c r="D405" s="9">
        <f t="shared" si="33"/>
        <v>-0.24875023306607602</v>
      </c>
      <c r="E405" s="9">
        <f t="shared" si="34"/>
        <v>-0.47947541422725737</v>
      </c>
      <c r="F405" s="9">
        <f t="shared" si="35"/>
        <v>-0.49108493931721958</v>
      </c>
      <c r="G405" s="9">
        <f t="shared" si="36"/>
        <v>-0.48866172042365441</v>
      </c>
      <c r="H405" s="9">
        <f t="shared" si="37"/>
        <v>-0.23902325617841824</v>
      </c>
      <c r="I405" s="9">
        <f t="shared" si="38"/>
        <v>0.46790163178878152</v>
      </c>
      <c r="J405" s="9">
        <f t="shared" si="39"/>
        <v>-0.51341570771282896</v>
      </c>
      <c r="K405" s="9">
        <f t="shared" si="40"/>
        <v>0.2645227042643345</v>
      </c>
      <c r="L405" s="5">
        <f t="shared" si="44"/>
        <v>0</v>
      </c>
      <c r="M405" s="5">
        <f t="shared" si="44"/>
        <v>0</v>
      </c>
      <c r="N405" s="5">
        <f t="shared" si="44"/>
        <v>0</v>
      </c>
      <c r="O405" s="5">
        <f t="shared" si="44"/>
        <v>0</v>
      </c>
      <c r="P405" s="5">
        <f t="shared" si="44"/>
        <v>0</v>
      </c>
    </row>
    <row r="406" spans="1:16" x14ac:dyDescent="0.25">
      <c r="A406" s="5" t="str">
        <f t="shared" si="43"/>
        <v>Lâm Đồng</v>
      </c>
      <c r="B406" s="5">
        <f t="shared" si="43"/>
        <v>2019</v>
      </c>
      <c r="C406" s="9">
        <f t="shared" si="32"/>
        <v>0.97652234160788842</v>
      </c>
      <c r="D406" s="9">
        <f t="shared" si="33"/>
        <v>-0.52384166075983452</v>
      </c>
      <c r="E406" s="9">
        <f t="shared" si="34"/>
        <v>-0.20520271152103464</v>
      </c>
      <c r="F406" s="9">
        <f t="shared" si="35"/>
        <v>0.40557630898487562</v>
      </c>
      <c r="G406" s="9">
        <f t="shared" si="36"/>
        <v>-0.81457686326234358</v>
      </c>
      <c r="H406" s="9">
        <f t="shared" si="37"/>
        <v>7.6854217083633047E-2</v>
      </c>
      <c r="I406" s="9">
        <f t="shared" si="38"/>
        <v>-0.63385013061490114</v>
      </c>
      <c r="J406" s="9">
        <f t="shared" si="39"/>
        <v>-0.95434147269272529</v>
      </c>
      <c r="K406" s="9">
        <f t="shared" si="40"/>
        <v>0.96729910278951781</v>
      </c>
      <c r="L406" s="5">
        <f t="shared" si="44"/>
        <v>0</v>
      </c>
      <c r="M406" s="5">
        <f t="shared" si="44"/>
        <v>0</v>
      </c>
      <c r="N406" s="5">
        <f t="shared" si="44"/>
        <v>0</v>
      </c>
      <c r="O406" s="5">
        <f t="shared" si="44"/>
        <v>0</v>
      </c>
      <c r="P406" s="5">
        <f t="shared" si="44"/>
        <v>0</v>
      </c>
    </row>
    <row r="407" spans="1:16" x14ac:dyDescent="0.25">
      <c r="A407" s="5" t="str">
        <f t="shared" si="43"/>
        <v>Lạng Sơn</v>
      </c>
      <c r="B407" s="5">
        <f t="shared" si="43"/>
        <v>2019</v>
      </c>
      <c r="C407" s="9">
        <f t="shared" si="32"/>
        <v>0.50490176798386754</v>
      </c>
      <c r="D407" s="9">
        <f t="shared" si="33"/>
        <v>-1.3778399988434804</v>
      </c>
      <c r="E407" s="9">
        <f t="shared" si="34"/>
        <v>-0.69978949316425287</v>
      </c>
      <c r="F407" s="9">
        <f t="shared" si="35"/>
        <v>-0.65643881970752993</v>
      </c>
      <c r="G407" s="9">
        <f t="shared" si="36"/>
        <v>-0.83785651632224989</v>
      </c>
      <c r="H407" s="9">
        <f t="shared" si="37"/>
        <v>-0.18020982707327396</v>
      </c>
      <c r="I407" s="9">
        <f t="shared" si="38"/>
        <v>-0.45076884689043378</v>
      </c>
      <c r="J407" s="9">
        <f t="shared" si="39"/>
        <v>-1.1342532002940344</v>
      </c>
      <c r="K407" s="9">
        <f t="shared" si="40"/>
        <v>-0.79521948398792608</v>
      </c>
      <c r="L407" s="5">
        <f t="shared" si="44"/>
        <v>0</v>
      </c>
      <c r="M407" s="5">
        <f t="shared" si="44"/>
        <v>0</v>
      </c>
      <c r="N407" s="5">
        <f t="shared" si="44"/>
        <v>0</v>
      </c>
      <c r="O407" s="5">
        <f t="shared" si="44"/>
        <v>0</v>
      </c>
      <c r="P407" s="5">
        <f t="shared" si="44"/>
        <v>0</v>
      </c>
    </row>
    <row r="408" spans="1:16" x14ac:dyDescent="0.25">
      <c r="A408" s="5" t="str">
        <f t="shared" si="43"/>
        <v>Nam Định</v>
      </c>
      <c r="B408" s="5">
        <f t="shared" si="43"/>
        <v>2019</v>
      </c>
      <c r="C408" s="9">
        <f t="shared" si="32"/>
        <v>0.96265701506796364</v>
      </c>
      <c r="D408" s="9">
        <f t="shared" si="33"/>
        <v>-1.5445776450005018</v>
      </c>
      <c r="E408" s="9">
        <f t="shared" si="34"/>
        <v>-0.54646555468037339</v>
      </c>
      <c r="F408" s="9">
        <f t="shared" si="35"/>
        <v>-0.78713089011911541</v>
      </c>
      <c r="G408" s="9">
        <f t="shared" si="36"/>
        <v>-0.69817859796281179</v>
      </c>
      <c r="H408" s="9">
        <f t="shared" si="37"/>
        <v>-0.3434698423250539</v>
      </c>
      <c r="I408" s="9">
        <f t="shared" si="38"/>
        <v>-0.25440799279452386</v>
      </c>
      <c r="J408" s="9">
        <f t="shared" si="39"/>
        <v>8.8164125148879016E-2</v>
      </c>
      <c r="K408" s="9">
        <f t="shared" si="40"/>
        <v>-1.330668168578542</v>
      </c>
      <c r="L408" s="5">
        <f t="shared" si="44"/>
        <v>0</v>
      </c>
      <c r="M408" s="5">
        <f t="shared" si="44"/>
        <v>0</v>
      </c>
      <c r="N408" s="5">
        <f t="shared" si="44"/>
        <v>0</v>
      </c>
      <c r="O408" s="5">
        <f t="shared" si="44"/>
        <v>0</v>
      </c>
      <c r="P408" s="5">
        <f t="shared" si="44"/>
        <v>0</v>
      </c>
    </row>
    <row r="409" spans="1:16" x14ac:dyDescent="0.25">
      <c r="A409" s="5" t="str">
        <f t="shared" si="43"/>
        <v>Nghệ An</v>
      </c>
      <c r="B409" s="5">
        <f t="shared" si="43"/>
        <v>2019</v>
      </c>
      <c r="C409" s="9">
        <f t="shared" si="32"/>
        <v>1.0438520476940945</v>
      </c>
      <c r="D409" s="9">
        <f t="shared" si="33"/>
        <v>-1.4973738673268515</v>
      </c>
      <c r="E409" s="9">
        <f t="shared" si="34"/>
        <v>-0.53302680310011297</v>
      </c>
      <c r="F409" s="9">
        <f t="shared" si="35"/>
        <v>-0.98487367491577515</v>
      </c>
      <c r="G409" s="9">
        <f t="shared" si="36"/>
        <v>-0.34898380206421625</v>
      </c>
      <c r="H409" s="9">
        <f t="shared" si="37"/>
        <v>1.1409083100251471</v>
      </c>
      <c r="I409" s="9">
        <f t="shared" si="38"/>
        <v>1.4866149599686624</v>
      </c>
      <c r="J409" s="9">
        <f t="shared" si="39"/>
        <v>-0.64113275350770427</v>
      </c>
      <c r="K409" s="9">
        <f t="shared" si="40"/>
        <v>-0.36016742775805083</v>
      </c>
      <c r="L409" s="5">
        <f t="shared" si="44"/>
        <v>0</v>
      </c>
      <c r="M409" s="5">
        <f t="shared" si="44"/>
        <v>0</v>
      </c>
      <c r="N409" s="5">
        <f t="shared" si="44"/>
        <v>0</v>
      </c>
      <c r="O409" s="5">
        <f t="shared" si="44"/>
        <v>0</v>
      </c>
      <c r="P409" s="5">
        <f t="shared" si="44"/>
        <v>0</v>
      </c>
    </row>
    <row r="410" spans="1:16" x14ac:dyDescent="0.25">
      <c r="A410" s="5" t="str">
        <f t="shared" si="43"/>
        <v>Ninh Bình</v>
      </c>
      <c r="B410" s="5">
        <f t="shared" si="43"/>
        <v>2019</v>
      </c>
      <c r="C410" s="9">
        <f t="shared" si="32"/>
        <v>1.0038458409729407</v>
      </c>
      <c r="D410" s="9">
        <f t="shared" si="33"/>
        <v>-0.43710290167348831</v>
      </c>
      <c r="E410" s="9">
        <f t="shared" si="34"/>
        <v>-0.31088016712944561</v>
      </c>
      <c r="F410" s="9">
        <f t="shared" si="35"/>
        <v>-0.62064055694261744</v>
      </c>
      <c r="G410" s="9">
        <f t="shared" si="36"/>
        <v>0.60548197339194476</v>
      </c>
      <c r="H410" s="9">
        <f t="shared" si="37"/>
        <v>0.92419297555054081</v>
      </c>
      <c r="I410" s="9">
        <f t="shared" si="38"/>
        <v>-0.25037288106205596</v>
      </c>
      <c r="J410" s="9">
        <f t="shared" si="39"/>
        <v>-0.12665840735489828</v>
      </c>
      <c r="K410" s="9">
        <f t="shared" si="40"/>
        <v>-0.67251249376924305</v>
      </c>
      <c r="L410" s="5">
        <f t="shared" si="44"/>
        <v>0</v>
      </c>
      <c r="M410" s="5">
        <f t="shared" si="44"/>
        <v>0</v>
      </c>
      <c r="N410" s="5">
        <f t="shared" si="44"/>
        <v>0</v>
      </c>
      <c r="O410" s="5">
        <f t="shared" si="44"/>
        <v>0</v>
      </c>
      <c r="P410" s="5">
        <f t="shared" si="44"/>
        <v>0</v>
      </c>
    </row>
    <row r="411" spans="1:16" x14ac:dyDescent="0.25">
      <c r="A411" s="5" t="str">
        <f t="shared" si="43"/>
        <v>Ninh Thuận</v>
      </c>
      <c r="B411" s="5">
        <f t="shared" si="43"/>
        <v>2019</v>
      </c>
      <c r="C411" s="9">
        <f t="shared" si="32"/>
        <v>0.71138446968582736</v>
      </c>
      <c r="D411" s="9">
        <f t="shared" si="33"/>
        <v>-0.84471599457653979</v>
      </c>
      <c r="E411" s="9">
        <f t="shared" si="34"/>
        <v>-0.38845841488822136</v>
      </c>
      <c r="F411" s="9">
        <f t="shared" si="35"/>
        <v>0.21124288254677887</v>
      </c>
      <c r="G411" s="9">
        <f t="shared" si="36"/>
        <v>-0.55850067960337368</v>
      </c>
      <c r="H411" s="9">
        <f t="shared" si="37"/>
        <v>-5.1714450623143046E-2</v>
      </c>
      <c r="I411" s="9">
        <f t="shared" si="38"/>
        <v>-0.11475553237740395</v>
      </c>
      <c r="J411" s="9">
        <f t="shared" si="39"/>
        <v>0.34073090226975128</v>
      </c>
      <c r="K411" s="9">
        <f t="shared" si="40"/>
        <v>-1.0406334644252915</v>
      </c>
      <c r="L411" s="5">
        <f t="shared" si="44"/>
        <v>0</v>
      </c>
      <c r="M411" s="5">
        <f t="shared" si="44"/>
        <v>0</v>
      </c>
      <c r="N411" s="5">
        <f t="shared" si="44"/>
        <v>0</v>
      </c>
      <c r="O411" s="5">
        <f t="shared" si="44"/>
        <v>0</v>
      </c>
      <c r="P411" s="5">
        <f t="shared" si="44"/>
        <v>0</v>
      </c>
    </row>
    <row r="412" spans="1:16" x14ac:dyDescent="0.25">
      <c r="A412" s="5" t="str">
        <f t="shared" si="43"/>
        <v>Phú Thọ</v>
      </c>
      <c r="B412" s="5">
        <f t="shared" si="43"/>
        <v>2019</v>
      </c>
      <c r="C412" s="9">
        <f t="shared" si="32"/>
        <v>0.9202135160371423</v>
      </c>
      <c r="D412" s="9">
        <f t="shared" si="33"/>
        <v>-1.105879192572903</v>
      </c>
      <c r="E412" s="9">
        <f t="shared" si="34"/>
        <v>-0.51327591062609401</v>
      </c>
      <c r="F412" s="9">
        <f t="shared" si="35"/>
        <v>-0.77633458865033222</v>
      </c>
      <c r="G412" s="9">
        <f t="shared" si="36"/>
        <v>0.10496943260395815</v>
      </c>
      <c r="H412" s="9">
        <f t="shared" si="37"/>
        <v>0.66360637816828527</v>
      </c>
      <c r="I412" s="9">
        <f t="shared" si="38"/>
        <v>-2.5310682104589453E-2</v>
      </c>
      <c r="J412" s="9">
        <f t="shared" si="39"/>
        <v>-0.29987406173050291</v>
      </c>
      <c r="K412" s="9">
        <f t="shared" si="40"/>
        <v>-8.1287904533771757E-2</v>
      </c>
      <c r="L412" s="5">
        <f t="shared" ref="L412:P421" si="45">L36</f>
        <v>0</v>
      </c>
      <c r="M412" s="5">
        <f t="shared" si="45"/>
        <v>0</v>
      </c>
      <c r="N412" s="5">
        <f t="shared" si="45"/>
        <v>0</v>
      </c>
      <c r="O412" s="5">
        <f t="shared" si="45"/>
        <v>0</v>
      </c>
      <c r="P412" s="5">
        <f t="shared" si="45"/>
        <v>0</v>
      </c>
    </row>
    <row r="413" spans="1:16" x14ac:dyDescent="0.25">
      <c r="A413" s="5" t="str">
        <f t="shared" si="43"/>
        <v>Phú Yên</v>
      </c>
      <c r="B413" s="5">
        <f t="shared" si="43"/>
        <v>2019</v>
      </c>
      <c r="C413" s="9">
        <f t="shared" si="32"/>
        <v>0.77260019084178022</v>
      </c>
      <c r="D413" s="9">
        <f t="shared" si="33"/>
        <v>-1.0329984220927826</v>
      </c>
      <c r="E413" s="9">
        <f t="shared" si="34"/>
        <v>-0.56112601094974823</v>
      </c>
      <c r="F413" s="9">
        <f t="shared" si="35"/>
        <v>-0.18708381901200999</v>
      </c>
      <c r="G413" s="9">
        <f t="shared" si="36"/>
        <v>-0.82621668979229657</v>
      </c>
      <c r="H413" s="9">
        <f t="shared" si="37"/>
        <v>0.36269443611414848</v>
      </c>
      <c r="I413" s="9">
        <f t="shared" si="38"/>
        <v>-0.51456335364844252</v>
      </c>
      <c r="J413" s="9">
        <f t="shared" si="39"/>
        <v>0.1837777538692888</v>
      </c>
      <c r="K413" s="9">
        <f t="shared" si="40"/>
        <v>-0.36016742775805083</v>
      </c>
      <c r="L413" s="5">
        <f t="shared" si="45"/>
        <v>0</v>
      </c>
      <c r="M413" s="5">
        <f t="shared" si="45"/>
        <v>0</v>
      </c>
      <c r="N413" s="5">
        <f t="shared" si="45"/>
        <v>0</v>
      </c>
      <c r="O413" s="5">
        <f t="shared" si="45"/>
        <v>0</v>
      </c>
      <c r="P413" s="5">
        <f t="shared" si="45"/>
        <v>0</v>
      </c>
    </row>
    <row r="414" spans="1:16" x14ac:dyDescent="0.25">
      <c r="A414" s="5" t="str">
        <f t="shared" si="43"/>
        <v>Quảng Bình</v>
      </c>
      <c r="B414" s="5">
        <f t="shared" si="43"/>
        <v>2019</v>
      </c>
      <c r="C414" s="9">
        <f t="shared" si="32"/>
        <v>0.64298036482375753</v>
      </c>
      <c r="D414" s="9">
        <f t="shared" si="33"/>
        <v>-1.2800575679205137</v>
      </c>
      <c r="E414" s="9">
        <f t="shared" si="34"/>
        <v>-0.2504057850182741</v>
      </c>
      <c r="F414" s="9">
        <f t="shared" si="35"/>
        <v>-0.62745927365974363</v>
      </c>
      <c r="G414" s="9">
        <f t="shared" si="36"/>
        <v>-0.23258553676468444</v>
      </c>
      <c r="H414" s="9">
        <f t="shared" si="37"/>
        <v>0.92216727281777955</v>
      </c>
      <c r="I414" s="9">
        <f t="shared" si="38"/>
        <v>-0.34964794833569007</v>
      </c>
      <c r="J414" s="9">
        <f t="shared" si="39"/>
        <v>-0.45831520468324455</v>
      </c>
      <c r="K414" s="9">
        <f t="shared" si="40"/>
        <v>-0.9737023788514646</v>
      </c>
      <c r="L414" s="5">
        <f t="shared" si="45"/>
        <v>0</v>
      </c>
      <c r="M414" s="5">
        <f t="shared" si="45"/>
        <v>0</v>
      </c>
      <c r="N414" s="5">
        <f t="shared" si="45"/>
        <v>0</v>
      </c>
      <c r="O414" s="5">
        <f t="shared" si="45"/>
        <v>0</v>
      </c>
      <c r="P414" s="5">
        <f t="shared" si="45"/>
        <v>0</v>
      </c>
    </row>
    <row r="415" spans="1:16" x14ac:dyDescent="0.25">
      <c r="A415" s="5" t="str">
        <f t="shared" si="43"/>
        <v>Quảng Nam</v>
      </c>
      <c r="B415" s="5">
        <f t="shared" si="43"/>
        <v>2019</v>
      </c>
      <c r="C415" s="9">
        <f t="shared" si="32"/>
        <v>0.93094620442497222</v>
      </c>
      <c r="D415" s="9">
        <f t="shared" si="33"/>
        <v>-0.32156577518504398</v>
      </c>
      <c r="E415" s="9">
        <f t="shared" si="34"/>
        <v>-0.20927506048475</v>
      </c>
      <c r="F415" s="9">
        <f t="shared" si="35"/>
        <v>-0.37971256627082495</v>
      </c>
      <c r="G415" s="9">
        <f t="shared" si="36"/>
        <v>-0.58178033266327989</v>
      </c>
      <c r="H415" s="9">
        <f t="shared" si="37"/>
        <v>0.15367385389241256</v>
      </c>
      <c r="I415" s="9">
        <f t="shared" si="38"/>
        <v>-0.95960655141780515</v>
      </c>
      <c r="J415" s="9">
        <f t="shared" si="39"/>
        <v>0.56746157570263311</v>
      </c>
      <c r="K415" s="9">
        <f t="shared" si="40"/>
        <v>-0.58327104633747406</v>
      </c>
      <c r="L415" s="5">
        <f t="shared" si="45"/>
        <v>0</v>
      </c>
      <c r="M415" s="5">
        <f t="shared" si="45"/>
        <v>0</v>
      </c>
      <c r="N415" s="5">
        <f t="shared" si="45"/>
        <v>0</v>
      </c>
      <c r="O415" s="5">
        <f t="shared" si="45"/>
        <v>0</v>
      </c>
      <c r="P415" s="5">
        <f t="shared" si="45"/>
        <v>0</v>
      </c>
    </row>
    <row r="416" spans="1:16" x14ac:dyDescent="0.25">
      <c r="A416" s="5" t="str">
        <f t="shared" si="43"/>
        <v>Quảng Ngãi</v>
      </c>
      <c r="B416" s="5">
        <f t="shared" si="43"/>
        <v>2019</v>
      </c>
      <c r="C416" s="9">
        <f t="shared" si="32"/>
        <v>0.63859153026577864</v>
      </c>
      <c r="D416" s="9">
        <f t="shared" si="33"/>
        <v>-0.16823288002364917</v>
      </c>
      <c r="E416" s="9">
        <f t="shared" si="34"/>
        <v>-0.35465791848938483</v>
      </c>
      <c r="F416" s="9">
        <f t="shared" si="35"/>
        <v>-0.89054809366219612</v>
      </c>
      <c r="G416" s="9">
        <f t="shared" si="36"/>
        <v>-0.32570414900431</v>
      </c>
      <c r="H416" s="9">
        <f t="shared" si="37"/>
        <v>5.4786489648203443E-2</v>
      </c>
      <c r="I416" s="9">
        <f t="shared" si="38"/>
        <v>-0.47963101410239828</v>
      </c>
      <c r="J416" s="9">
        <f t="shared" si="39"/>
        <v>-9.1239508543869238E-2</v>
      </c>
      <c r="K416" s="9">
        <f t="shared" si="40"/>
        <v>-0.63904695098232989</v>
      </c>
      <c r="L416" s="5">
        <f t="shared" si="45"/>
        <v>0</v>
      </c>
      <c r="M416" s="5">
        <f t="shared" si="45"/>
        <v>0</v>
      </c>
      <c r="N416" s="5">
        <f t="shared" si="45"/>
        <v>0</v>
      </c>
      <c r="O416" s="5">
        <f t="shared" si="45"/>
        <v>0</v>
      </c>
      <c r="P416" s="5">
        <f t="shared" si="45"/>
        <v>0</v>
      </c>
    </row>
    <row r="417" spans="1:16" x14ac:dyDescent="0.25">
      <c r="A417" s="5" t="str">
        <f t="shared" si="43"/>
        <v>Quảng Ninh</v>
      </c>
      <c r="B417" s="5">
        <f t="shared" si="43"/>
        <v>2019</v>
      </c>
      <c r="C417" s="9">
        <f t="shared" si="32"/>
        <v>1.2225076800194574</v>
      </c>
      <c r="D417" s="9">
        <f t="shared" si="33"/>
        <v>1.480745431512047</v>
      </c>
      <c r="E417" s="9">
        <f t="shared" si="34"/>
        <v>0.17352574210448427</v>
      </c>
      <c r="F417" s="9">
        <f t="shared" si="35"/>
        <v>1.8414844043330341</v>
      </c>
      <c r="G417" s="9">
        <f t="shared" si="36"/>
        <v>1.6297867080278254</v>
      </c>
      <c r="H417" s="9">
        <f t="shared" si="37"/>
        <v>1.0183682307480795</v>
      </c>
      <c r="I417" s="9">
        <f t="shared" si="38"/>
        <v>1.299717152727256</v>
      </c>
      <c r="J417" s="9">
        <f t="shared" si="39"/>
        <v>0.66784948924022791</v>
      </c>
      <c r="K417" s="9">
        <f t="shared" si="40"/>
        <v>0.59917813213346938</v>
      </c>
      <c r="L417" s="5">
        <f t="shared" si="45"/>
        <v>0</v>
      </c>
      <c r="M417" s="5">
        <f t="shared" si="45"/>
        <v>0</v>
      </c>
      <c r="N417" s="5">
        <f t="shared" si="45"/>
        <v>0</v>
      </c>
      <c r="O417" s="5">
        <f t="shared" si="45"/>
        <v>0</v>
      </c>
      <c r="P417" s="5">
        <f t="shared" si="45"/>
        <v>0</v>
      </c>
    </row>
    <row r="418" spans="1:16" x14ac:dyDescent="0.25">
      <c r="A418" s="5" t="str">
        <f t="shared" si="43"/>
        <v>Quảng Trị</v>
      </c>
      <c r="B418" s="5">
        <f t="shared" si="43"/>
        <v>2019</v>
      </c>
      <c r="C418" s="9">
        <f t="shared" si="32"/>
        <v>0.59392572487802886</v>
      </c>
      <c r="D418" s="9">
        <f t="shared" si="33"/>
        <v>-0.95307142926158317</v>
      </c>
      <c r="E418" s="9">
        <f t="shared" si="34"/>
        <v>-0.32798403277704979</v>
      </c>
      <c r="F418" s="9">
        <f t="shared" si="35"/>
        <v>-5.8096427779705889E-2</v>
      </c>
      <c r="G418" s="9">
        <f t="shared" si="36"/>
        <v>-5.7988138815386676E-2</v>
      </c>
      <c r="H418" s="9">
        <f t="shared" si="37"/>
        <v>0.49197531393619542</v>
      </c>
      <c r="I418" s="9">
        <f t="shared" si="38"/>
        <v>1.7253901308342876</v>
      </c>
      <c r="J418" s="9">
        <f t="shared" si="39"/>
        <v>-1.6682895272379394</v>
      </c>
      <c r="K418" s="9">
        <f t="shared" si="40"/>
        <v>-0.49402959890570469</v>
      </c>
      <c r="L418" s="5">
        <f t="shared" si="45"/>
        <v>0</v>
      </c>
      <c r="M418" s="5">
        <f t="shared" si="45"/>
        <v>0</v>
      </c>
      <c r="N418" s="5">
        <f t="shared" si="45"/>
        <v>0</v>
      </c>
      <c r="O418" s="5">
        <f t="shared" si="45"/>
        <v>0</v>
      </c>
      <c r="P418" s="5">
        <f t="shared" si="45"/>
        <v>0</v>
      </c>
    </row>
    <row r="419" spans="1:16" x14ac:dyDescent="0.25">
      <c r="A419" s="5" t="str">
        <f t="shared" si="43"/>
        <v>TP. Hồ Chí Minh</v>
      </c>
      <c r="B419" s="5">
        <f t="shared" si="43"/>
        <v>2019</v>
      </c>
      <c r="C419" s="9">
        <f t="shared" si="32"/>
        <v>2.0422035463317143</v>
      </c>
      <c r="D419" s="9">
        <f t="shared" si="33"/>
        <v>1.5667375186737862</v>
      </c>
      <c r="E419" s="9">
        <f t="shared" si="34"/>
        <v>4.2027078068043613</v>
      </c>
      <c r="F419" s="9">
        <f t="shared" si="35"/>
        <v>2.6818912397188384</v>
      </c>
      <c r="G419" s="9">
        <f t="shared" si="36"/>
        <v>1.5599477488481062</v>
      </c>
      <c r="H419" s="9">
        <f t="shared" si="37"/>
        <v>0.24390411278188959</v>
      </c>
      <c r="I419" s="9">
        <f t="shared" si="38"/>
        <v>1.2011472945430011</v>
      </c>
      <c r="J419" s="9">
        <f t="shared" si="39"/>
        <v>0.72992137283845149</v>
      </c>
      <c r="K419" s="9">
        <f t="shared" si="40"/>
        <v>3.5887666210977414</v>
      </c>
      <c r="L419" s="5">
        <f t="shared" si="45"/>
        <v>0</v>
      </c>
      <c r="M419" s="5">
        <f t="shared" si="45"/>
        <v>0</v>
      </c>
      <c r="N419" s="5">
        <f t="shared" si="45"/>
        <v>0</v>
      </c>
      <c r="O419" s="5">
        <f t="shared" si="45"/>
        <v>0</v>
      </c>
      <c r="P419" s="5">
        <f t="shared" si="45"/>
        <v>0</v>
      </c>
    </row>
    <row r="420" spans="1:16" x14ac:dyDescent="0.25">
      <c r="A420" s="5" t="str">
        <f t="shared" si="43"/>
        <v>Thanh Hóa</v>
      </c>
      <c r="B420" s="5">
        <f t="shared" si="43"/>
        <v>2019</v>
      </c>
      <c r="C420" s="9">
        <f t="shared" si="32"/>
        <v>0.90577345085420391</v>
      </c>
      <c r="D420" s="9">
        <f t="shared" si="33"/>
        <v>-1.047392933577187</v>
      </c>
      <c r="E420" s="9">
        <f t="shared" si="34"/>
        <v>-0.53852447420112859</v>
      </c>
      <c r="F420" s="9">
        <f t="shared" si="35"/>
        <v>-0.96725865672986588</v>
      </c>
      <c r="G420" s="9">
        <f t="shared" si="36"/>
        <v>-0.50030154695360773</v>
      </c>
      <c r="H420" s="9">
        <f t="shared" si="37"/>
        <v>0.36495561071639504</v>
      </c>
      <c r="I420" s="9">
        <f t="shared" si="38"/>
        <v>-0.58184877934951118</v>
      </c>
      <c r="J420" s="9">
        <f t="shared" si="39"/>
        <v>0.53482812145545067</v>
      </c>
      <c r="K420" s="9">
        <f t="shared" si="40"/>
        <v>-0.60558140819541639</v>
      </c>
      <c r="L420" s="5">
        <f t="shared" si="45"/>
        <v>0</v>
      </c>
      <c r="M420" s="5">
        <f t="shared" si="45"/>
        <v>0</v>
      </c>
      <c r="N420" s="5">
        <f t="shared" si="45"/>
        <v>0</v>
      </c>
      <c r="O420" s="5">
        <f t="shared" si="45"/>
        <v>0</v>
      </c>
      <c r="P420" s="5">
        <f t="shared" si="45"/>
        <v>0</v>
      </c>
    </row>
    <row r="421" spans="1:16" x14ac:dyDescent="0.25">
      <c r="A421" s="5" t="str">
        <f t="shared" si="43"/>
        <v>Thái Bình</v>
      </c>
      <c r="B421" s="5">
        <f t="shared" si="43"/>
        <v>2019</v>
      </c>
      <c r="C421" s="9">
        <f t="shared" si="32"/>
        <v>0.88382884267456563</v>
      </c>
      <c r="D421" s="9">
        <f t="shared" si="33"/>
        <v>-1.2016010946288906</v>
      </c>
      <c r="E421" s="9">
        <f t="shared" si="34"/>
        <v>-0.64969960091055512</v>
      </c>
      <c r="F421" s="9">
        <f t="shared" si="35"/>
        <v>-1.2189829488704413</v>
      </c>
      <c r="G421" s="9">
        <f t="shared" si="36"/>
        <v>-0.97753443468168799</v>
      </c>
      <c r="H421" s="9">
        <f t="shared" si="37"/>
        <v>-0.96328347394817238</v>
      </c>
      <c r="I421" s="9">
        <f t="shared" si="38"/>
        <v>-0.50574306195527607</v>
      </c>
      <c r="J421" s="9">
        <f t="shared" si="39"/>
        <v>-0.99023399572191029</v>
      </c>
      <c r="K421" s="9">
        <f t="shared" si="40"/>
        <v>-0.86215056956175296</v>
      </c>
      <c r="L421" s="5">
        <f t="shared" si="45"/>
        <v>0</v>
      </c>
      <c r="M421" s="5">
        <f t="shared" si="45"/>
        <v>0</v>
      </c>
      <c r="N421" s="5">
        <f t="shared" si="45"/>
        <v>0</v>
      </c>
      <c r="O421" s="5">
        <f t="shared" si="45"/>
        <v>0</v>
      </c>
      <c r="P421" s="5">
        <f t="shared" si="45"/>
        <v>0</v>
      </c>
    </row>
    <row r="422" spans="1:16" x14ac:dyDescent="0.25">
      <c r="A422" s="5" t="str">
        <f t="shared" ref="A422:B441" si="46">A46</f>
        <v>Thái Nguyên</v>
      </c>
      <c r="B422" s="5">
        <f t="shared" si="46"/>
        <v>2019</v>
      </c>
      <c r="C422" s="9">
        <f t="shared" si="32"/>
        <v>0.83506235944190077</v>
      </c>
      <c r="D422" s="9">
        <f t="shared" si="33"/>
        <v>0.42258489813264144</v>
      </c>
      <c r="E422" s="9">
        <f t="shared" si="34"/>
        <v>-0.48151158870911503</v>
      </c>
      <c r="F422" s="9">
        <f t="shared" si="35"/>
        <v>1.5673434951483899E-3</v>
      </c>
      <c r="G422" s="9">
        <f t="shared" si="36"/>
        <v>0.40760492238274065</v>
      </c>
      <c r="H422" s="9">
        <f t="shared" si="37"/>
        <v>0.96221405568079132</v>
      </c>
      <c r="I422" s="9">
        <f t="shared" si="38"/>
        <v>0.92592146217736249</v>
      </c>
      <c r="J422" s="9">
        <f t="shared" si="39"/>
        <v>0.86218351682337191</v>
      </c>
      <c r="K422" s="9">
        <f t="shared" si="40"/>
        <v>0.1864364377615364</v>
      </c>
      <c r="L422" s="5">
        <f t="shared" ref="L422:P431" si="47">L46</f>
        <v>0</v>
      </c>
      <c r="M422" s="5">
        <f t="shared" si="47"/>
        <v>0</v>
      </c>
      <c r="N422" s="5">
        <f t="shared" si="47"/>
        <v>0</v>
      </c>
      <c r="O422" s="5">
        <f t="shared" si="47"/>
        <v>0</v>
      </c>
      <c r="P422" s="5">
        <f t="shared" si="47"/>
        <v>0</v>
      </c>
    </row>
    <row r="423" spans="1:16" x14ac:dyDescent="0.25">
      <c r="A423" s="5" t="str">
        <f t="shared" si="46"/>
        <v>Tiền Giang</v>
      </c>
      <c r="B423" s="5">
        <f t="shared" si="46"/>
        <v>2019</v>
      </c>
      <c r="C423" s="9">
        <f t="shared" si="32"/>
        <v>0.80027252361983636</v>
      </c>
      <c r="D423" s="9">
        <f t="shared" si="33"/>
        <v>-0.76237855806962473</v>
      </c>
      <c r="E423" s="9">
        <f t="shared" si="34"/>
        <v>-0.67535539938196132</v>
      </c>
      <c r="F423" s="9">
        <f t="shared" si="35"/>
        <v>-1.0246495224323446</v>
      </c>
      <c r="G423" s="9">
        <f t="shared" si="36"/>
        <v>-1.3965681897600029</v>
      </c>
      <c r="H423" s="9">
        <f t="shared" si="37"/>
        <v>-1.3912340117730186</v>
      </c>
      <c r="I423" s="9">
        <f t="shared" si="38"/>
        <v>-0.42975522035944003</v>
      </c>
      <c r="J423" s="9">
        <f t="shared" si="39"/>
        <v>-0.10718373125845079</v>
      </c>
      <c r="K423" s="9">
        <f t="shared" si="40"/>
        <v>-0.36016742775805083</v>
      </c>
      <c r="L423" s="5">
        <f t="shared" si="47"/>
        <v>0</v>
      </c>
      <c r="M423" s="5">
        <f t="shared" si="47"/>
        <v>0</v>
      </c>
      <c r="N423" s="5">
        <f t="shared" si="47"/>
        <v>0</v>
      </c>
      <c r="O423" s="5">
        <f t="shared" si="47"/>
        <v>0</v>
      </c>
      <c r="P423" s="5">
        <f t="shared" si="47"/>
        <v>0</v>
      </c>
    </row>
    <row r="424" spans="1:16" x14ac:dyDescent="0.25">
      <c r="A424" s="5" t="str">
        <f t="shared" si="46"/>
        <v>Trà Vinh</v>
      </c>
      <c r="B424" s="5">
        <f t="shared" si="46"/>
        <v>2019</v>
      </c>
      <c r="C424" s="9">
        <f t="shared" si="32"/>
        <v>0.6029741581026038</v>
      </c>
      <c r="D424" s="9">
        <f t="shared" si="33"/>
        <v>-0.58614907357239765</v>
      </c>
      <c r="E424" s="9">
        <f t="shared" si="34"/>
        <v>-0.78449435160953029</v>
      </c>
      <c r="F424" s="9">
        <f t="shared" si="35"/>
        <v>-0.83997594467684344</v>
      </c>
      <c r="G424" s="9">
        <f t="shared" si="36"/>
        <v>-1.3849283632300495</v>
      </c>
      <c r="H424" s="9">
        <f t="shared" si="37"/>
        <v>-0.73005887995079488</v>
      </c>
      <c r="I424" s="9">
        <f t="shared" si="38"/>
        <v>-0.42974620104764594</v>
      </c>
      <c r="J424" s="9">
        <f t="shared" si="39"/>
        <v>0.42659479887920199</v>
      </c>
      <c r="K424" s="9">
        <f t="shared" si="40"/>
        <v>-0.89561611234866656</v>
      </c>
      <c r="L424" s="5">
        <f t="shared" si="47"/>
        <v>0</v>
      </c>
      <c r="M424" s="5">
        <f t="shared" si="47"/>
        <v>0</v>
      </c>
      <c r="N424" s="5">
        <f t="shared" si="47"/>
        <v>0</v>
      </c>
      <c r="O424" s="5">
        <f t="shared" si="47"/>
        <v>0</v>
      </c>
      <c r="P424" s="5">
        <f t="shared" si="47"/>
        <v>0</v>
      </c>
    </row>
    <row r="425" spans="1:16" x14ac:dyDescent="0.25">
      <c r="A425" s="5" t="str">
        <f t="shared" si="46"/>
        <v>Tuyên Quang</v>
      </c>
      <c r="B425" s="5">
        <f t="shared" si="46"/>
        <v>2019</v>
      </c>
      <c r="C425" s="9">
        <f t="shared" si="32"/>
        <v>0.50973176873042259</v>
      </c>
      <c r="D425" s="9">
        <f t="shared" si="33"/>
        <v>-1.5090852582277727</v>
      </c>
      <c r="E425" s="9">
        <f t="shared" si="34"/>
        <v>-0.85128087461446034</v>
      </c>
      <c r="F425" s="9">
        <f t="shared" si="35"/>
        <v>-1.0354458239011277</v>
      </c>
      <c r="G425" s="9">
        <f t="shared" si="36"/>
        <v>-0.34898380206421625</v>
      </c>
      <c r="H425" s="9">
        <f t="shared" si="37"/>
        <v>0.66929520074884663</v>
      </c>
      <c r="I425" s="9">
        <f t="shared" si="38"/>
        <v>-0.24902277619379232</v>
      </c>
      <c r="J425" s="9">
        <f t="shared" si="39"/>
        <v>-1.2380447584230339</v>
      </c>
      <c r="K425" s="9">
        <f t="shared" si="40"/>
        <v>-0.87330575049072412</v>
      </c>
      <c r="L425" s="5">
        <f t="shared" si="47"/>
        <v>0</v>
      </c>
      <c r="M425" s="5">
        <f t="shared" si="47"/>
        <v>0</v>
      </c>
      <c r="N425" s="5">
        <f t="shared" si="47"/>
        <v>0</v>
      </c>
      <c r="O425" s="5">
        <f t="shared" si="47"/>
        <v>0</v>
      </c>
      <c r="P425" s="5">
        <f t="shared" si="47"/>
        <v>0</v>
      </c>
    </row>
    <row r="426" spans="1:16" x14ac:dyDescent="0.25">
      <c r="A426" s="5" t="str">
        <f t="shared" si="46"/>
        <v>Tây Ninh</v>
      </c>
      <c r="B426" s="5">
        <f t="shared" si="46"/>
        <v>2019</v>
      </c>
      <c r="C426" s="9">
        <f t="shared" si="32"/>
        <v>0.91661750418277133</v>
      </c>
      <c r="D426" s="9">
        <f t="shared" si="33"/>
        <v>-0.1649377608650085</v>
      </c>
      <c r="E426" s="9">
        <f t="shared" si="34"/>
        <v>-0.50105886373494823</v>
      </c>
      <c r="F426" s="9">
        <f t="shared" si="35"/>
        <v>-0.80985994584286936</v>
      </c>
      <c r="G426" s="9">
        <f t="shared" si="36"/>
        <v>-1.280169924460471</v>
      </c>
      <c r="H426" s="9">
        <f t="shared" si="37"/>
        <v>0.25051708207679979</v>
      </c>
      <c r="I426" s="9">
        <f t="shared" si="38"/>
        <v>-0.10638487625289161</v>
      </c>
      <c r="J426" s="9">
        <f t="shared" si="39"/>
        <v>0.81473984626949703</v>
      </c>
      <c r="K426" s="9">
        <f t="shared" si="40"/>
        <v>-0.77290912212998375</v>
      </c>
      <c r="L426" s="5">
        <f t="shared" si="47"/>
        <v>0</v>
      </c>
      <c r="M426" s="5">
        <f t="shared" si="47"/>
        <v>0</v>
      </c>
      <c r="N426" s="5">
        <f t="shared" si="47"/>
        <v>0</v>
      </c>
      <c r="O426" s="5">
        <f t="shared" si="47"/>
        <v>0</v>
      </c>
      <c r="P426" s="5">
        <f t="shared" si="47"/>
        <v>0</v>
      </c>
    </row>
    <row r="427" spans="1:16" x14ac:dyDescent="0.25">
      <c r="A427" s="5" t="str">
        <f t="shared" si="46"/>
        <v>Vĩnh Long</v>
      </c>
      <c r="B427" s="5">
        <f t="shared" si="46"/>
        <v>2019</v>
      </c>
      <c r="C427" s="9">
        <f t="shared" si="32"/>
        <v>0.62534147334455681</v>
      </c>
      <c r="D427" s="9">
        <f t="shared" si="33"/>
        <v>-0.83591027883112978</v>
      </c>
      <c r="E427" s="9">
        <f t="shared" si="34"/>
        <v>-0.70101119785336741</v>
      </c>
      <c r="F427" s="9">
        <f t="shared" si="35"/>
        <v>-0.87691066022794362</v>
      </c>
      <c r="G427" s="9">
        <f t="shared" si="36"/>
        <v>-0.97753443468168799</v>
      </c>
      <c r="H427" s="9">
        <f t="shared" si="37"/>
        <v>-1.8346260039098039</v>
      </c>
      <c r="I427" s="9">
        <f t="shared" si="38"/>
        <v>-0.59527021897428267</v>
      </c>
      <c r="J427" s="9">
        <f t="shared" si="39"/>
        <v>-0.56613015299080927</v>
      </c>
      <c r="K427" s="9">
        <f t="shared" si="40"/>
        <v>-0.70597803655615665</v>
      </c>
      <c r="L427" s="5">
        <f t="shared" si="47"/>
        <v>0</v>
      </c>
      <c r="M427" s="5">
        <f t="shared" si="47"/>
        <v>0</v>
      </c>
      <c r="N427" s="5">
        <f t="shared" si="47"/>
        <v>0</v>
      </c>
      <c r="O427" s="5">
        <f t="shared" si="47"/>
        <v>0</v>
      </c>
      <c r="P427" s="5">
        <f t="shared" si="47"/>
        <v>0</v>
      </c>
    </row>
    <row r="428" spans="1:16" x14ac:dyDescent="0.25">
      <c r="A428" s="5" t="str">
        <f t="shared" si="46"/>
        <v>Vĩnh Phúc</v>
      </c>
      <c r="B428" s="5">
        <f t="shared" si="46"/>
        <v>2019</v>
      </c>
      <c r="C428" s="9">
        <f t="shared" si="32"/>
        <v>1.0795419893676441</v>
      </c>
      <c r="D428" s="9">
        <f t="shared" si="33"/>
        <v>0.70178861313631191</v>
      </c>
      <c r="E428" s="9">
        <f t="shared" si="34"/>
        <v>5.0948038296655097E-2</v>
      </c>
      <c r="F428" s="9">
        <f t="shared" si="35"/>
        <v>-0.36777981201585425</v>
      </c>
      <c r="G428" s="9">
        <f t="shared" si="36"/>
        <v>0.13988891219381736</v>
      </c>
      <c r="H428" s="9">
        <f t="shared" si="37"/>
        <v>0.77812752640257099</v>
      </c>
      <c r="I428" s="9">
        <f t="shared" si="38"/>
        <v>-0.44041686424583909</v>
      </c>
      <c r="J428" s="9">
        <f t="shared" si="39"/>
        <v>0.61487490351372687</v>
      </c>
      <c r="K428" s="9">
        <f t="shared" si="40"/>
        <v>0.64379885584935381</v>
      </c>
      <c r="L428" s="5">
        <f t="shared" si="47"/>
        <v>0</v>
      </c>
      <c r="M428" s="5">
        <f t="shared" si="47"/>
        <v>0</v>
      </c>
      <c r="N428" s="5">
        <f t="shared" si="47"/>
        <v>0</v>
      </c>
      <c r="O428" s="5">
        <f t="shared" si="47"/>
        <v>0</v>
      </c>
      <c r="P428" s="5">
        <f t="shared" si="47"/>
        <v>0</v>
      </c>
    </row>
    <row r="429" spans="1:16" x14ac:dyDescent="0.25">
      <c r="A429" s="5" t="str">
        <f t="shared" si="46"/>
        <v>Yên Bái</v>
      </c>
      <c r="B429" s="5">
        <f t="shared" si="46"/>
        <v>2019</v>
      </c>
      <c r="C429" s="9">
        <f t="shared" si="32"/>
        <v>0.68186997224355783</v>
      </c>
      <c r="D429" s="9">
        <f t="shared" si="33"/>
        <v>-1.6606843430162841</v>
      </c>
      <c r="E429" s="9">
        <f t="shared" si="34"/>
        <v>-0.79732225084523323</v>
      </c>
      <c r="F429" s="9">
        <f t="shared" si="35"/>
        <v>-0.69280530886553626</v>
      </c>
      <c r="G429" s="9">
        <f t="shared" si="36"/>
        <v>-0.7214582510227181</v>
      </c>
      <c r="H429" s="9">
        <f t="shared" si="37"/>
        <v>0.24285153852044636</v>
      </c>
      <c r="I429" s="9">
        <f t="shared" si="38"/>
        <v>-0.67623823010157724</v>
      </c>
      <c r="J429" s="9">
        <f t="shared" si="39"/>
        <v>-0.84128491982610021</v>
      </c>
      <c r="K429" s="9">
        <f t="shared" si="40"/>
        <v>-1.2637370830047148</v>
      </c>
      <c r="L429" s="5">
        <f t="shared" si="47"/>
        <v>0</v>
      </c>
      <c r="M429" s="5">
        <f t="shared" si="47"/>
        <v>0</v>
      </c>
      <c r="N429" s="5">
        <f t="shared" si="47"/>
        <v>0</v>
      </c>
      <c r="O429" s="5">
        <f t="shared" si="47"/>
        <v>0</v>
      </c>
      <c r="P429" s="5">
        <f t="shared" si="47"/>
        <v>0</v>
      </c>
    </row>
    <row r="430" spans="1:16" x14ac:dyDescent="0.25">
      <c r="A430" s="5" t="str">
        <f t="shared" si="46"/>
        <v>Đà Nẵng</v>
      </c>
      <c r="B430" s="5">
        <f t="shared" si="46"/>
        <v>2019</v>
      </c>
      <c r="C430" s="9">
        <f t="shared" si="32"/>
        <v>1.468349061632775</v>
      </c>
      <c r="D430" s="9">
        <f t="shared" si="33"/>
        <v>0.58314354191210205</v>
      </c>
      <c r="E430" s="9">
        <f t="shared" si="34"/>
        <v>2.8313442932732475</v>
      </c>
      <c r="F430" s="9">
        <f t="shared" si="35"/>
        <v>3.1324947694422609</v>
      </c>
      <c r="G430" s="9">
        <f t="shared" si="36"/>
        <v>2.4329347385945947</v>
      </c>
      <c r="H430" s="9">
        <f t="shared" si="37"/>
        <v>1.136399183071592</v>
      </c>
      <c r="I430" s="9">
        <f t="shared" si="38"/>
        <v>4.3579642259268345</v>
      </c>
      <c r="J430" s="9">
        <f t="shared" si="39"/>
        <v>0.67905314404799244</v>
      </c>
      <c r="K430" s="9">
        <f t="shared" si="40"/>
        <v>3.1425593839388943</v>
      </c>
      <c r="L430" s="5">
        <f t="shared" si="47"/>
        <v>0</v>
      </c>
      <c r="M430" s="5">
        <f t="shared" si="47"/>
        <v>0</v>
      </c>
      <c r="N430" s="5">
        <f t="shared" si="47"/>
        <v>0</v>
      </c>
      <c r="O430" s="5">
        <f t="shared" si="47"/>
        <v>0</v>
      </c>
      <c r="P430" s="5">
        <f t="shared" si="47"/>
        <v>0</v>
      </c>
    </row>
    <row r="431" spans="1:16" x14ac:dyDescent="0.25">
      <c r="A431" s="5" t="str">
        <f t="shared" si="46"/>
        <v>Đắk Lắk</v>
      </c>
      <c r="B431" s="5">
        <f t="shared" si="46"/>
        <v>2019</v>
      </c>
      <c r="C431" s="9">
        <f t="shared" si="32"/>
        <v>0.80027252361983636</v>
      </c>
      <c r="D431" s="9">
        <f t="shared" si="33"/>
        <v>-1.3889630161268545</v>
      </c>
      <c r="E431" s="9">
        <f t="shared" si="34"/>
        <v>-0.5487053466104167</v>
      </c>
      <c r="F431" s="9">
        <f t="shared" si="35"/>
        <v>-0.41437437624954992</v>
      </c>
      <c r="G431" s="9">
        <f t="shared" si="36"/>
        <v>-1.0590132203913605</v>
      </c>
      <c r="H431" s="9">
        <f t="shared" si="37"/>
        <v>-0.17949932767414681</v>
      </c>
      <c r="I431" s="9">
        <f t="shared" si="38"/>
        <v>-0.6805888319845308</v>
      </c>
      <c r="J431" s="9">
        <f t="shared" si="39"/>
        <v>-1.9881807316692892</v>
      </c>
      <c r="K431" s="9">
        <f t="shared" si="40"/>
        <v>0.14181571404565152</v>
      </c>
      <c r="L431" s="5">
        <f t="shared" si="47"/>
        <v>0</v>
      </c>
      <c r="M431" s="5">
        <f t="shared" si="47"/>
        <v>0</v>
      </c>
      <c r="N431" s="5">
        <f t="shared" si="47"/>
        <v>0</v>
      </c>
      <c r="O431" s="5">
        <f t="shared" si="47"/>
        <v>0</v>
      </c>
      <c r="P431" s="5">
        <f t="shared" si="47"/>
        <v>0</v>
      </c>
    </row>
    <row r="432" spans="1:16" x14ac:dyDescent="0.25">
      <c r="A432" s="5" t="str">
        <f t="shared" si="46"/>
        <v>Đắk Nông</v>
      </c>
      <c r="B432" s="5">
        <f t="shared" si="46"/>
        <v>2019</v>
      </c>
      <c r="C432" s="9">
        <f t="shared" si="32"/>
        <v>0.64735541965872245</v>
      </c>
      <c r="D432" s="9">
        <f t="shared" si="33"/>
        <v>-1.186222607385925</v>
      </c>
      <c r="E432" s="9">
        <f t="shared" si="34"/>
        <v>-0.54585470233581612</v>
      </c>
      <c r="F432" s="9">
        <f t="shared" si="35"/>
        <v>-0.95418944968870711</v>
      </c>
      <c r="G432" s="9">
        <f t="shared" si="36"/>
        <v>-1.1172123530411264</v>
      </c>
      <c r="H432" s="9">
        <f t="shared" si="37"/>
        <v>-1.4395782896411189</v>
      </c>
      <c r="I432" s="9">
        <f t="shared" si="38"/>
        <v>-0.68157672533304003</v>
      </c>
      <c r="J432" s="9">
        <f t="shared" si="39"/>
        <v>-1.281197272734931</v>
      </c>
      <c r="K432" s="9">
        <f t="shared" si="40"/>
        <v>0.59917813213346938</v>
      </c>
      <c r="L432" s="5">
        <f t="shared" ref="L432:P441" si="48">L56</f>
        <v>0</v>
      </c>
      <c r="M432" s="5">
        <f t="shared" si="48"/>
        <v>0</v>
      </c>
      <c r="N432" s="5">
        <f t="shared" si="48"/>
        <v>0</v>
      </c>
      <c r="O432" s="5">
        <f t="shared" si="48"/>
        <v>0</v>
      </c>
      <c r="P432" s="5">
        <f t="shared" si="48"/>
        <v>0</v>
      </c>
    </row>
    <row r="433" spans="1:16" x14ac:dyDescent="0.25">
      <c r="A433" s="5" t="str">
        <f t="shared" si="46"/>
        <v>Đồng Nai</v>
      </c>
      <c r="B433" s="5">
        <f t="shared" si="46"/>
        <v>2019</v>
      </c>
      <c r="C433" s="9">
        <f t="shared" si="32"/>
        <v>1.3201870655729819</v>
      </c>
      <c r="D433" s="9">
        <f t="shared" si="33"/>
        <v>0.88070042086949663</v>
      </c>
      <c r="E433" s="9">
        <f t="shared" si="34"/>
        <v>0.26922594275179279</v>
      </c>
      <c r="F433" s="9">
        <f t="shared" si="35"/>
        <v>0.68343901520776829</v>
      </c>
      <c r="G433" s="9">
        <f t="shared" si="36"/>
        <v>-0.43046258777388846</v>
      </c>
      <c r="H433" s="9">
        <f t="shared" si="37"/>
        <v>0.37483671872100977</v>
      </c>
      <c r="I433" s="9">
        <f t="shared" si="38"/>
        <v>-0.60222381614537135</v>
      </c>
      <c r="J433" s="9">
        <f t="shared" si="39"/>
        <v>1.1553562690159893</v>
      </c>
      <c r="K433" s="9">
        <f t="shared" si="40"/>
        <v>0.13066053311668058</v>
      </c>
      <c r="L433" s="5">
        <f t="shared" si="48"/>
        <v>0</v>
      </c>
      <c r="M433" s="5">
        <f t="shared" si="48"/>
        <v>0</v>
      </c>
      <c r="N433" s="5">
        <f t="shared" si="48"/>
        <v>0</v>
      </c>
      <c r="O433" s="5">
        <f t="shared" si="48"/>
        <v>0</v>
      </c>
      <c r="P433" s="5">
        <f t="shared" si="48"/>
        <v>0</v>
      </c>
    </row>
    <row r="434" spans="1:16" x14ac:dyDescent="0.25">
      <c r="A434" s="5" t="str">
        <f t="shared" si="46"/>
        <v>Đồng Tháp</v>
      </c>
      <c r="B434" s="5">
        <f t="shared" si="46"/>
        <v>2019</v>
      </c>
      <c r="C434" s="9">
        <f t="shared" si="32"/>
        <v>0.77260019084178022</v>
      </c>
      <c r="D434" s="9">
        <f t="shared" si="33"/>
        <v>-0.89826245808119198</v>
      </c>
      <c r="E434" s="9">
        <f t="shared" si="34"/>
        <v>-0.76189281486091054</v>
      </c>
      <c r="F434" s="9">
        <f t="shared" si="35"/>
        <v>-0.73712696752685669</v>
      </c>
      <c r="G434" s="9">
        <f t="shared" si="36"/>
        <v>-1.1870513122208455</v>
      </c>
      <c r="H434" s="9">
        <f t="shared" si="37"/>
        <v>-2.0346792380872687</v>
      </c>
      <c r="I434" s="9">
        <f t="shared" si="38"/>
        <v>-0.61441825193124522</v>
      </c>
      <c r="J434" s="9">
        <f t="shared" si="39"/>
        <v>-1.8247294130082683</v>
      </c>
      <c r="K434" s="9">
        <f t="shared" si="40"/>
        <v>-0.2039948947524543</v>
      </c>
      <c r="L434" s="5">
        <f t="shared" si="48"/>
        <v>0</v>
      </c>
      <c r="M434" s="5">
        <f t="shared" si="48"/>
        <v>0</v>
      </c>
      <c r="N434" s="5">
        <f t="shared" si="48"/>
        <v>0</v>
      </c>
      <c r="O434" s="5">
        <f t="shared" si="48"/>
        <v>0</v>
      </c>
      <c r="P434" s="5">
        <f t="shared" si="48"/>
        <v>0</v>
      </c>
    </row>
    <row r="435" spans="1:16" x14ac:dyDescent="0.25">
      <c r="A435" s="5" t="str">
        <f t="shared" si="46"/>
        <v>An Giang</v>
      </c>
      <c r="B435" s="5">
        <f t="shared" si="46"/>
        <v>2020</v>
      </c>
      <c r="C435" s="9">
        <f t="shared" si="32"/>
        <v>0.93450547537732709</v>
      </c>
      <c r="D435" s="9">
        <f t="shared" si="33"/>
        <v>-1.1306895260069396</v>
      </c>
      <c r="E435" s="9">
        <f t="shared" si="34"/>
        <v>-0.68288924496483461</v>
      </c>
      <c r="F435" s="9">
        <f t="shared" si="35"/>
        <v>-2.5139296980262692E-2</v>
      </c>
      <c r="G435" s="9">
        <f t="shared" si="36"/>
        <v>-1.1404920061010326</v>
      </c>
      <c r="H435" s="9">
        <f t="shared" si="37"/>
        <v>-1.015336246068677</v>
      </c>
      <c r="I435" s="9">
        <f t="shared" si="38"/>
        <v>-0.68706078481800348</v>
      </c>
      <c r="J435" s="9">
        <f t="shared" si="39"/>
        <v>-1.630599291245088</v>
      </c>
      <c r="K435" s="9">
        <f t="shared" si="40"/>
        <v>-0.41594333240290665</v>
      </c>
      <c r="L435" s="5">
        <f t="shared" si="48"/>
        <v>1</v>
      </c>
      <c r="M435" s="5">
        <f t="shared" si="48"/>
        <v>0</v>
      </c>
      <c r="N435" s="5">
        <f t="shared" si="48"/>
        <v>0</v>
      </c>
      <c r="O435" s="5">
        <f t="shared" si="48"/>
        <v>0</v>
      </c>
      <c r="P435" s="5">
        <f t="shared" si="48"/>
        <v>0</v>
      </c>
    </row>
    <row r="436" spans="1:16" x14ac:dyDescent="0.25">
      <c r="A436" s="5" t="str">
        <f t="shared" si="46"/>
        <v>Bà Rịa - Vũng Tàu</v>
      </c>
      <c r="B436" s="5">
        <f t="shared" si="46"/>
        <v>2020</v>
      </c>
      <c r="C436" s="9">
        <f t="shared" si="32"/>
        <v>1.2340238928421405</v>
      </c>
      <c r="D436" s="9">
        <f t="shared" si="33"/>
        <v>2.7856241630445715</v>
      </c>
      <c r="E436" s="9">
        <f t="shared" si="34"/>
        <v>0.71290836234857025</v>
      </c>
      <c r="F436" s="9">
        <f t="shared" si="35"/>
        <v>1.4505446458844655</v>
      </c>
      <c r="G436" s="9">
        <f t="shared" si="36"/>
        <v>0.7451598917513832</v>
      </c>
      <c r="H436" s="9">
        <f t="shared" si="37"/>
        <v>-0.54074966930584101</v>
      </c>
      <c r="I436" s="9">
        <f t="shared" si="38"/>
        <v>-3.4422301535858978E-2</v>
      </c>
      <c r="J436" s="9">
        <f t="shared" si="39"/>
        <v>1.8291711660174297</v>
      </c>
      <c r="K436" s="9">
        <f t="shared" si="40"/>
        <v>0.45416078005684418</v>
      </c>
      <c r="L436" s="5">
        <f t="shared" si="48"/>
        <v>1</v>
      </c>
      <c r="M436" s="5">
        <f t="shared" si="48"/>
        <v>0</v>
      </c>
      <c r="N436" s="5">
        <f t="shared" si="48"/>
        <v>0</v>
      </c>
      <c r="O436" s="5">
        <f t="shared" si="48"/>
        <v>0</v>
      </c>
      <c r="P436" s="5">
        <f t="shared" si="48"/>
        <v>0</v>
      </c>
    </row>
    <row r="437" spans="1:16" x14ac:dyDescent="0.25">
      <c r="A437" s="5" t="str">
        <f t="shared" si="46"/>
        <v>Bình Dương</v>
      </c>
      <c r="B437" s="5">
        <f t="shared" si="46"/>
        <v>2020</v>
      </c>
      <c r="C437" s="9">
        <f t="shared" si="32"/>
        <v>1.4038717248368946</v>
      </c>
      <c r="D437" s="9">
        <f t="shared" si="33"/>
        <v>1.5947089197606679</v>
      </c>
      <c r="E437" s="9">
        <f t="shared" si="34"/>
        <v>1.5532375710112138</v>
      </c>
      <c r="F437" s="9">
        <f t="shared" si="35"/>
        <v>2.9762325113414523</v>
      </c>
      <c r="G437" s="9">
        <f t="shared" si="36"/>
        <v>-0.41882276124393514</v>
      </c>
      <c r="H437" s="9">
        <f t="shared" si="37"/>
        <v>0.80647636023370806</v>
      </c>
      <c r="I437" s="9">
        <f t="shared" si="38"/>
        <v>-0.53736837553757177</v>
      </c>
      <c r="J437" s="9">
        <f t="shared" si="39"/>
        <v>1.3997321225452997</v>
      </c>
      <c r="K437" s="9">
        <f t="shared" si="40"/>
        <v>7.9535428979976338E-3</v>
      </c>
      <c r="L437" s="5">
        <f t="shared" si="48"/>
        <v>1</v>
      </c>
      <c r="M437" s="5">
        <f t="shared" si="48"/>
        <v>0</v>
      </c>
      <c r="N437" s="5">
        <f t="shared" si="48"/>
        <v>0</v>
      </c>
      <c r="O437" s="5">
        <f t="shared" si="48"/>
        <v>0</v>
      </c>
      <c r="P437" s="5">
        <f t="shared" si="48"/>
        <v>0</v>
      </c>
    </row>
    <row r="438" spans="1:16" x14ac:dyDescent="0.25">
      <c r="A438" s="5" t="str">
        <f t="shared" si="46"/>
        <v>Bình Phước</v>
      </c>
      <c r="B438" s="5">
        <f t="shared" si="46"/>
        <v>2020</v>
      </c>
      <c r="C438" s="9">
        <f t="shared" si="32"/>
        <v>0.55246453610540969</v>
      </c>
      <c r="D438" s="9">
        <f t="shared" si="33"/>
        <v>-0.26244515442279537</v>
      </c>
      <c r="E438" s="9">
        <f t="shared" si="34"/>
        <v>-2.1132538361104992E-2</v>
      </c>
      <c r="F438" s="9">
        <f t="shared" si="35"/>
        <v>-0.45471845015921314</v>
      </c>
      <c r="G438" s="9">
        <f t="shared" si="36"/>
        <v>-0.65161929184299883</v>
      </c>
      <c r="H438" s="9">
        <f t="shared" si="37"/>
        <v>-1.3914149880462263</v>
      </c>
      <c r="I438" s="9">
        <f t="shared" si="38"/>
        <v>-0.19234388077201586</v>
      </c>
      <c r="J438" s="9">
        <f t="shared" si="39"/>
        <v>0.41195346054418935</v>
      </c>
      <c r="K438" s="9">
        <f t="shared" si="40"/>
        <v>-0.103598266391714</v>
      </c>
      <c r="L438" s="5">
        <f t="shared" si="48"/>
        <v>1</v>
      </c>
      <c r="M438" s="5">
        <f t="shared" si="48"/>
        <v>0</v>
      </c>
      <c r="N438" s="5">
        <f t="shared" si="48"/>
        <v>0</v>
      </c>
      <c r="O438" s="5">
        <f t="shared" si="48"/>
        <v>0</v>
      </c>
      <c r="P438" s="5">
        <f t="shared" si="48"/>
        <v>0</v>
      </c>
    </row>
    <row r="439" spans="1:16" x14ac:dyDescent="0.25">
      <c r="A439" s="5" t="str">
        <f t="shared" si="46"/>
        <v>Bình Thuận</v>
      </c>
      <c r="B439" s="5">
        <f t="shared" si="46"/>
        <v>2020</v>
      </c>
      <c r="C439" s="9">
        <f t="shared" si="32"/>
        <v>0.85402120727577924</v>
      </c>
      <c r="D439" s="9">
        <f t="shared" si="33"/>
        <v>-0.2114999561661044</v>
      </c>
      <c r="E439" s="9">
        <f t="shared" si="34"/>
        <v>-0.33775767028996645</v>
      </c>
      <c r="F439" s="9">
        <f t="shared" si="35"/>
        <v>0.34420785853073993</v>
      </c>
      <c r="G439" s="9">
        <f t="shared" si="36"/>
        <v>-0.93097512856187548</v>
      </c>
      <c r="H439" s="9">
        <f t="shared" si="37"/>
        <v>-0.74556938161259056</v>
      </c>
      <c r="I439" s="9">
        <f t="shared" si="38"/>
        <v>-0.80749395789057354</v>
      </c>
      <c r="J439" s="9">
        <f t="shared" si="39"/>
        <v>0.38013983017850544</v>
      </c>
      <c r="K439" s="9">
        <f t="shared" si="40"/>
        <v>-0.22630525661039655</v>
      </c>
      <c r="L439" s="5">
        <f t="shared" si="48"/>
        <v>1</v>
      </c>
      <c r="M439" s="5">
        <f t="shared" si="48"/>
        <v>0</v>
      </c>
      <c r="N439" s="5">
        <f t="shared" si="48"/>
        <v>0</v>
      </c>
      <c r="O439" s="5">
        <f t="shared" si="48"/>
        <v>0</v>
      </c>
      <c r="P439" s="5">
        <f t="shared" si="48"/>
        <v>0</v>
      </c>
    </row>
    <row r="440" spans="1:16" x14ac:dyDescent="0.25">
      <c r="A440" s="5" t="str">
        <f t="shared" si="46"/>
        <v>Bình Định</v>
      </c>
      <c r="B440" s="5">
        <f t="shared" si="46"/>
        <v>2020</v>
      </c>
      <c r="C440" s="9">
        <f t="shared" si="32"/>
        <v>1.0438520476940945</v>
      </c>
      <c r="D440" s="9">
        <f t="shared" si="33"/>
        <v>-0.53926265380676142</v>
      </c>
      <c r="E440" s="9">
        <f t="shared" si="34"/>
        <v>-0.2728037043187081</v>
      </c>
      <c r="F440" s="9">
        <f t="shared" si="35"/>
        <v>0.47092234419066831</v>
      </c>
      <c r="G440" s="9">
        <f t="shared" si="36"/>
        <v>-0.22094571023473109</v>
      </c>
      <c r="H440" s="9">
        <f t="shared" si="37"/>
        <v>0.49101135128381174</v>
      </c>
      <c r="I440" s="9">
        <f t="shared" si="38"/>
        <v>-0.41858960150498137</v>
      </c>
      <c r="J440" s="9">
        <f t="shared" si="39"/>
        <v>-0.56234922236626073</v>
      </c>
      <c r="K440" s="9">
        <f t="shared" si="40"/>
        <v>0.28683306612227671</v>
      </c>
      <c r="L440" s="5">
        <f t="shared" si="48"/>
        <v>1</v>
      </c>
      <c r="M440" s="5">
        <f t="shared" si="48"/>
        <v>0</v>
      </c>
      <c r="N440" s="5">
        <f t="shared" si="48"/>
        <v>0</v>
      </c>
      <c r="O440" s="5">
        <f t="shared" si="48"/>
        <v>0</v>
      </c>
      <c r="P440" s="5">
        <f t="shared" si="48"/>
        <v>0</v>
      </c>
    </row>
    <row r="441" spans="1:16" x14ac:dyDescent="0.25">
      <c r="A441" s="5" t="str">
        <f t="shared" si="46"/>
        <v>Bắc Giang</v>
      </c>
      <c r="B441" s="5">
        <f t="shared" si="46"/>
        <v>2020</v>
      </c>
      <c r="C441" s="9">
        <f t="shared" si="32"/>
        <v>1.0891190292671731</v>
      </c>
      <c r="D441" s="9">
        <f t="shared" si="33"/>
        <v>-0.33569777115031407</v>
      </c>
      <c r="E441" s="9">
        <f t="shared" si="34"/>
        <v>-0.47133071629982687</v>
      </c>
      <c r="F441" s="9">
        <f t="shared" si="35"/>
        <v>-0.78940379569149077</v>
      </c>
      <c r="G441" s="9">
        <f t="shared" si="36"/>
        <v>-0.45374224083379477</v>
      </c>
      <c r="H441" s="9">
        <f t="shared" si="37"/>
        <v>0.18514934910188166</v>
      </c>
      <c r="I441" s="9">
        <f t="shared" si="38"/>
        <v>-0.36850047027742083</v>
      </c>
      <c r="J441" s="9">
        <f t="shared" si="39"/>
        <v>0.53189155499746654</v>
      </c>
      <c r="K441" s="9">
        <f t="shared" si="40"/>
        <v>-0.48287441797673342</v>
      </c>
      <c r="L441" s="5">
        <f t="shared" si="48"/>
        <v>1</v>
      </c>
      <c r="M441" s="5">
        <f t="shared" si="48"/>
        <v>0</v>
      </c>
      <c r="N441" s="5">
        <f t="shared" si="48"/>
        <v>0</v>
      </c>
      <c r="O441" s="5">
        <f t="shared" si="48"/>
        <v>0</v>
      </c>
      <c r="P441" s="5">
        <f t="shared" si="48"/>
        <v>0</v>
      </c>
    </row>
    <row r="442" spans="1:16" x14ac:dyDescent="0.25">
      <c r="A442" s="5" t="str">
        <f t="shared" ref="A442:B461" si="49">A66</f>
        <v>Bắc Kạn</v>
      </c>
      <c r="B442" s="5">
        <f t="shared" si="49"/>
        <v>2020</v>
      </c>
      <c r="C442" s="9">
        <f t="shared" si="32"/>
        <v>0.46066142303000657</v>
      </c>
      <c r="D442" s="9">
        <f t="shared" si="33"/>
        <v>-1.4226549997293898</v>
      </c>
      <c r="E442" s="9">
        <f t="shared" si="34"/>
        <v>-0.80811397559907872</v>
      </c>
      <c r="F442" s="9">
        <f t="shared" si="35"/>
        <v>-0.53654305076472764</v>
      </c>
      <c r="G442" s="9">
        <f t="shared" si="36"/>
        <v>-0.8611361693821562</v>
      </c>
      <c r="H442" s="9">
        <f t="shared" si="37"/>
        <v>-1.1082746764060936</v>
      </c>
      <c r="I442" s="9">
        <f t="shared" si="38"/>
        <v>-0.30494226916490036</v>
      </c>
      <c r="J442" s="9">
        <f t="shared" si="39"/>
        <v>-2.8923538483155888</v>
      </c>
      <c r="K442" s="9">
        <f t="shared" si="40"/>
        <v>-0.62789177005335861</v>
      </c>
      <c r="L442" s="5">
        <f t="shared" ref="L442:P451" si="50">L66</f>
        <v>1</v>
      </c>
      <c r="M442" s="5">
        <f t="shared" si="50"/>
        <v>0</v>
      </c>
      <c r="N442" s="5">
        <f t="shared" si="50"/>
        <v>0</v>
      </c>
      <c r="O442" s="5">
        <f t="shared" si="50"/>
        <v>0</v>
      </c>
      <c r="P442" s="5">
        <f t="shared" si="50"/>
        <v>0</v>
      </c>
    </row>
    <row r="443" spans="1:16" x14ac:dyDescent="0.25">
      <c r="A443" s="5" t="str">
        <f t="shared" si="49"/>
        <v>Bắc Ninh</v>
      </c>
      <c r="B443" s="5">
        <f t="shared" si="49"/>
        <v>2020</v>
      </c>
      <c r="C443" s="9">
        <f t="shared" si="32"/>
        <v>1.3574189626621436</v>
      </c>
      <c r="D443" s="9">
        <f t="shared" si="33"/>
        <v>1.544746890855097</v>
      </c>
      <c r="E443" s="9">
        <f t="shared" si="34"/>
        <v>0.63675543672709478</v>
      </c>
      <c r="F443" s="9">
        <f t="shared" si="35"/>
        <v>-3.1958013697388946E-2</v>
      </c>
      <c r="G443" s="9">
        <f t="shared" si="36"/>
        <v>0.47744388156245993</v>
      </c>
      <c r="H443" s="9">
        <f t="shared" si="37"/>
        <v>0.33277495711605765</v>
      </c>
      <c r="I443" s="9">
        <f t="shared" si="38"/>
        <v>0.63258099296738135</v>
      </c>
      <c r="J443" s="9">
        <f t="shared" si="39"/>
        <v>1.3721107764089364</v>
      </c>
      <c r="K443" s="9">
        <f t="shared" si="40"/>
        <v>0.77766102699700812</v>
      </c>
      <c r="L443" s="5">
        <f t="shared" si="50"/>
        <v>1</v>
      </c>
      <c r="M443" s="5">
        <f t="shared" si="50"/>
        <v>0</v>
      </c>
      <c r="N443" s="5">
        <f t="shared" si="50"/>
        <v>0</v>
      </c>
      <c r="O443" s="5">
        <f t="shared" si="50"/>
        <v>0</v>
      </c>
      <c r="P443" s="5">
        <f t="shared" si="50"/>
        <v>0</v>
      </c>
    </row>
    <row r="444" spans="1:16" x14ac:dyDescent="0.25">
      <c r="A444" s="5" t="str">
        <f t="shared" si="49"/>
        <v>Bến Tre</v>
      </c>
      <c r="B444" s="5">
        <f t="shared" si="49"/>
        <v>2020</v>
      </c>
      <c r="C444" s="9">
        <f t="shared" si="32"/>
        <v>1.0827416551138942</v>
      </c>
      <c r="D444" s="9">
        <f t="shared" si="33"/>
        <v>-1.3778399988434804</v>
      </c>
      <c r="E444" s="9">
        <f t="shared" si="34"/>
        <v>-0.6712830504182461</v>
      </c>
      <c r="F444" s="9">
        <f t="shared" si="35"/>
        <v>-1.2633046075317615</v>
      </c>
      <c r="G444" s="9">
        <f t="shared" si="36"/>
        <v>-1.2918097509904241</v>
      </c>
      <c r="H444" s="9">
        <f t="shared" si="37"/>
        <v>-1.498576283913704</v>
      </c>
      <c r="I444" s="9">
        <f t="shared" si="38"/>
        <v>-0.69374354459763099</v>
      </c>
      <c r="J444" s="9">
        <f t="shared" si="39"/>
        <v>-0.21101998571953812</v>
      </c>
      <c r="K444" s="9">
        <f t="shared" si="40"/>
        <v>-0.8509953886327819</v>
      </c>
      <c r="L444" s="5">
        <f t="shared" si="50"/>
        <v>1</v>
      </c>
      <c r="M444" s="5">
        <f t="shared" si="50"/>
        <v>0</v>
      </c>
      <c r="N444" s="5">
        <f t="shared" si="50"/>
        <v>0</v>
      </c>
      <c r="O444" s="5">
        <f t="shared" si="50"/>
        <v>0</v>
      </c>
      <c r="P444" s="5">
        <f t="shared" si="50"/>
        <v>0</v>
      </c>
    </row>
    <row r="445" spans="1:16" x14ac:dyDescent="0.25">
      <c r="A445" s="5" t="str">
        <f t="shared" si="49"/>
        <v>Cà Mau</v>
      </c>
      <c r="B445" s="5">
        <f t="shared" si="49"/>
        <v>2020</v>
      </c>
      <c r="C445" s="9">
        <f t="shared" si="32"/>
        <v>0.4903104951809848</v>
      </c>
      <c r="D445" s="9">
        <f t="shared" si="33"/>
        <v>-0.91184403231376188</v>
      </c>
      <c r="E445" s="9">
        <f t="shared" si="34"/>
        <v>-0.58596733962841141</v>
      </c>
      <c r="F445" s="9">
        <f t="shared" si="35"/>
        <v>-0.52972433404760133</v>
      </c>
      <c r="G445" s="9">
        <f t="shared" si="36"/>
        <v>-1.2452504448706114</v>
      </c>
      <c r="H445" s="9">
        <f t="shared" si="37"/>
        <v>-3.1449924881154048</v>
      </c>
      <c r="I445" s="9">
        <f t="shared" si="38"/>
        <v>-0.52827464074500596</v>
      </c>
      <c r="J445" s="9">
        <f t="shared" si="39"/>
        <v>-1.7108615713218229</v>
      </c>
      <c r="K445" s="9">
        <f t="shared" si="40"/>
        <v>-0.62789177005335861</v>
      </c>
      <c r="L445" s="5">
        <f t="shared" si="50"/>
        <v>1</v>
      </c>
      <c r="M445" s="5">
        <f t="shared" si="50"/>
        <v>0</v>
      </c>
      <c r="N445" s="5">
        <f t="shared" si="50"/>
        <v>0</v>
      </c>
      <c r="O445" s="5">
        <f t="shared" si="50"/>
        <v>0</v>
      </c>
      <c r="P445" s="5">
        <f t="shared" si="50"/>
        <v>0</v>
      </c>
    </row>
    <row r="446" spans="1:16" x14ac:dyDescent="0.25">
      <c r="A446" s="5" t="str">
        <f t="shared" si="49"/>
        <v>Cần Thơ</v>
      </c>
      <c r="B446" s="5">
        <f t="shared" si="49"/>
        <v>2020</v>
      </c>
      <c r="C446" s="9">
        <f t="shared" ref="C446:C509" si="51">STANDARDIZE(C70,AVERAGE($C$6:$C$336),_xlfn.STDEV.S($C$6:$C$336))</f>
        <v>1.2397465038429274</v>
      </c>
      <c r="D446" s="9">
        <f t="shared" ref="D446:D509" si="52">STANDARDIZE(D70,AVERAGE($D$6:$D$336),_xlfn.STDEV.S($D$6:$D$336))</f>
        <v>-0.106410598068235</v>
      </c>
      <c r="E446" s="9">
        <f t="shared" ref="E446:E509" si="53">STANDARDIZE(E70,AVERAGE($E$6:$E$336),_xlfn.STDEV.S($E$6:$E$336))</f>
        <v>0.29610344591231358</v>
      </c>
      <c r="F446" s="9">
        <f t="shared" ref="F446:F509" si="54">STANDARDIZE(F70,AVERAGE($F$6:$F$336),_xlfn.STDEV.S($F$6:$F$336))</f>
        <v>2.158554731679402</v>
      </c>
      <c r="G446" s="9">
        <f t="shared" ref="G446:G509" si="55">STANDARDIZE(G70,AVERAGE($G$6:$G$336),_xlfn.STDEV.S($G$6:$G$336))</f>
        <v>-0.36062362859416919</v>
      </c>
      <c r="H446" s="9">
        <f t="shared" ref="H446:H509" si="56">STANDARDIZE(H70,AVERAGE($H$6:$H$336),_xlfn.STDEV.S($H$6:$H$336))</f>
        <v>-1.5927959577541757</v>
      </c>
      <c r="I446" s="9">
        <f t="shared" ref="I446:I509" si="57">STANDARDIZE(I70,AVERAGE($I$6:$I$336),_xlfn.STDEV.S($I$6:$I$336))</f>
        <v>3.4586781848191694E-2</v>
      </c>
      <c r="J446" s="9">
        <f t="shared" ref="J446:J509" si="58">STANDARDIZE(J70,AVERAGE($J$6:$J$336),_xlfn.STDEV.S($J$6:$J$336))</f>
        <v>-0.69457345496168621</v>
      </c>
      <c r="K446" s="9">
        <f t="shared" ref="K446:K509" si="59">STANDARDIZE(K70,AVERAGE($K$6:$K$336),_xlfn.STDEV.S($K$6:$K$336))</f>
        <v>0.27567788519330577</v>
      </c>
      <c r="L446" s="5">
        <f t="shared" si="50"/>
        <v>1</v>
      </c>
      <c r="M446" s="5">
        <f t="shared" si="50"/>
        <v>0</v>
      </c>
      <c r="N446" s="5">
        <f t="shared" si="50"/>
        <v>0</v>
      </c>
      <c r="O446" s="5">
        <f t="shared" si="50"/>
        <v>0</v>
      </c>
      <c r="P446" s="5">
        <f t="shared" si="50"/>
        <v>0</v>
      </c>
    </row>
    <row r="447" spans="1:16" x14ac:dyDescent="0.25">
      <c r="A447" s="5" t="str">
        <f t="shared" si="49"/>
        <v>Gia Lai</v>
      </c>
      <c r="B447" s="5">
        <f t="shared" si="49"/>
        <v>2020</v>
      </c>
      <c r="C447" s="9">
        <f t="shared" si="51"/>
        <v>0.66471955488255097</v>
      </c>
      <c r="D447" s="9">
        <f t="shared" si="52"/>
        <v>-1.3393232757675235</v>
      </c>
      <c r="E447" s="9">
        <f t="shared" si="53"/>
        <v>-0.60083141334597212</v>
      </c>
      <c r="F447" s="9">
        <f t="shared" si="54"/>
        <v>-0.17174170639847586</v>
      </c>
      <c r="G447" s="9">
        <f t="shared" si="55"/>
        <v>-1.0240937408015007</v>
      </c>
      <c r="H447" s="9">
        <f t="shared" si="56"/>
        <v>0.34859405044558767</v>
      </c>
      <c r="I447" s="9">
        <f t="shared" si="57"/>
        <v>-2.4108793122109222E-2</v>
      </c>
      <c r="J447" s="9">
        <f t="shared" si="58"/>
        <v>-3.1597591287635072</v>
      </c>
      <c r="K447" s="9">
        <f t="shared" si="59"/>
        <v>-0.59442622726644501</v>
      </c>
      <c r="L447" s="5">
        <f t="shared" si="50"/>
        <v>1</v>
      </c>
      <c r="M447" s="5">
        <f t="shared" si="50"/>
        <v>0</v>
      </c>
      <c r="N447" s="5">
        <f t="shared" si="50"/>
        <v>0</v>
      </c>
      <c r="O447" s="5">
        <f t="shared" si="50"/>
        <v>0</v>
      </c>
      <c r="P447" s="5">
        <f t="shared" si="50"/>
        <v>0</v>
      </c>
    </row>
    <row r="448" spans="1:16" x14ac:dyDescent="0.25">
      <c r="A448" s="5" t="str">
        <f t="shared" si="49"/>
        <v>Hà Nam</v>
      </c>
      <c r="B448" s="5">
        <f t="shared" si="49"/>
        <v>2020</v>
      </c>
      <c r="C448" s="9">
        <f t="shared" si="51"/>
        <v>1.0306438557196298</v>
      </c>
      <c r="D448" s="9">
        <f t="shared" si="52"/>
        <v>-0.20144353308412671</v>
      </c>
      <c r="E448" s="9">
        <f t="shared" si="53"/>
        <v>-0.13291851741508892</v>
      </c>
      <c r="F448" s="9">
        <f t="shared" si="54"/>
        <v>-0.23992887356973802</v>
      </c>
      <c r="G448" s="9">
        <f t="shared" si="55"/>
        <v>-0.18602623064487145</v>
      </c>
      <c r="H448" s="9">
        <f t="shared" si="56"/>
        <v>0.37941592958080927</v>
      </c>
      <c r="I448" s="9">
        <f t="shared" si="57"/>
        <v>-0.13410747851796517</v>
      </c>
      <c r="J448" s="9">
        <f t="shared" si="58"/>
        <v>0.67952596196412385</v>
      </c>
      <c r="K448" s="9">
        <f t="shared" si="59"/>
        <v>-0.2039948947524543</v>
      </c>
      <c r="L448" s="5">
        <f t="shared" si="50"/>
        <v>1</v>
      </c>
      <c r="M448" s="5">
        <f t="shared" si="50"/>
        <v>0</v>
      </c>
      <c r="N448" s="5">
        <f t="shared" si="50"/>
        <v>0</v>
      </c>
      <c r="O448" s="5">
        <f t="shared" si="50"/>
        <v>0</v>
      </c>
      <c r="P448" s="5">
        <f t="shared" si="50"/>
        <v>0</v>
      </c>
    </row>
    <row r="449" spans="1:16" x14ac:dyDescent="0.25">
      <c r="A449" s="5" t="str">
        <f t="shared" si="49"/>
        <v>Hà Nội</v>
      </c>
      <c r="B449" s="5">
        <f t="shared" si="49"/>
        <v>2020</v>
      </c>
      <c r="C449" s="9">
        <f t="shared" si="51"/>
        <v>2.0244317204858593</v>
      </c>
      <c r="D449" s="9">
        <f t="shared" si="52"/>
        <v>1.1331804164115291</v>
      </c>
      <c r="E449" s="9">
        <f t="shared" si="53"/>
        <v>2.9003706082082212</v>
      </c>
      <c r="F449" s="9">
        <f t="shared" si="54"/>
        <v>0.97834851322347627</v>
      </c>
      <c r="G449" s="9">
        <f t="shared" si="55"/>
        <v>2.8868879732627688</v>
      </c>
      <c r="H449" s="9">
        <f t="shared" si="56"/>
        <v>0.39071077353156147</v>
      </c>
      <c r="I449" s="9">
        <f t="shared" si="57"/>
        <v>0.48310671915564873</v>
      </c>
      <c r="J449" s="9">
        <f t="shared" si="58"/>
        <v>0.61429340062146309</v>
      </c>
      <c r="K449" s="9">
        <f t="shared" si="59"/>
        <v>2.8859902225725578</v>
      </c>
      <c r="L449" s="5">
        <f t="shared" si="50"/>
        <v>1</v>
      </c>
      <c r="M449" s="5">
        <f t="shared" si="50"/>
        <v>0</v>
      </c>
      <c r="N449" s="5">
        <f t="shared" si="50"/>
        <v>0</v>
      </c>
      <c r="O449" s="5">
        <f t="shared" si="50"/>
        <v>0</v>
      </c>
      <c r="P449" s="5">
        <f t="shared" si="50"/>
        <v>0</v>
      </c>
    </row>
    <row r="450" spans="1:16" x14ac:dyDescent="0.25">
      <c r="A450" s="5" t="str">
        <f t="shared" si="49"/>
        <v>Hà Tĩnh</v>
      </c>
      <c r="B450" s="5">
        <f t="shared" si="49"/>
        <v>2020</v>
      </c>
      <c r="C450" s="9">
        <f t="shared" si="51"/>
        <v>0.82356198753207832</v>
      </c>
      <c r="D450" s="9">
        <f t="shared" si="52"/>
        <v>-0.40767584827183106</v>
      </c>
      <c r="E450" s="9">
        <f t="shared" si="53"/>
        <v>-0.43590128031550412</v>
      </c>
      <c r="F450" s="9">
        <f t="shared" si="54"/>
        <v>-0.55870388009538774</v>
      </c>
      <c r="G450" s="9">
        <f t="shared" si="55"/>
        <v>0.23300752443344291</v>
      </c>
      <c r="H450" s="9">
        <f t="shared" si="56"/>
        <v>0.91670892692775696</v>
      </c>
      <c r="I450" s="9">
        <f t="shared" si="57"/>
        <v>-0.75695688880682543</v>
      </c>
      <c r="J450" s="9">
        <f t="shared" si="58"/>
        <v>1.0881706222921108</v>
      </c>
      <c r="K450" s="9">
        <f t="shared" si="59"/>
        <v>-0.40478815147393532</v>
      </c>
      <c r="L450" s="5">
        <f t="shared" si="50"/>
        <v>1</v>
      </c>
      <c r="M450" s="5">
        <f t="shared" si="50"/>
        <v>0</v>
      </c>
      <c r="N450" s="5">
        <f t="shared" si="50"/>
        <v>0</v>
      </c>
      <c r="O450" s="5">
        <f t="shared" si="50"/>
        <v>0</v>
      </c>
      <c r="P450" s="5">
        <f t="shared" si="50"/>
        <v>0</v>
      </c>
    </row>
    <row r="451" spans="1:16" x14ac:dyDescent="0.25">
      <c r="A451" s="5" t="str">
        <f t="shared" si="49"/>
        <v>Hòa Bình</v>
      </c>
      <c r="B451" s="5">
        <f t="shared" si="49"/>
        <v>2020</v>
      </c>
      <c r="C451" s="9">
        <f t="shared" si="51"/>
        <v>0.71138446968582736</v>
      </c>
      <c r="D451" s="9">
        <f t="shared" si="52"/>
        <v>-0.63400063290691033</v>
      </c>
      <c r="E451" s="9">
        <f t="shared" si="53"/>
        <v>-0.61284484278893203</v>
      </c>
      <c r="F451" s="9">
        <f t="shared" si="54"/>
        <v>-0.46494652523490243</v>
      </c>
      <c r="G451" s="9">
        <f t="shared" si="55"/>
        <v>-0.59342015919323288</v>
      </c>
      <c r="H451" s="9">
        <f t="shared" si="56"/>
        <v>-3.0808529220695831E-2</v>
      </c>
      <c r="I451" s="9">
        <f t="shared" si="57"/>
        <v>-0.22680965235684755</v>
      </c>
      <c r="J451" s="9">
        <f t="shared" si="58"/>
        <v>-0.47021780104843075</v>
      </c>
      <c r="K451" s="9">
        <f t="shared" si="59"/>
        <v>-0.86215056956175296</v>
      </c>
      <c r="L451" s="5">
        <f t="shared" si="50"/>
        <v>1</v>
      </c>
      <c r="M451" s="5">
        <f t="shared" si="50"/>
        <v>0</v>
      </c>
      <c r="N451" s="5">
        <f t="shared" si="50"/>
        <v>0</v>
      </c>
      <c r="O451" s="5">
        <f t="shared" si="50"/>
        <v>0</v>
      </c>
      <c r="P451" s="5">
        <f t="shared" si="50"/>
        <v>0</v>
      </c>
    </row>
    <row r="452" spans="1:16" x14ac:dyDescent="0.25">
      <c r="A452" s="5" t="str">
        <f t="shared" si="49"/>
        <v>Hưng Yên</v>
      </c>
      <c r="B452" s="5">
        <f t="shared" si="49"/>
        <v>2020</v>
      </c>
      <c r="C452" s="9">
        <f t="shared" si="51"/>
        <v>1.0438520476940945</v>
      </c>
      <c r="D452" s="9">
        <f t="shared" si="52"/>
        <v>9.6400379274876394E-2</v>
      </c>
      <c r="E452" s="9">
        <f t="shared" si="53"/>
        <v>3.5065877338165533E-2</v>
      </c>
      <c r="F452" s="9">
        <f t="shared" si="54"/>
        <v>-0.88145647137269445</v>
      </c>
      <c r="G452" s="9">
        <f t="shared" si="55"/>
        <v>0.31448631014311512</v>
      </c>
      <c r="H452" s="9">
        <f t="shared" si="56"/>
        <v>0.88083725235614796</v>
      </c>
      <c r="I452" s="9">
        <f t="shared" si="57"/>
        <v>0.3900233521804724</v>
      </c>
      <c r="J452" s="9">
        <f t="shared" si="58"/>
        <v>0.57815630469823753</v>
      </c>
      <c r="K452" s="9">
        <f t="shared" si="59"/>
        <v>0.19759161869050734</v>
      </c>
      <c r="L452" s="5">
        <f t="shared" ref="L452:P461" si="60">L76</f>
        <v>1</v>
      </c>
      <c r="M452" s="5">
        <f t="shared" si="60"/>
        <v>0</v>
      </c>
      <c r="N452" s="5">
        <f t="shared" si="60"/>
        <v>0</v>
      </c>
      <c r="O452" s="5">
        <f t="shared" si="60"/>
        <v>0</v>
      </c>
      <c r="P452" s="5">
        <f t="shared" si="60"/>
        <v>0</v>
      </c>
    </row>
    <row r="453" spans="1:16" x14ac:dyDescent="0.25">
      <c r="A453" s="5" t="str">
        <f t="shared" si="49"/>
        <v>Hải Dương</v>
      </c>
      <c r="B453" s="5">
        <f t="shared" si="49"/>
        <v>2020</v>
      </c>
      <c r="C453" s="9">
        <f t="shared" si="51"/>
        <v>1.2021224120903533</v>
      </c>
      <c r="D453" s="9">
        <f t="shared" si="52"/>
        <v>-0.23853172792211685</v>
      </c>
      <c r="E453" s="9">
        <f t="shared" si="53"/>
        <v>-0.16631177891755397</v>
      </c>
      <c r="F453" s="9">
        <f t="shared" si="54"/>
        <v>-3.1958013697388946E-2</v>
      </c>
      <c r="G453" s="9">
        <f t="shared" si="55"/>
        <v>0.12824908566386442</v>
      </c>
      <c r="H453" s="9">
        <f t="shared" si="56"/>
        <v>0.6350709801607769</v>
      </c>
      <c r="I453" s="9">
        <f t="shared" si="57"/>
        <v>-0.64755648314514791</v>
      </c>
      <c r="J453" s="9">
        <f t="shared" si="58"/>
        <v>0.64332572775978014</v>
      </c>
      <c r="K453" s="9">
        <f t="shared" si="59"/>
        <v>0.59917813213346938</v>
      </c>
      <c r="L453" s="5">
        <f t="shared" si="60"/>
        <v>1</v>
      </c>
      <c r="M453" s="5">
        <f t="shared" si="60"/>
        <v>0</v>
      </c>
      <c r="N453" s="5">
        <f t="shared" si="60"/>
        <v>0</v>
      </c>
      <c r="O453" s="5">
        <f t="shared" si="60"/>
        <v>0</v>
      </c>
      <c r="P453" s="5">
        <f t="shared" si="60"/>
        <v>0</v>
      </c>
    </row>
    <row r="454" spans="1:16" x14ac:dyDescent="0.25">
      <c r="A454" s="5" t="str">
        <f t="shared" si="49"/>
        <v>Hải Phòng</v>
      </c>
      <c r="B454" s="5">
        <f t="shared" si="49"/>
        <v>2020</v>
      </c>
      <c r="C454" s="9">
        <f t="shared" si="51"/>
        <v>1.5415192454721933</v>
      </c>
      <c r="D454" s="9">
        <f t="shared" si="52"/>
        <v>1.323020900562919</v>
      </c>
      <c r="E454" s="9">
        <f t="shared" si="53"/>
        <v>0.80697962341039264</v>
      </c>
      <c r="F454" s="9">
        <f t="shared" si="54"/>
        <v>0.76014957827543772</v>
      </c>
      <c r="G454" s="9">
        <f t="shared" si="55"/>
        <v>1.28059191212923</v>
      </c>
      <c r="H454" s="9">
        <f t="shared" si="56"/>
        <v>1.5362493343570474</v>
      </c>
      <c r="I454" s="9">
        <f t="shared" si="57"/>
        <v>0.34242681308670098</v>
      </c>
      <c r="J454" s="9">
        <f t="shared" si="58"/>
        <v>1.1462416101428701</v>
      </c>
      <c r="K454" s="9">
        <f t="shared" si="59"/>
        <v>0.76650584606803684</v>
      </c>
      <c r="L454" s="5">
        <f t="shared" si="60"/>
        <v>1</v>
      </c>
      <c r="M454" s="5">
        <f t="shared" si="60"/>
        <v>0</v>
      </c>
      <c r="N454" s="5">
        <f t="shared" si="60"/>
        <v>0</v>
      </c>
      <c r="O454" s="5">
        <f t="shared" si="60"/>
        <v>0</v>
      </c>
      <c r="P454" s="5">
        <f t="shared" si="60"/>
        <v>0</v>
      </c>
    </row>
    <row r="455" spans="1:16" x14ac:dyDescent="0.25">
      <c r="A455" s="5" t="str">
        <f t="shared" si="49"/>
        <v>Khánh Hòa</v>
      </c>
      <c r="B455" s="5">
        <f t="shared" si="49"/>
        <v>2020</v>
      </c>
      <c r="C455" s="9">
        <f t="shared" si="51"/>
        <v>1.076334959597073</v>
      </c>
      <c r="D455" s="9">
        <f t="shared" si="52"/>
        <v>-0.38222924041675271</v>
      </c>
      <c r="E455" s="9">
        <f t="shared" si="53"/>
        <v>0.64551098699908283</v>
      </c>
      <c r="F455" s="9">
        <f t="shared" si="54"/>
        <v>0.58911343395418891</v>
      </c>
      <c r="G455" s="9">
        <f t="shared" si="55"/>
        <v>2.3490646894285528E-2</v>
      </c>
      <c r="H455" s="9">
        <f t="shared" si="56"/>
        <v>0.38157703346823446</v>
      </c>
      <c r="I455" s="9">
        <f t="shared" si="57"/>
        <v>1.5903804811938962</v>
      </c>
      <c r="J455" s="9">
        <f t="shared" si="58"/>
        <v>0.46788946583615293</v>
      </c>
      <c r="K455" s="9">
        <f t="shared" si="59"/>
        <v>1.0007646455764314</v>
      </c>
      <c r="L455" s="5">
        <f t="shared" si="60"/>
        <v>1</v>
      </c>
      <c r="M455" s="5">
        <f t="shared" si="60"/>
        <v>0</v>
      </c>
      <c r="N455" s="5">
        <f t="shared" si="60"/>
        <v>0</v>
      </c>
      <c r="O455" s="5">
        <f t="shared" si="60"/>
        <v>0</v>
      </c>
      <c r="P455" s="5">
        <f t="shared" si="60"/>
        <v>0</v>
      </c>
    </row>
    <row r="456" spans="1:16" x14ac:dyDescent="0.25">
      <c r="A456" s="5" t="str">
        <f t="shared" si="49"/>
        <v>Kiên Giang</v>
      </c>
      <c r="B456" s="5">
        <f t="shared" si="49"/>
        <v>2020</v>
      </c>
      <c r="C456" s="9">
        <f t="shared" si="51"/>
        <v>0.89118217805132116</v>
      </c>
      <c r="D456" s="9">
        <f t="shared" si="52"/>
        <v>-0.72018672522743976</v>
      </c>
      <c r="E456" s="9">
        <f t="shared" si="53"/>
        <v>-0.27952308010883814</v>
      </c>
      <c r="F456" s="9">
        <f t="shared" si="54"/>
        <v>-0.20356238441173158</v>
      </c>
      <c r="G456" s="9">
        <f t="shared" si="55"/>
        <v>-1.0357335673314538</v>
      </c>
      <c r="H456" s="9">
        <f t="shared" si="56"/>
        <v>-1.7842470558608123</v>
      </c>
      <c r="I456" s="9">
        <f t="shared" si="57"/>
        <v>-0.27646893459980471</v>
      </c>
      <c r="J456" s="9">
        <f t="shared" si="58"/>
        <v>0.3144458492702909</v>
      </c>
      <c r="K456" s="9">
        <f t="shared" si="59"/>
        <v>-0.48287441797673342</v>
      </c>
      <c r="L456" s="5">
        <f t="shared" si="60"/>
        <v>1</v>
      </c>
      <c r="M456" s="5">
        <f t="shared" si="60"/>
        <v>0</v>
      </c>
      <c r="N456" s="5">
        <f t="shared" si="60"/>
        <v>0</v>
      </c>
      <c r="O456" s="5">
        <f t="shared" si="60"/>
        <v>0</v>
      </c>
      <c r="P456" s="5">
        <f t="shared" si="60"/>
        <v>0</v>
      </c>
    </row>
    <row r="457" spans="1:16" x14ac:dyDescent="0.25">
      <c r="A457" s="5" t="str">
        <f t="shared" si="49"/>
        <v>Kon Tum</v>
      </c>
      <c r="B457" s="5">
        <f t="shared" si="49"/>
        <v>2020</v>
      </c>
      <c r="C457" s="9">
        <f t="shared" si="51"/>
        <v>0.61196421393234135</v>
      </c>
      <c r="D457" s="9">
        <f t="shared" si="52"/>
        <v>-1.3175968916725511</v>
      </c>
      <c r="E457" s="9">
        <f t="shared" si="53"/>
        <v>-0.52101337365715306</v>
      </c>
      <c r="F457" s="9">
        <f t="shared" si="54"/>
        <v>4.0206738225530163E-2</v>
      </c>
      <c r="G457" s="9">
        <f t="shared" si="55"/>
        <v>-0.89605564897201584</v>
      </c>
      <c r="H457" s="9">
        <f t="shared" si="56"/>
        <v>5.6218131096617233E-2</v>
      </c>
      <c r="I457" s="9">
        <f t="shared" si="57"/>
        <v>-0.34348298442772368</v>
      </c>
      <c r="J457" s="9">
        <f t="shared" si="58"/>
        <v>-1.5181219871732821</v>
      </c>
      <c r="K457" s="9">
        <f t="shared" si="59"/>
        <v>-0.14821899010759848</v>
      </c>
      <c r="L457" s="5">
        <f t="shared" si="60"/>
        <v>1</v>
      </c>
      <c r="M457" s="5">
        <f t="shared" si="60"/>
        <v>0</v>
      </c>
      <c r="N457" s="5">
        <f t="shared" si="60"/>
        <v>0</v>
      </c>
      <c r="O457" s="5">
        <f t="shared" si="60"/>
        <v>0</v>
      </c>
      <c r="P457" s="5">
        <f t="shared" si="60"/>
        <v>0</v>
      </c>
    </row>
    <row r="458" spans="1:16" x14ac:dyDescent="0.25">
      <c r="A458" s="5" t="str">
        <f t="shared" si="49"/>
        <v>Long An</v>
      </c>
      <c r="B458" s="5">
        <f t="shared" si="49"/>
        <v>2020</v>
      </c>
      <c r="C458" s="9">
        <f t="shared" si="51"/>
        <v>1.0634325172278354</v>
      </c>
      <c r="D458" s="9">
        <f t="shared" si="52"/>
        <v>1.8603723715856522E-2</v>
      </c>
      <c r="E458" s="9">
        <f t="shared" si="53"/>
        <v>4.931909871116899E-2</v>
      </c>
      <c r="F458" s="9">
        <f t="shared" si="54"/>
        <v>-0.78372153176055237</v>
      </c>
      <c r="G458" s="9">
        <f t="shared" si="55"/>
        <v>-0.90769547550196894</v>
      </c>
      <c r="H458" s="9">
        <f t="shared" si="56"/>
        <v>-1.1592495288703855</v>
      </c>
      <c r="I458" s="9">
        <f t="shared" si="57"/>
        <v>-0.69167449330711062</v>
      </c>
      <c r="J458" s="9">
        <f t="shared" si="58"/>
        <v>0.69360710214366872</v>
      </c>
      <c r="K458" s="9">
        <f t="shared" si="59"/>
        <v>-0.25977079939731013</v>
      </c>
      <c r="L458" s="5">
        <f t="shared" si="60"/>
        <v>1</v>
      </c>
      <c r="M458" s="5">
        <f t="shared" si="60"/>
        <v>0</v>
      </c>
      <c r="N458" s="5">
        <f t="shared" si="60"/>
        <v>0</v>
      </c>
      <c r="O458" s="5">
        <f t="shared" si="60"/>
        <v>0</v>
      </c>
      <c r="P458" s="5">
        <f t="shared" si="60"/>
        <v>0</v>
      </c>
    </row>
    <row r="459" spans="1:16" x14ac:dyDescent="0.25">
      <c r="A459" s="5" t="str">
        <f t="shared" si="49"/>
        <v>Lào Cai</v>
      </c>
      <c r="B459" s="5">
        <f t="shared" si="49"/>
        <v>2020</v>
      </c>
      <c r="C459" s="9">
        <f t="shared" si="51"/>
        <v>0.81970734103467857</v>
      </c>
      <c r="D459" s="9">
        <f t="shared" si="52"/>
        <v>-0.1192898896102514</v>
      </c>
      <c r="E459" s="9">
        <f t="shared" si="53"/>
        <v>-0.41472506570418477</v>
      </c>
      <c r="F459" s="9">
        <f t="shared" si="54"/>
        <v>-0.31891234220978298</v>
      </c>
      <c r="G459" s="9">
        <f t="shared" si="55"/>
        <v>-0.31406432247435662</v>
      </c>
      <c r="H459" s="9">
        <f t="shared" si="56"/>
        <v>-0.54018553990332319</v>
      </c>
      <c r="I459" s="9">
        <f t="shared" si="57"/>
        <v>0.33325296342748101</v>
      </c>
      <c r="J459" s="9">
        <f t="shared" si="58"/>
        <v>-0.52239075513627131</v>
      </c>
      <c r="K459" s="9">
        <f t="shared" si="59"/>
        <v>-0.2039948947524543</v>
      </c>
      <c r="L459" s="5">
        <f t="shared" si="60"/>
        <v>1</v>
      </c>
      <c r="M459" s="5">
        <f t="shared" si="60"/>
        <v>0</v>
      </c>
      <c r="N459" s="5">
        <f t="shared" si="60"/>
        <v>0</v>
      </c>
      <c r="O459" s="5">
        <f t="shared" si="60"/>
        <v>0</v>
      </c>
      <c r="P459" s="5">
        <f t="shared" si="60"/>
        <v>0</v>
      </c>
    </row>
    <row r="460" spans="1:16" x14ac:dyDescent="0.25">
      <c r="A460" s="5" t="str">
        <f t="shared" si="49"/>
        <v>Lâm Đồng</v>
      </c>
      <c r="B460" s="5">
        <f t="shared" si="49"/>
        <v>2020</v>
      </c>
      <c r="C460" s="9">
        <f t="shared" si="51"/>
        <v>1.0004595602779416</v>
      </c>
      <c r="D460" s="9">
        <f t="shared" si="52"/>
        <v>-0.43340408438210581</v>
      </c>
      <c r="E460" s="9">
        <f t="shared" si="53"/>
        <v>-0.11194592025195538</v>
      </c>
      <c r="F460" s="9">
        <f t="shared" si="54"/>
        <v>0.41069034652272007</v>
      </c>
      <c r="G460" s="9">
        <f t="shared" si="55"/>
        <v>-0.6050599857231862</v>
      </c>
      <c r="H460" s="9">
        <f t="shared" si="56"/>
        <v>0.19554174518124734</v>
      </c>
      <c r="I460" s="9">
        <f t="shared" si="57"/>
        <v>-0.69870177507236986</v>
      </c>
      <c r="J460" s="9">
        <f t="shared" si="58"/>
        <v>-0.96437387790709439</v>
      </c>
      <c r="K460" s="9">
        <f t="shared" si="59"/>
        <v>0.91152319814466198</v>
      </c>
      <c r="L460" s="5">
        <f t="shared" si="60"/>
        <v>1</v>
      </c>
      <c r="M460" s="5">
        <f t="shared" si="60"/>
        <v>0</v>
      </c>
      <c r="N460" s="5">
        <f t="shared" si="60"/>
        <v>0</v>
      </c>
      <c r="O460" s="5">
        <f t="shared" si="60"/>
        <v>0</v>
      </c>
      <c r="P460" s="5">
        <f t="shared" si="60"/>
        <v>0</v>
      </c>
    </row>
    <row r="461" spans="1:16" x14ac:dyDescent="0.25">
      <c r="A461" s="5" t="str">
        <f t="shared" si="49"/>
        <v>Lạng Sơn</v>
      </c>
      <c r="B461" s="5">
        <f t="shared" si="49"/>
        <v>2020</v>
      </c>
      <c r="C461" s="9">
        <f t="shared" si="51"/>
        <v>0.52888607472760052</v>
      </c>
      <c r="D461" s="9">
        <f t="shared" si="52"/>
        <v>-1.2536101134170947</v>
      </c>
      <c r="E461" s="9">
        <f t="shared" si="53"/>
        <v>-0.67515178193377556</v>
      </c>
      <c r="F461" s="9">
        <f t="shared" si="54"/>
        <v>-0.51097286307550438</v>
      </c>
      <c r="G461" s="9">
        <f t="shared" si="55"/>
        <v>-0.31406432247435662</v>
      </c>
      <c r="H461" s="9">
        <f t="shared" si="56"/>
        <v>-0.25984333874448912</v>
      </c>
      <c r="I461" s="9">
        <f t="shared" si="57"/>
        <v>-0.55731185746829937</v>
      </c>
      <c r="J461" s="9">
        <f t="shared" si="58"/>
        <v>-1.1392111327904304</v>
      </c>
      <c r="K461" s="9">
        <f t="shared" si="59"/>
        <v>-0.68366767469821443</v>
      </c>
      <c r="L461" s="5">
        <f t="shared" si="60"/>
        <v>1</v>
      </c>
      <c r="M461" s="5">
        <f t="shared" si="60"/>
        <v>0</v>
      </c>
      <c r="N461" s="5">
        <f t="shared" si="60"/>
        <v>0</v>
      </c>
      <c r="O461" s="5">
        <f t="shared" si="60"/>
        <v>0</v>
      </c>
      <c r="P461" s="5">
        <f t="shared" si="60"/>
        <v>0</v>
      </c>
    </row>
    <row r="462" spans="1:16" x14ac:dyDescent="0.25">
      <c r="A462" s="5" t="str">
        <f t="shared" ref="A462:B481" si="61">A86</f>
        <v>Nam Định</v>
      </c>
      <c r="B462" s="5">
        <f t="shared" si="61"/>
        <v>2020</v>
      </c>
      <c r="C462" s="9">
        <f t="shared" si="51"/>
        <v>0.98683154143116258</v>
      </c>
      <c r="D462" s="9">
        <f t="shared" si="52"/>
        <v>-1.3338726140038604</v>
      </c>
      <c r="E462" s="9">
        <f t="shared" si="53"/>
        <v>-0.51123973614423646</v>
      </c>
      <c r="F462" s="9">
        <f t="shared" si="54"/>
        <v>-0.67064447953487616</v>
      </c>
      <c r="G462" s="9">
        <f t="shared" si="55"/>
        <v>-0.41882276124393514</v>
      </c>
      <c r="H462" s="9">
        <f t="shared" si="56"/>
        <v>-0.43966369650524023</v>
      </c>
      <c r="I462" s="9">
        <f t="shared" si="57"/>
        <v>-0.25413413873898494</v>
      </c>
      <c r="J462" s="9">
        <f t="shared" si="58"/>
        <v>0.10186473902316259</v>
      </c>
      <c r="K462" s="9">
        <f t="shared" si="59"/>
        <v>-0.94023683606455122</v>
      </c>
      <c r="L462" s="5">
        <f t="shared" ref="L462:P471" si="62">L86</f>
        <v>1</v>
      </c>
      <c r="M462" s="5">
        <f t="shared" si="62"/>
        <v>0</v>
      </c>
      <c r="N462" s="5">
        <f t="shared" si="62"/>
        <v>0</v>
      </c>
      <c r="O462" s="5">
        <f t="shared" si="62"/>
        <v>0</v>
      </c>
      <c r="P462" s="5">
        <f t="shared" si="62"/>
        <v>0</v>
      </c>
    </row>
    <row r="463" spans="1:16" x14ac:dyDescent="0.25">
      <c r="A463" s="5" t="str">
        <f t="shared" si="61"/>
        <v>Nghệ An</v>
      </c>
      <c r="B463" s="5">
        <f t="shared" si="61"/>
        <v>2020</v>
      </c>
      <c r="C463" s="9">
        <f t="shared" si="51"/>
        <v>1.1664670641735913</v>
      </c>
      <c r="D463" s="9">
        <f t="shared" si="52"/>
        <v>-1.3121968748955397</v>
      </c>
      <c r="E463" s="9">
        <f t="shared" si="53"/>
        <v>-0.49128522622203158</v>
      </c>
      <c r="F463" s="9">
        <f t="shared" si="54"/>
        <v>-0.93941556346826716</v>
      </c>
      <c r="G463" s="9">
        <f t="shared" si="55"/>
        <v>-0.33734397553426293</v>
      </c>
      <c r="H463" s="9">
        <f t="shared" si="56"/>
        <v>1.2375298391764089</v>
      </c>
      <c r="I463" s="9">
        <f t="shared" si="57"/>
        <v>1.656488387452498</v>
      </c>
      <c r="J463" s="9">
        <f t="shared" si="58"/>
        <v>-0.63258465904626704</v>
      </c>
      <c r="K463" s="9">
        <f t="shared" si="59"/>
        <v>-0.40478815147393532</v>
      </c>
      <c r="L463" s="5">
        <f t="shared" si="62"/>
        <v>1</v>
      </c>
      <c r="M463" s="5">
        <f t="shared" si="62"/>
        <v>0</v>
      </c>
      <c r="N463" s="5">
        <f t="shared" si="62"/>
        <v>0</v>
      </c>
      <c r="O463" s="5">
        <f t="shared" si="62"/>
        <v>0</v>
      </c>
      <c r="P463" s="5">
        <f t="shared" si="62"/>
        <v>0</v>
      </c>
    </row>
    <row r="464" spans="1:16" x14ac:dyDescent="0.25">
      <c r="A464" s="5" t="str">
        <f t="shared" si="61"/>
        <v>Ninh Bình</v>
      </c>
      <c r="B464" s="5">
        <f t="shared" si="61"/>
        <v>2020</v>
      </c>
      <c r="C464" s="9">
        <f t="shared" si="51"/>
        <v>1.0698986718481724</v>
      </c>
      <c r="D464" s="9">
        <f t="shared" si="52"/>
        <v>-0.26932298836635415</v>
      </c>
      <c r="E464" s="9">
        <f t="shared" si="53"/>
        <v>-0.25101663736283142</v>
      </c>
      <c r="F464" s="9">
        <f t="shared" si="54"/>
        <v>-0.60473021793598958</v>
      </c>
      <c r="G464" s="9">
        <f t="shared" si="55"/>
        <v>0.75679971828133619</v>
      </c>
      <c r="H464" s="9">
        <f t="shared" si="56"/>
        <v>0.92983882870844303</v>
      </c>
      <c r="I464" s="9">
        <f t="shared" si="57"/>
        <v>1.7641102419037369</v>
      </c>
      <c r="J464" s="9">
        <f t="shared" si="58"/>
        <v>-0.1049906139915695</v>
      </c>
      <c r="K464" s="9">
        <f t="shared" si="59"/>
        <v>-0.23746043753936788</v>
      </c>
      <c r="L464" s="5">
        <f t="shared" si="62"/>
        <v>1</v>
      </c>
      <c r="M464" s="5">
        <f t="shared" si="62"/>
        <v>0</v>
      </c>
      <c r="N464" s="5">
        <f t="shared" si="62"/>
        <v>0</v>
      </c>
      <c r="O464" s="5">
        <f t="shared" si="62"/>
        <v>0</v>
      </c>
      <c r="P464" s="5">
        <f t="shared" si="62"/>
        <v>0</v>
      </c>
    </row>
    <row r="465" spans="1:16" x14ac:dyDescent="0.25">
      <c r="A465" s="5" t="str">
        <f t="shared" si="61"/>
        <v>Ninh Thuận</v>
      </c>
      <c r="B465" s="5">
        <f t="shared" si="61"/>
        <v>2020</v>
      </c>
      <c r="C465" s="9">
        <f t="shared" si="51"/>
        <v>0.73619439189919345</v>
      </c>
      <c r="D465" s="9">
        <f t="shared" si="52"/>
        <v>-0.57826870610359016</v>
      </c>
      <c r="E465" s="9">
        <f t="shared" si="53"/>
        <v>-0.26893497280317857</v>
      </c>
      <c r="F465" s="9">
        <f t="shared" si="54"/>
        <v>0.18624092125064962</v>
      </c>
      <c r="G465" s="9">
        <f t="shared" si="55"/>
        <v>-0.87277599591210953</v>
      </c>
      <c r="H465" s="9">
        <f t="shared" si="56"/>
        <v>-0.10292318010007918</v>
      </c>
      <c r="I465" s="9">
        <f t="shared" si="57"/>
        <v>1.6509721617332131E-2</v>
      </c>
      <c r="J465" s="9">
        <f t="shared" si="58"/>
        <v>0.27413418114968879</v>
      </c>
      <c r="K465" s="9">
        <f t="shared" si="59"/>
        <v>-0.70597803655615665</v>
      </c>
      <c r="L465" s="5">
        <f t="shared" si="62"/>
        <v>1</v>
      </c>
      <c r="M465" s="5">
        <f t="shared" si="62"/>
        <v>0</v>
      </c>
      <c r="N465" s="5">
        <f t="shared" si="62"/>
        <v>0</v>
      </c>
      <c r="O465" s="5">
        <f t="shared" si="62"/>
        <v>0</v>
      </c>
      <c r="P465" s="5">
        <f t="shared" si="62"/>
        <v>0</v>
      </c>
    </row>
    <row r="466" spans="1:16" x14ac:dyDescent="0.25">
      <c r="A466" s="5" t="str">
        <f t="shared" si="61"/>
        <v>Phú Thọ</v>
      </c>
      <c r="B466" s="5">
        <f t="shared" si="61"/>
        <v>2020</v>
      </c>
      <c r="C466" s="9">
        <f t="shared" si="51"/>
        <v>0.94159685872394161</v>
      </c>
      <c r="D466" s="9">
        <f t="shared" si="52"/>
        <v>-0.93465781871542086</v>
      </c>
      <c r="E466" s="9">
        <f t="shared" si="53"/>
        <v>-0.46685113243974014</v>
      </c>
      <c r="F466" s="9">
        <f t="shared" si="54"/>
        <v>-0.73939987309923205</v>
      </c>
      <c r="G466" s="9">
        <f t="shared" si="55"/>
        <v>0.17480839178367699</v>
      </c>
      <c r="H466" s="9">
        <f t="shared" si="56"/>
        <v>0.69705555811196551</v>
      </c>
      <c r="I466" s="9">
        <f t="shared" si="57"/>
        <v>7.2296320110290829E-2</v>
      </c>
      <c r="J466" s="9">
        <f t="shared" si="58"/>
        <v>-0.18967791083798607</v>
      </c>
      <c r="K466" s="9">
        <f t="shared" si="59"/>
        <v>0.1752812568325651</v>
      </c>
      <c r="L466" s="5">
        <f t="shared" si="62"/>
        <v>1</v>
      </c>
      <c r="M466" s="5">
        <f t="shared" si="62"/>
        <v>0</v>
      </c>
      <c r="N466" s="5">
        <f t="shared" si="62"/>
        <v>0</v>
      </c>
      <c r="O466" s="5">
        <f t="shared" si="62"/>
        <v>0</v>
      </c>
      <c r="P466" s="5">
        <f t="shared" si="62"/>
        <v>0</v>
      </c>
    </row>
    <row r="467" spans="1:16" x14ac:dyDescent="0.25">
      <c r="A467" s="5" t="str">
        <f t="shared" si="61"/>
        <v>Phú Yên</v>
      </c>
      <c r="B467" s="5">
        <f t="shared" si="61"/>
        <v>2020</v>
      </c>
      <c r="C467" s="9">
        <f t="shared" si="51"/>
        <v>0.79635281971250227</v>
      </c>
      <c r="D467" s="9">
        <f t="shared" si="52"/>
        <v>-0.94384639264327197</v>
      </c>
      <c r="E467" s="9">
        <f t="shared" si="53"/>
        <v>-0.49881907180490492</v>
      </c>
      <c r="F467" s="9">
        <f t="shared" si="54"/>
        <v>3.7933832653154816E-2</v>
      </c>
      <c r="G467" s="9">
        <f t="shared" si="55"/>
        <v>-0.7214582510227181</v>
      </c>
      <c r="H467" s="9">
        <f t="shared" si="56"/>
        <v>0.29802245717526066</v>
      </c>
      <c r="I467" s="9">
        <f t="shared" si="57"/>
        <v>-0.60721174846073311</v>
      </c>
      <c r="J467" s="9">
        <f t="shared" si="58"/>
        <v>0.1977793165222623</v>
      </c>
      <c r="K467" s="9">
        <f t="shared" si="59"/>
        <v>-0.11475344732068492</v>
      </c>
      <c r="L467" s="5">
        <f t="shared" si="62"/>
        <v>1</v>
      </c>
      <c r="M467" s="5">
        <f t="shared" si="62"/>
        <v>0</v>
      </c>
      <c r="N467" s="5">
        <f t="shared" si="62"/>
        <v>0</v>
      </c>
      <c r="O467" s="5">
        <f t="shared" si="62"/>
        <v>0</v>
      </c>
      <c r="P467" s="5">
        <f t="shared" si="62"/>
        <v>0</v>
      </c>
    </row>
    <row r="468" spans="1:16" x14ac:dyDescent="0.25">
      <c r="A468" s="5" t="str">
        <f t="shared" si="61"/>
        <v>Quảng Bình</v>
      </c>
      <c r="B468" s="5">
        <f t="shared" si="61"/>
        <v>2020</v>
      </c>
      <c r="C468" s="9">
        <f t="shared" si="51"/>
        <v>0.66902698897783552</v>
      </c>
      <c r="D468" s="9">
        <f t="shared" si="52"/>
        <v>-1.1457038269205251</v>
      </c>
      <c r="E468" s="9">
        <f t="shared" si="53"/>
        <v>-0.18708075863250184</v>
      </c>
      <c r="F468" s="9">
        <f t="shared" si="54"/>
        <v>-0.5155186742202551</v>
      </c>
      <c r="G468" s="9">
        <f t="shared" si="55"/>
        <v>-0.20930588370477815</v>
      </c>
      <c r="H468" s="9">
        <f t="shared" si="56"/>
        <v>0.92411343618133046</v>
      </c>
      <c r="I468" s="9">
        <f t="shared" si="57"/>
        <v>-0.26481286055527969</v>
      </c>
      <c r="J468" s="9">
        <f t="shared" si="58"/>
        <v>-0.24891507403980892</v>
      </c>
      <c r="K468" s="9">
        <f t="shared" si="59"/>
        <v>-0.76175394120101247</v>
      </c>
      <c r="L468" s="5">
        <f t="shared" si="62"/>
        <v>1</v>
      </c>
      <c r="M468" s="5">
        <f t="shared" si="62"/>
        <v>0</v>
      </c>
      <c r="N468" s="5">
        <f t="shared" si="62"/>
        <v>0</v>
      </c>
      <c r="O468" s="5">
        <f t="shared" si="62"/>
        <v>0</v>
      </c>
      <c r="P468" s="5">
        <f t="shared" si="62"/>
        <v>0</v>
      </c>
    </row>
    <row r="469" spans="1:16" x14ac:dyDescent="0.25">
      <c r="A469" s="5" t="str">
        <f t="shared" si="61"/>
        <v>Quảng Nam</v>
      </c>
      <c r="B469" s="5">
        <f t="shared" si="61"/>
        <v>2020</v>
      </c>
      <c r="C469" s="9">
        <f t="shared" si="51"/>
        <v>0.95567226951487039</v>
      </c>
      <c r="D469" s="9">
        <f t="shared" si="52"/>
        <v>-0.34279611613779415</v>
      </c>
      <c r="E469" s="9">
        <f t="shared" si="53"/>
        <v>-0.15042961795906459</v>
      </c>
      <c r="F469" s="9">
        <f t="shared" si="54"/>
        <v>-0.32402637974762782</v>
      </c>
      <c r="G469" s="9">
        <f t="shared" si="55"/>
        <v>-0.25586518982459072</v>
      </c>
      <c r="H469" s="9">
        <f t="shared" si="56"/>
        <v>-0.16496380331527541</v>
      </c>
      <c r="I469" s="9">
        <f t="shared" si="57"/>
        <v>-0.85330463840212056</v>
      </c>
      <c r="J469" s="9">
        <f t="shared" si="58"/>
        <v>0.55641028848201379</v>
      </c>
      <c r="K469" s="9">
        <f t="shared" si="59"/>
        <v>-0.22630525661039655</v>
      </c>
      <c r="L469" s="5">
        <f t="shared" si="62"/>
        <v>1</v>
      </c>
      <c r="M469" s="5">
        <f t="shared" si="62"/>
        <v>0</v>
      </c>
      <c r="N469" s="5">
        <f t="shared" si="62"/>
        <v>0</v>
      </c>
      <c r="O469" s="5">
        <f t="shared" si="62"/>
        <v>0</v>
      </c>
      <c r="P469" s="5">
        <f t="shared" si="62"/>
        <v>0</v>
      </c>
    </row>
    <row r="470" spans="1:16" x14ac:dyDescent="0.25">
      <c r="A470" s="5" t="str">
        <f t="shared" si="61"/>
        <v>Quảng Ngãi</v>
      </c>
      <c r="B470" s="5">
        <f t="shared" si="61"/>
        <v>2020</v>
      </c>
      <c r="C470" s="9">
        <f t="shared" si="51"/>
        <v>0.77658718589435682</v>
      </c>
      <c r="D470" s="9">
        <f t="shared" si="52"/>
        <v>-0.20144353308412671</v>
      </c>
      <c r="E470" s="9">
        <f t="shared" si="53"/>
        <v>-0.32085742209054807</v>
      </c>
      <c r="F470" s="9">
        <f t="shared" si="54"/>
        <v>-0.62120878333571117</v>
      </c>
      <c r="G470" s="9">
        <f t="shared" si="55"/>
        <v>-0.1976660571748248</v>
      </c>
      <c r="H470" s="9">
        <f t="shared" si="56"/>
        <v>-0.21922348866720812</v>
      </c>
      <c r="I470" s="9">
        <f t="shared" si="57"/>
        <v>-0.41516383931079792</v>
      </c>
      <c r="J470" s="9">
        <f t="shared" si="58"/>
        <v>-5.1389268968676627E-2</v>
      </c>
      <c r="K470" s="9">
        <f t="shared" si="59"/>
        <v>-0.31554670404216595</v>
      </c>
      <c r="L470" s="5">
        <f t="shared" si="62"/>
        <v>1</v>
      </c>
      <c r="M470" s="5">
        <f t="shared" si="62"/>
        <v>0</v>
      </c>
      <c r="N470" s="5">
        <f t="shared" si="62"/>
        <v>0</v>
      </c>
      <c r="O470" s="5">
        <f t="shared" si="62"/>
        <v>0</v>
      </c>
      <c r="P470" s="5">
        <f t="shared" si="62"/>
        <v>0</v>
      </c>
    </row>
    <row r="471" spans="1:16" x14ac:dyDescent="0.25">
      <c r="A471" s="5" t="str">
        <f t="shared" si="61"/>
        <v>Quảng Ninh</v>
      </c>
      <c r="B471" s="5">
        <f t="shared" si="61"/>
        <v>2020</v>
      </c>
      <c r="C471" s="9">
        <f t="shared" si="51"/>
        <v>1.2539510490692103</v>
      </c>
      <c r="D471" s="9">
        <f t="shared" si="52"/>
        <v>1.6721809795271871</v>
      </c>
      <c r="E471" s="9">
        <f t="shared" si="53"/>
        <v>0.20976964788155003</v>
      </c>
      <c r="F471" s="9">
        <f t="shared" si="54"/>
        <v>1.8414844043330341</v>
      </c>
      <c r="G471" s="9">
        <f t="shared" si="55"/>
        <v>1.7461849733273571</v>
      </c>
      <c r="H471" s="9">
        <f t="shared" si="56"/>
        <v>1.1483763890374978</v>
      </c>
      <c r="I471" s="9">
        <f t="shared" si="57"/>
        <v>0.97655037653652543</v>
      </c>
      <c r="J471" s="9">
        <f t="shared" si="58"/>
        <v>0.70864636538915016</v>
      </c>
      <c r="K471" s="9">
        <f t="shared" si="59"/>
        <v>0.4764711419147864</v>
      </c>
      <c r="L471" s="5">
        <f t="shared" si="62"/>
        <v>1</v>
      </c>
      <c r="M471" s="5">
        <f t="shared" si="62"/>
        <v>0</v>
      </c>
      <c r="N471" s="5">
        <f t="shared" si="62"/>
        <v>0</v>
      </c>
      <c r="O471" s="5">
        <f t="shared" si="62"/>
        <v>0</v>
      </c>
      <c r="P471" s="5">
        <f t="shared" si="62"/>
        <v>0</v>
      </c>
    </row>
    <row r="472" spans="1:16" x14ac:dyDescent="0.25">
      <c r="A472" s="5" t="str">
        <f t="shared" si="61"/>
        <v>Quảng Trị</v>
      </c>
      <c r="B472" s="5">
        <f t="shared" si="61"/>
        <v>2020</v>
      </c>
      <c r="C472" s="9">
        <f t="shared" si="51"/>
        <v>0.6164375847733099</v>
      </c>
      <c r="D472" s="9">
        <f t="shared" si="52"/>
        <v>-0.84030896732835592</v>
      </c>
      <c r="E472" s="9">
        <f t="shared" si="53"/>
        <v>-0.28115201969432424</v>
      </c>
      <c r="F472" s="9">
        <f t="shared" si="54"/>
        <v>2.4296399218902306E-2</v>
      </c>
      <c r="G472" s="9">
        <f t="shared" si="55"/>
        <v>0.22136769790348998</v>
      </c>
      <c r="H472" s="9">
        <f t="shared" si="56"/>
        <v>0.45150269456516595</v>
      </c>
      <c r="I472" s="9">
        <f t="shared" si="57"/>
        <v>1.7078666369607103</v>
      </c>
      <c r="J472" s="9">
        <f t="shared" si="58"/>
        <v>-1.4598546218638593</v>
      </c>
      <c r="K472" s="9">
        <f t="shared" si="59"/>
        <v>-1.4356818959944614E-2</v>
      </c>
      <c r="L472" s="5">
        <f t="shared" ref="L472:P481" si="63">L96</f>
        <v>1</v>
      </c>
      <c r="M472" s="5">
        <f t="shared" si="63"/>
        <v>0</v>
      </c>
      <c r="N472" s="5">
        <f t="shared" si="63"/>
        <v>0</v>
      </c>
      <c r="O472" s="5">
        <f t="shared" si="63"/>
        <v>0</v>
      </c>
      <c r="P472" s="5">
        <f t="shared" si="63"/>
        <v>0</v>
      </c>
    </row>
    <row r="473" spans="1:16" x14ac:dyDescent="0.25">
      <c r="A473" s="5" t="str">
        <f t="shared" si="61"/>
        <v>TP. Hồ Chí Minh</v>
      </c>
      <c r="B473" s="5">
        <f t="shared" si="61"/>
        <v>2020</v>
      </c>
      <c r="C473" s="9">
        <f t="shared" si="51"/>
        <v>2.0786461439068922</v>
      </c>
      <c r="D473" s="9">
        <f t="shared" si="52"/>
        <v>1.5651736395854079</v>
      </c>
      <c r="E473" s="9">
        <f t="shared" si="53"/>
        <v>4.424854442775028</v>
      </c>
      <c r="F473" s="9">
        <f t="shared" si="54"/>
        <v>2.6693902590707737</v>
      </c>
      <c r="G473" s="9">
        <f t="shared" si="55"/>
        <v>1.7461849733273571</v>
      </c>
      <c r="H473" s="9">
        <f t="shared" si="56"/>
        <v>9.4169236344369425E-2</v>
      </c>
      <c r="I473" s="9">
        <f t="shared" si="57"/>
        <v>1.3899271226645054</v>
      </c>
      <c r="J473" s="9">
        <f t="shared" si="58"/>
        <v>0.72791749863078636</v>
      </c>
      <c r="K473" s="9">
        <f t="shared" si="59"/>
        <v>3.2429560122996355</v>
      </c>
      <c r="L473" s="5">
        <f t="shared" si="63"/>
        <v>1</v>
      </c>
      <c r="M473" s="5">
        <f t="shared" si="63"/>
        <v>0</v>
      </c>
      <c r="N473" s="5">
        <f t="shared" si="63"/>
        <v>0</v>
      </c>
      <c r="O473" s="5">
        <f t="shared" si="63"/>
        <v>0</v>
      </c>
      <c r="P473" s="5">
        <f t="shared" si="63"/>
        <v>0</v>
      </c>
    </row>
    <row r="474" spans="1:16" x14ac:dyDescent="0.25">
      <c r="A474" s="5" t="str">
        <f t="shared" si="61"/>
        <v>Thanh Hóa</v>
      </c>
      <c r="B474" s="5">
        <f t="shared" si="61"/>
        <v>2020</v>
      </c>
      <c r="C474" s="9">
        <f t="shared" si="51"/>
        <v>1.0536766746693205</v>
      </c>
      <c r="D474" s="9">
        <f t="shared" si="52"/>
        <v>-0.90730801882153356</v>
      </c>
      <c r="E474" s="9">
        <f t="shared" si="53"/>
        <v>-0.46461134050969671</v>
      </c>
      <c r="F474" s="9">
        <f t="shared" si="54"/>
        <v>-0.49733542964125188</v>
      </c>
      <c r="G474" s="9">
        <f t="shared" si="55"/>
        <v>-0.26750501635454405</v>
      </c>
      <c r="H474" s="9">
        <f t="shared" si="56"/>
        <v>0.22937503738078169</v>
      </c>
      <c r="I474" s="9">
        <f t="shared" si="57"/>
        <v>-0.49663134933558267</v>
      </c>
      <c r="J474" s="9">
        <f t="shared" si="58"/>
        <v>0.54654385216442791</v>
      </c>
      <c r="K474" s="9">
        <f t="shared" si="59"/>
        <v>-0.66135731284027222</v>
      </c>
      <c r="L474" s="5">
        <f t="shared" si="63"/>
        <v>1</v>
      </c>
      <c r="M474" s="5">
        <f t="shared" si="63"/>
        <v>0</v>
      </c>
      <c r="N474" s="5">
        <f t="shared" si="63"/>
        <v>0</v>
      </c>
      <c r="O474" s="5">
        <f t="shared" si="63"/>
        <v>0</v>
      </c>
      <c r="P474" s="5">
        <f t="shared" si="63"/>
        <v>0</v>
      </c>
    </row>
    <row r="475" spans="1:16" x14ac:dyDescent="0.25">
      <c r="A475" s="5" t="str">
        <f t="shared" si="61"/>
        <v>Thái Bình</v>
      </c>
      <c r="B475" s="5">
        <f t="shared" si="61"/>
        <v>2020</v>
      </c>
      <c r="C475" s="9">
        <f t="shared" si="51"/>
        <v>0.90939752004974006</v>
      </c>
      <c r="D475" s="9">
        <f t="shared" si="52"/>
        <v>-1.066725320892141</v>
      </c>
      <c r="E475" s="9">
        <f t="shared" si="53"/>
        <v>-0.63442829229662301</v>
      </c>
      <c r="F475" s="9">
        <f t="shared" si="54"/>
        <v>-1.1530686872715545</v>
      </c>
      <c r="G475" s="9">
        <f t="shared" si="55"/>
        <v>-0.67489894490290547</v>
      </c>
      <c r="H475" s="9">
        <f t="shared" si="56"/>
        <v>-0.98895325032450143</v>
      </c>
      <c r="I475" s="9">
        <f t="shared" si="57"/>
        <v>-0.46515652022392806</v>
      </c>
      <c r="J475" s="9">
        <f t="shared" si="58"/>
        <v>-0.89777045503502062</v>
      </c>
      <c r="K475" s="9">
        <f t="shared" si="59"/>
        <v>-0.9737023788514646</v>
      </c>
      <c r="L475" s="5">
        <f t="shared" si="63"/>
        <v>1</v>
      </c>
      <c r="M475" s="5">
        <f t="shared" si="63"/>
        <v>0</v>
      </c>
      <c r="N475" s="5">
        <f t="shared" si="63"/>
        <v>0</v>
      </c>
      <c r="O475" s="5">
        <f t="shared" si="63"/>
        <v>0</v>
      </c>
      <c r="P475" s="5">
        <f t="shared" si="63"/>
        <v>0</v>
      </c>
    </row>
    <row r="476" spans="1:16" x14ac:dyDescent="0.25">
      <c r="A476" s="5" t="str">
        <f t="shared" si="61"/>
        <v>Thái Nguyên</v>
      </c>
      <c r="B476" s="5">
        <f t="shared" si="61"/>
        <v>2020</v>
      </c>
      <c r="C476" s="9">
        <f t="shared" si="51"/>
        <v>0.95567226951487039</v>
      </c>
      <c r="D476" s="9">
        <f t="shared" si="52"/>
        <v>0.50795087177051645</v>
      </c>
      <c r="E476" s="9">
        <f t="shared" si="53"/>
        <v>-0.449747266792136</v>
      </c>
      <c r="F476" s="9">
        <f t="shared" si="54"/>
        <v>3.2720226744300039E-3</v>
      </c>
      <c r="G476" s="9">
        <f t="shared" si="55"/>
        <v>0.5240031876822725</v>
      </c>
      <c r="H476" s="9">
        <f t="shared" si="56"/>
        <v>0.96495884357705008</v>
      </c>
      <c r="I476" s="9">
        <f t="shared" si="57"/>
        <v>-0.14494901175362121</v>
      </c>
      <c r="J476" s="9">
        <f t="shared" si="58"/>
        <v>0.89003745668596146</v>
      </c>
      <c r="K476" s="9">
        <f t="shared" si="59"/>
        <v>0.25336752333536317</v>
      </c>
      <c r="L476" s="5">
        <f t="shared" si="63"/>
        <v>1</v>
      </c>
      <c r="M476" s="5">
        <f t="shared" si="63"/>
        <v>0</v>
      </c>
      <c r="N476" s="5">
        <f t="shared" si="63"/>
        <v>0</v>
      </c>
      <c r="O476" s="5">
        <f t="shared" si="63"/>
        <v>0</v>
      </c>
      <c r="P476" s="5">
        <f t="shared" si="63"/>
        <v>0</v>
      </c>
    </row>
    <row r="477" spans="1:16" x14ac:dyDescent="0.25">
      <c r="A477" s="5" t="str">
        <f t="shared" si="61"/>
        <v>Tiền Giang</v>
      </c>
      <c r="B477" s="5">
        <f t="shared" si="61"/>
        <v>2020</v>
      </c>
      <c r="C477" s="9">
        <f t="shared" si="51"/>
        <v>0.96265701506796364</v>
      </c>
      <c r="D477" s="9">
        <f t="shared" si="52"/>
        <v>-0.71183947684364668</v>
      </c>
      <c r="E477" s="9">
        <f t="shared" si="53"/>
        <v>-0.63788978891578096</v>
      </c>
      <c r="F477" s="9">
        <f t="shared" si="54"/>
        <v>-1.0127167681773737</v>
      </c>
      <c r="G477" s="9">
        <f t="shared" si="55"/>
        <v>-1.1055725265111731</v>
      </c>
      <c r="H477" s="9">
        <f t="shared" si="56"/>
        <v>-1.767458565383804</v>
      </c>
      <c r="I477" s="9">
        <f t="shared" si="57"/>
        <v>-0.47734090152082992</v>
      </c>
      <c r="J477" s="9">
        <f t="shared" si="58"/>
        <v>-6.9168728393345424E-2</v>
      </c>
      <c r="K477" s="9">
        <f t="shared" si="59"/>
        <v>-0.42709851333187759</v>
      </c>
      <c r="L477" s="5">
        <f t="shared" si="63"/>
        <v>1</v>
      </c>
      <c r="M477" s="5">
        <f t="shared" si="63"/>
        <v>0</v>
      </c>
      <c r="N477" s="5">
        <f t="shared" si="63"/>
        <v>0</v>
      </c>
      <c r="O477" s="5">
        <f t="shared" si="63"/>
        <v>0</v>
      </c>
      <c r="P477" s="5">
        <f t="shared" si="63"/>
        <v>0</v>
      </c>
    </row>
    <row r="478" spans="1:16" x14ac:dyDescent="0.25">
      <c r="A478" s="5" t="str">
        <f t="shared" si="61"/>
        <v>Trà Vinh</v>
      </c>
      <c r="B478" s="5">
        <f t="shared" si="61"/>
        <v>2020</v>
      </c>
      <c r="C478" s="9">
        <f t="shared" si="51"/>
        <v>0.62534147334455681</v>
      </c>
      <c r="D478" s="9">
        <f t="shared" si="52"/>
        <v>-0.50470816857570744</v>
      </c>
      <c r="E478" s="9">
        <f t="shared" si="53"/>
        <v>-0.73155381508123185</v>
      </c>
      <c r="F478" s="9">
        <f t="shared" si="54"/>
        <v>-0.83088432238734178</v>
      </c>
      <c r="G478" s="9">
        <f t="shared" si="55"/>
        <v>-1.408208016289956</v>
      </c>
      <c r="H478" s="9">
        <f t="shared" si="56"/>
        <v>-1.1214999739463014</v>
      </c>
      <c r="I478" s="9">
        <f t="shared" si="57"/>
        <v>-0.3505180642582974</v>
      </c>
      <c r="J478" s="9">
        <f t="shared" si="58"/>
        <v>0.42653521154034951</v>
      </c>
      <c r="K478" s="9">
        <f t="shared" si="59"/>
        <v>-1.0406334644252915</v>
      </c>
      <c r="L478" s="5">
        <f t="shared" si="63"/>
        <v>1</v>
      </c>
      <c r="M478" s="5">
        <f t="shared" si="63"/>
        <v>0</v>
      </c>
      <c r="N478" s="5">
        <f t="shared" si="63"/>
        <v>0</v>
      </c>
      <c r="O478" s="5">
        <f t="shared" si="63"/>
        <v>0</v>
      </c>
      <c r="P478" s="5">
        <f t="shared" si="63"/>
        <v>0</v>
      </c>
    </row>
    <row r="479" spans="1:16" x14ac:dyDescent="0.25">
      <c r="A479" s="5" t="str">
        <f t="shared" si="61"/>
        <v>Tuyên Quang</v>
      </c>
      <c r="B479" s="5">
        <f t="shared" si="61"/>
        <v>2020</v>
      </c>
      <c r="C479" s="9">
        <f t="shared" si="51"/>
        <v>0.53363379250699072</v>
      </c>
      <c r="D479" s="9">
        <f t="shared" si="52"/>
        <v>-1.290721376423215</v>
      </c>
      <c r="E479" s="9">
        <f t="shared" si="53"/>
        <v>-0.82053463993841025</v>
      </c>
      <c r="F479" s="9">
        <f t="shared" si="54"/>
        <v>-1.034877597508034</v>
      </c>
      <c r="G479" s="9">
        <f t="shared" si="55"/>
        <v>-0.27914484288449698</v>
      </c>
      <c r="H479" s="9">
        <f t="shared" si="56"/>
        <v>0.56341827820041679</v>
      </c>
      <c r="I479" s="9">
        <f t="shared" si="57"/>
        <v>-0.35722474787884873</v>
      </c>
      <c r="J479" s="9">
        <f t="shared" si="58"/>
        <v>-1.2018291443126687</v>
      </c>
      <c r="K479" s="9">
        <f t="shared" si="59"/>
        <v>-0.89561611234866656</v>
      </c>
      <c r="L479" s="5">
        <f t="shared" si="63"/>
        <v>1</v>
      </c>
      <c r="M479" s="5">
        <f t="shared" si="63"/>
        <v>0</v>
      </c>
      <c r="N479" s="5">
        <f t="shared" si="63"/>
        <v>0</v>
      </c>
      <c r="O479" s="5">
        <f t="shared" si="63"/>
        <v>0</v>
      </c>
      <c r="P479" s="5">
        <f t="shared" si="63"/>
        <v>0</v>
      </c>
    </row>
    <row r="480" spans="1:16" x14ac:dyDescent="0.25">
      <c r="A480" s="5" t="str">
        <f t="shared" si="61"/>
        <v>Tây Ninh</v>
      </c>
      <c r="B480" s="5">
        <f t="shared" si="61"/>
        <v>2020</v>
      </c>
      <c r="C480" s="9">
        <f t="shared" si="51"/>
        <v>0.94159685872394161</v>
      </c>
      <c r="D480" s="9">
        <f t="shared" si="52"/>
        <v>-5.559532506609615E-2</v>
      </c>
      <c r="E480" s="9">
        <f t="shared" si="53"/>
        <v>-0.44343512589837736</v>
      </c>
      <c r="F480" s="9">
        <f t="shared" si="54"/>
        <v>1.747768250177625E-2</v>
      </c>
      <c r="G480" s="9">
        <f t="shared" si="55"/>
        <v>-1.0473733938614074</v>
      </c>
      <c r="H480" s="9">
        <f t="shared" si="56"/>
        <v>0.21412352658067785</v>
      </c>
      <c r="I480" s="9">
        <f t="shared" si="57"/>
        <v>-0.11176544036644882</v>
      </c>
      <c r="J480" s="9">
        <f t="shared" si="58"/>
        <v>0.87278801448650223</v>
      </c>
      <c r="K480" s="9">
        <f t="shared" si="59"/>
        <v>-0.72828839841409909</v>
      </c>
      <c r="L480" s="5">
        <f t="shared" si="63"/>
        <v>1</v>
      </c>
      <c r="M480" s="5">
        <f t="shared" si="63"/>
        <v>0</v>
      </c>
      <c r="N480" s="5">
        <f t="shared" si="63"/>
        <v>0</v>
      </c>
      <c r="O480" s="5">
        <f t="shared" si="63"/>
        <v>0</v>
      </c>
      <c r="P480" s="5">
        <f t="shared" si="63"/>
        <v>0</v>
      </c>
    </row>
    <row r="481" spans="1:16" x14ac:dyDescent="0.25">
      <c r="A481" s="5" t="str">
        <f t="shared" si="61"/>
        <v>Vĩnh Long</v>
      </c>
      <c r="B481" s="5">
        <f t="shared" si="61"/>
        <v>2020</v>
      </c>
      <c r="C481" s="9">
        <f t="shared" si="51"/>
        <v>0.64735541965872245</v>
      </c>
      <c r="D481" s="9">
        <f t="shared" si="52"/>
        <v>-0.6501725671835592</v>
      </c>
      <c r="E481" s="9">
        <f t="shared" si="53"/>
        <v>-0.66537814442085885</v>
      </c>
      <c r="F481" s="9">
        <f t="shared" si="54"/>
        <v>-0.53086078683378901</v>
      </c>
      <c r="G481" s="9">
        <f t="shared" si="55"/>
        <v>-0.91933530203192215</v>
      </c>
      <c r="H481" s="9">
        <f t="shared" si="56"/>
        <v>-1.8041369998733234</v>
      </c>
      <c r="I481" s="9">
        <f t="shared" si="57"/>
        <v>-0.5954546601859918</v>
      </c>
      <c r="J481" s="9">
        <f t="shared" si="58"/>
        <v>-0.50242839946121387</v>
      </c>
      <c r="K481" s="9">
        <f t="shared" si="59"/>
        <v>-0.58327104633747406</v>
      </c>
      <c r="L481" s="5">
        <f t="shared" si="63"/>
        <v>1</v>
      </c>
      <c r="M481" s="5">
        <f t="shared" si="63"/>
        <v>0</v>
      </c>
      <c r="N481" s="5">
        <f t="shared" si="63"/>
        <v>0</v>
      </c>
      <c r="O481" s="5">
        <f t="shared" si="63"/>
        <v>0</v>
      </c>
      <c r="P481" s="5">
        <f t="shared" si="63"/>
        <v>0</v>
      </c>
    </row>
    <row r="482" spans="1:16" x14ac:dyDescent="0.25">
      <c r="A482" s="5" t="str">
        <f t="shared" ref="A482:B501" si="64">A106</f>
        <v>Vĩnh Phúc</v>
      </c>
      <c r="B482" s="5">
        <f t="shared" si="64"/>
        <v>2020</v>
      </c>
      <c r="C482" s="9">
        <f t="shared" si="51"/>
        <v>1.1017868785139082</v>
      </c>
      <c r="D482" s="9">
        <f t="shared" si="52"/>
        <v>0.7776494805946057</v>
      </c>
      <c r="E482" s="9">
        <f t="shared" si="53"/>
        <v>0.15336761473409369</v>
      </c>
      <c r="F482" s="9">
        <f t="shared" si="54"/>
        <v>-0.11719197266146643</v>
      </c>
      <c r="G482" s="9">
        <f t="shared" si="55"/>
        <v>0.57056249380208546</v>
      </c>
      <c r="H482" s="9">
        <f t="shared" si="56"/>
        <v>0.65731346636267785</v>
      </c>
      <c r="I482" s="9">
        <f t="shared" si="57"/>
        <v>-0.44919044071464032</v>
      </c>
      <c r="J482" s="9">
        <f t="shared" si="58"/>
        <v>0.63006334349957438</v>
      </c>
      <c r="K482" s="9">
        <f t="shared" si="59"/>
        <v>1.0453853692923158</v>
      </c>
      <c r="L482" s="5">
        <f t="shared" ref="L482:P491" si="65">L106</f>
        <v>1</v>
      </c>
      <c r="M482" s="5">
        <f t="shared" si="65"/>
        <v>0</v>
      </c>
      <c r="N482" s="5">
        <f t="shared" si="65"/>
        <v>0</v>
      </c>
      <c r="O482" s="5">
        <f t="shared" si="65"/>
        <v>0</v>
      </c>
      <c r="P482" s="5">
        <f t="shared" si="65"/>
        <v>0</v>
      </c>
    </row>
    <row r="483" spans="1:16" x14ac:dyDescent="0.25">
      <c r="A483" s="5" t="str">
        <f t="shared" si="64"/>
        <v>Yên Bái</v>
      </c>
      <c r="B483" s="5">
        <f t="shared" si="64"/>
        <v>2020</v>
      </c>
      <c r="C483" s="9">
        <f t="shared" si="51"/>
        <v>0.74843564620372016</v>
      </c>
      <c r="D483" s="9">
        <f t="shared" si="52"/>
        <v>-1.491540222666571</v>
      </c>
      <c r="E483" s="9">
        <f t="shared" si="53"/>
        <v>-0.77268453961475592</v>
      </c>
      <c r="F483" s="9">
        <f t="shared" si="54"/>
        <v>-0.64791542381112222</v>
      </c>
      <c r="G483" s="9">
        <f t="shared" si="55"/>
        <v>-0.53522102654346693</v>
      </c>
      <c r="H483" s="9">
        <f t="shared" si="56"/>
        <v>0.16709985158924387</v>
      </c>
      <c r="I483" s="9">
        <f t="shared" si="57"/>
        <v>-0.77695396137734329</v>
      </c>
      <c r="J483" s="9">
        <f t="shared" si="58"/>
        <v>-0.83404484905250864</v>
      </c>
      <c r="K483" s="9">
        <f t="shared" si="59"/>
        <v>-1.1075645499991187</v>
      </c>
      <c r="L483" s="5">
        <f t="shared" si="65"/>
        <v>1</v>
      </c>
      <c r="M483" s="5">
        <f t="shared" si="65"/>
        <v>0</v>
      </c>
      <c r="N483" s="5">
        <f t="shared" si="65"/>
        <v>0</v>
      </c>
      <c r="O483" s="5">
        <f t="shared" si="65"/>
        <v>0</v>
      </c>
      <c r="P483" s="5">
        <f t="shared" si="65"/>
        <v>0</v>
      </c>
    </row>
    <row r="484" spans="1:16" x14ac:dyDescent="0.25">
      <c r="A484" s="5" t="str">
        <f t="shared" si="64"/>
        <v>Đà Nẵng</v>
      </c>
      <c r="B484" s="5">
        <f t="shared" si="64"/>
        <v>2020</v>
      </c>
      <c r="C484" s="9">
        <f t="shared" si="51"/>
        <v>1.4899907121375093</v>
      </c>
      <c r="D484" s="9">
        <f t="shared" si="52"/>
        <v>0.36824872425020305</v>
      </c>
      <c r="E484" s="9">
        <f t="shared" si="53"/>
        <v>2.9250083194386987</v>
      </c>
      <c r="F484" s="9">
        <f t="shared" si="54"/>
        <v>3.1376088069801056</v>
      </c>
      <c r="G484" s="9">
        <f t="shared" si="55"/>
        <v>2.3630957794148757</v>
      </c>
      <c r="H484" s="9">
        <f t="shared" si="56"/>
        <v>0.96912798994410787</v>
      </c>
      <c r="I484" s="9">
        <f t="shared" si="57"/>
        <v>4.3637113766939279</v>
      </c>
      <c r="J484" s="9">
        <f t="shared" si="58"/>
        <v>0.66519096018829971</v>
      </c>
      <c r="K484" s="9">
        <f t="shared" si="59"/>
        <v>3.5776114401687709</v>
      </c>
      <c r="L484" s="5">
        <f t="shared" si="65"/>
        <v>1</v>
      </c>
      <c r="M484" s="5">
        <f t="shared" si="65"/>
        <v>0</v>
      </c>
      <c r="N484" s="5">
        <f t="shared" si="65"/>
        <v>0</v>
      </c>
      <c r="O484" s="5">
        <f t="shared" si="65"/>
        <v>0</v>
      </c>
      <c r="P484" s="5">
        <f t="shared" si="65"/>
        <v>0</v>
      </c>
    </row>
    <row r="485" spans="1:16" x14ac:dyDescent="0.25">
      <c r="A485" s="5" t="str">
        <f t="shared" si="64"/>
        <v>Đắk Lắk</v>
      </c>
      <c r="B485" s="5">
        <f t="shared" si="64"/>
        <v>2020</v>
      </c>
      <c r="C485" s="9">
        <f t="shared" si="51"/>
        <v>0.82356198753207832</v>
      </c>
      <c r="D485" s="9">
        <f t="shared" si="52"/>
        <v>-1.1557675057416676</v>
      </c>
      <c r="E485" s="9">
        <f t="shared" si="53"/>
        <v>-0.46522219285425404</v>
      </c>
      <c r="F485" s="9">
        <f t="shared" si="54"/>
        <v>-0.41551082903573761</v>
      </c>
      <c r="G485" s="9">
        <f t="shared" si="55"/>
        <v>-0.75637773061257774</v>
      </c>
      <c r="H485" s="9">
        <f t="shared" si="56"/>
        <v>-0.10476957311325008</v>
      </c>
      <c r="I485" s="9">
        <f t="shared" si="57"/>
        <v>-0.64091027940898027</v>
      </c>
      <c r="J485" s="9">
        <f t="shared" si="58"/>
        <v>-1.5541916984312993</v>
      </c>
      <c r="K485" s="9">
        <f t="shared" si="59"/>
        <v>0.11950535218770927</v>
      </c>
      <c r="L485" s="5">
        <f t="shared" si="65"/>
        <v>1</v>
      </c>
      <c r="M485" s="5">
        <f t="shared" si="65"/>
        <v>0</v>
      </c>
      <c r="N485" s="5">
        <f t="shared" si="65"/>
        <v>0</v>
      </c>
      <c r="O485" s="5">
        <f t="shared" si="65"/>
        <v>0</v>
      </c>
      <c r="P485" s="5">
        <f t="shared" si="65"/>
        <v>0</v>
      </c>
    </row>
    <row r="486" spans="1:16" x14ac:dyDescent="0.25">
      <c r="A486" s="5" t="str">
        <f t="shared" si="64"/>
        <v>Đắk Nông</v>
      </c>
      <c r="B486" s="5">
        <f t="shared" si="64"/>
        <v>2020</v>
      </c>
      <c r="C486" s="9">
        <f t="shared" si="51"/>
        <v>0.66902698897783552</v>
      </c>
      <c r="D486" s="9">
        <f t="shared" si="52"/>
        <v>-1.0570390311400464</v>
      </c>
      <c r="E486" s="9">
        <f t="shared" si="53"/>
        <v>-0.48639840746557328</v>
      </c>
      <c r="F486" s="9">
        <f t="shared" si="54"/>
        <v>-0.95191654411633175</v>
      </c>
      <c r="G486" s="9">
        <f t="shared" si="55"/>
        <v>-1.0939326999812198</v>
      </c>
      <c r="H486" s="9">
        <f t="shared" si="56"/>
        <v>-1.3905434553707245</v>
      </c>
      <c r="I486" s="9">
        <f t="shared" si="57"/>
        <v>-0.68888721741691683</v>
      </c>
      <c r="J486" s="9">
        <f t="shared" si="58"/>
        <v>-1.2702720811557837</v>
      </c>
      <c r="K486" s="9">
        <f t="shared" si="59"/>
        <v>0.35376415169610387</v>
      </c>
      <c r="L486" s="5">
        <f t="shared" si="65"/>
        <v>1</v>
      </c>
      <c r="M486" s="5">
        <f t="shared" si="65"/>
        <v>0</v>
      </c>
      <c r="N486" s="5">
        <f t="shared" si="65"/>
        <v>0</v>
      </c>
      <c r="O486" s="5">
        <f t="shared" si="65"/>
        <v>0</v>
      </c>
      <c r="P486" s="5">
        <f t="shared" si="65"/>
        <v>0</v>
      </c>
    </row>
    <row r="487" spans="1:16" x14ac:dyDescent="0.25">
      <c r="A487" s="5" t="str">
        <f t="shared" si="64"/>
        <v>Đồng Nai</v>
      </c>
      <c r="B487" s="5">
        <f t="shared" si="64"/>
        <v>2020</v>
      </c>
      <c r="C487" s="9">
        <f t="shared" si="51"/>
        <v>1.4038717248368946</v>
      </c>
      <c r="D487" s="9">
        <f t="shared" si="52"/>
        <v>0.97131160012929785</v>
      </c>
      <c r="E487" s="9">
        <f t="shared" si="53"/>
        <v>0.35983570719445734</v>
      </c>
      <c r="F487" s="9">
        <f t="shared" si="54"/>
        <v>0.69537176946273915</v>
      </c>
      <c r="G487" s="9">
        <f t="shared" si="55"/>
        <v>-0.13946692452505888</v>
      </c>
      <c r="H487" s="9">
        <f t="shared" si="56"/>
        <v>0.2990856231096235</v>
      </c>
      <c r="I487" s="9">
        <f t="shared" si="57"/>
        <v>-0.58623906322769392</v>
      </c>
      <c r="J487" s="9">
        <f t="shared" si="58"/>
        <v>1.1529336831574128</v>
      </c>
      <c r="K487" s="9">
        <f t="shared" si="59"/>
        <v>0.37607451355404609</v>
      </c>
      <c r="L487" s="5">
        <f t="shared" si="65"/>
        <v>1</v>
      </c>
      <c r="M487" s="5">
        <f t="shared" si="65"/>
        <v>0</v>
      </c>
      <c r="N487" s="5">
        <f t="shared" si="65"/>
        <v>0</v>
      </c>
      <c r="O487" s="5">
        <f t="shared" si="65"/>
        <v>0</v>
      </c>
      <c r="P487" s="5">
        <f t="shared" si="65"/>
        <v>0</v>
      </c>
    </row>
    <row r="488" spans="1:16" x14ac:dyDescent="0.25">
      <c r="A488" s="5" t="str">
        <f t="shared" si="64"/>
        <v>Đồng Tháp</v>
      </c>
      <c r="B488" s="5">
        <f t="shared" si="64"/>
        <v>2020</v>
      </c>
      <c r="C488" s="9">
        <f t="shared" si="51"/>
        <v>0.9130121882770128</v>
      </c>
      <c r="D488" s="9">
        <f t="shared" si="52"/>
        <v>-0.81404082142988288</v>
      </c>
      <c r="E488" s="9">
        <f t="shared" si="53"/>
        <v>-0.73582978149313283</v>
      </c>
      <c r="F488" s="9">
        <f t="shared" si="54"/>
        <v>-0.7331493827751997</v>
      </c>
      <c r="G488" s="9">
        <f t="shared" si="55"/>
        <v>-1.0124539142715476</v>
      </c>
      <c r="H488" s="9">
        <f t="shared" si="56"/>
        <v>-1.9648954144761948</v>
      </c>
      <c r="I488" s="9">
        <f t="shared" si="57"/>
        <v>-0.56451090045968277</v>
      </c>
      <c r="J488" s="9">
        <f t="shared" si="58"/>
        <v>-1.8119273133588913</v>
      </c>
      <c r="K488" s="9">
        <f t="shared" si="59"/>
        <v>-0.42709851333187759</v>
      </c>
      <c r="L488" s="5">
        <f t="shared" si="65"/>
        <v>1</v>
      </c>
      <c r="M488" s="5">
        <f t="shared" si="65"/>
        <v>0</v>
      </c>
      <c r="N488" s="5">
        <f t="shared" si="65"/>
        <v>0</v>
      </c>
      <c r="O488" s="5">
        <f t="shared" si="65"/>
        <v>0</v>
      </c>
      <c r="P488" s="5">
        <f t="shared" si="65"/>
        <v>0</v>
      </c>
    </row>
    <row r="489" spans="1:16" x14ac:dyDescent="0.25">
      <c r="A489" s="5" t="str">
        <f t="shared" si="64"/>
        <v>An Giang</v>
      </c>
      <c r="B489" s="5">
        <f t="shared" si="64"/>
        <v>2021</v>
      </c>
      <c r="C489" s="9">
        <f t="shared" si="51"/>
        <v>-1.8174232496481533</v>
      </c>
      <c r="D489" s="9">
        <f t="shared" si="52"/>
        <v>-1.0764521391712467</v>
      </c>
      <c r="E489" s="9">
        <f t="shared" si="53"/>
        <v>-0.67759519131200463</v>
      </c>
      <c r="F489" s="9">
        <f t="shared" si="54"/>
        <v>0.10214341507275959</v>
      </c>
      <c r="G489" s="9">
        <f t="shared" si="55"/>
        <v>-1.1986911387507986</v>
      </c>
      <c r="H489" s="9">
        <f t="shared" si="56"/>
        <v>-0.93112249951281889</v>
      </c>
      <c r="I489" s="9">
        <f t="shared" si="57"/>
        <v>-0.68805559454071152</v>
      </c>
      <c r="J489" s="9">
        <f t="shared" si="58"/>
        <v>-1.5816522799943853</v>
      </c>
      <c r="K489" s="9">
        <f t="shared" si="59"/>
        <v>-0.19283971382348339</v>
      </c>
      <c r="L489" s="5">
        <f t="shared" si="65"/>
        <v>0</v>
      </c>
      <c r="M489" s="5">
        <f t="shared" si="65"/>
        <v>1</v>
      </c>
      <c r="N489" s="5">
        <f t="shared" si="65"/>
        <v>0</v>
      </c>
      <c r="O489" s="5">
        <f t="shared" si="65"/>
        <v>0</v>
      </c>
      <c r="P489" s="5">
        <f t="shared" si="65"/>
        <v>0</v>
      </c>
    </row>
    <row r="490" spans="1:16" x14ac:dyDescent="0.25">
      <c r="A490" s="5" t="str">
        <f t="shared" si="64"/>
        <v>Bà Rịa - Vũng Tàu</v>
      </c>
      <c r="B490" s="5">
        <f t="shared" si="64"/>
        <v>2021</v>
      </c>
      <c r="C490" s="9">
        <f t="shared" si="51"/>
        <v>-0.97047430941329449</v>
      </c>
      <c r="D490" s="9">
        <f t="shared" si="52"/>
        <v>3.1796638787738289</v>
      </c>
      <c r="E490" s="9">
        <f t="shared" si="53"/>
        <v>0.77704785852708547</v>
      </c>
      <c r="F490" s="9">
        <f t="shared" si="54"/>
        <v>1.4982756629043488</v>
      </c>
      <c r="G490" s="9">
        <f t="shared" si="55"/>
        <v>0.72188023869147655</v>
      </c>
      <c r="H490" s="9">
        <f t="shared" si="56"/>
        <v>-0.43126025076367824</v>
      </c>
      <c r="I490" s="9">
        <f t="shared" si="57"/>
        <v>-0.1099786288788045</v>
      </c>
      <c r="J490" s="9">
        <f t="shared" si="58"/>
        <v>1.8300031388482183</v>
      </c>
      <c r="K490" s="9">
        <f t="shared" si="59"/>
        <v>0.71072994142318102</v>
      </c>
      <c r="L490" s="5">
        <f t="shared" si="65"/>
        <v>0</v>
      </c>
      <c r="M490" s="5">
        <f t="shared" si="65"/>
        <v>1</v>
      </c>
      <c r="N490" s="5">
        <f t="shared" si="65"/>
        <v>0</v>
      </c>
      <c r="O490" s="5">
        <f t="shared" si="65"/>
        <v>0</v>
      </c>
      <c r="P490" s="5">
        <f t="shared" si="65"/>
        <v>0</v>
      </c>
    </row>
    <row r="491" spans="1:16" x14ac:dyDescent="0.25">
      <c r="A491" s="5" t="str">
        <f t="shared" si="64"/>
        <v>Bình Dương</v>
      </c>
      <c r="B491" s="5">
        <f t="shared" si="64"/>
        <v>2021</v>
      </c>
      <c r="C491" s="9">
        <f t="shared" si="51"/>
        <v>-0.42655880340519925</v>
      </c>
      <c r="D491" s="9">
        <f t="shared" si="52"/>
        <v>1.6989191089141114</v>
      </c>
      <c r="E491" s="9">
        <f t="shared" si="53"/>
        <v>1.7582803413342774</v>
      </c>
      <c r="F491" s="9">
        <f t="shared" si="54"/>
        <v>2.9711184738036076</v>
      </c>
      <c r="G491" s="9">
        <f t="shared" si="55"/>
        <v>-0.31406432247435662</v>
      </c>
      <c r="H491" s="9">
        <f t="shared" si="56"/>
        <v>0.87846431837521766</v>
      </c>
      <c r="I491" s="9">
        <f t="shared" si="57"/>
        <v>-0.54067232113469088</v>
      </c>
      <c r="J491" s="9">
        <f t="shared" si="58"/>
        <v>1.3993178141158571</v>
      </c>
      <c r="K491" s="9">
        <f t="shared" si="59"/>
        <v>-0.2039948947524543</v>
      </c>
      <c r="L491" s="5">
        <f t="shared" si="65"/>
        <v>0</v>
      </c>
      <c r="M491" s="5">
        <f t="shared" si="65"/>
        <v>1</v>
      </c>
      <c r="N491" s="5">
        <f t="shared" si="65"/>
        <v>0</v>
      </c>
      <c r="O491" s="5">
        <f t="shared" si="65"/>
        <v>0</v>
      </c>
      <c r="P491" s="5">
        <f t="shared" si="65"/>
        <v>0</v>
      </c>
    </row>
    <row r="492" spans="1:16" x14ac:dyDescent="0.25">
      <c r="A492" s="5" t="str">
        <f t="shared" si="64"/>
        <v>Bình Phước</v>
      </c>
      <c r="B492" s="5">
        <f t="shared" si="64"/>
        <v>2021</v>
      </c>
      <c r="C492" s="9">
        <f t="shared" si="51"/>
        <v>-1.9100896430674019</v>
      </c>
      <c r="D492" s="9">
        <f t="shared" si="52"/>
        <v>9.4573269577238935E-3</v>
      </c>
      <c r="E492" s="9">
        <f t="shared" si="53"/>
        <v>4.035993099099533E-2</v>
      </c>
      <c r="F492" s="9">
        <f t="shared" si="54"/>
        <v>-0.44733150704899316</v>
      </c>
      <c r="G492" s="9">
        <f t="shared" si="55"/>
        <v>-0.52358120001351405</v>
      </c>
      <c r="H492" s="9">
        <f t="shared" si="56"/>
        <v>-1.5064735876696993</v>
      </c>
      <c r="I492" s="9">
        <f t="shared" si="57"/>
        <v>-0.36059033993215428</v>
      </c>
      <c r="J492" s="9">
        <f t="shared" si="58"/>
        <v>0.49156996791624552</v>
      </c>
      <c r="K492" s="9">
        <f t="shared" si="59"/>
        <v>-0.27092598032628146</v>
      </c>
      <c r="L492" s="5">
        <f t="shared" ref="L492:P501" si="66">L116</f>
        <v>0</v>
      </c>
      <c r="M492" s="5">
        <f t="shared" si="66"/>
        <v>1</v>
      </c>
      <c r="N492" s="5">
        <f t="shared" si="66"/>
        <v>0</v>
      </c>
      <c r="O492" s="5">
        <f t="shared" si="66"/>
        <v>0</v>
      </c>
      <c r="P492" s="5">
        <f t="shared" si="66"/>
        <v>0</v>
      </c>
    </row>
    <row r="493" spans="1:16" x14ac:dyDescent="0.25">
      <c r="A493" s="5" t="str">
        <f t="shared" si="64"/>
        <v>Bình Thuận</v>
      </c>
      <c r="B493" s="5">
        <f t="shared" si="64"/>
        <v>2021</v>
      </c>
      <c r="C493" s="9">
        <f t="shared" si="51"/>
        <v>-1.7233355743415089</v>
      </c>
      <c r="D493" s="9">
        <f t="shared" si="52"/>
        <v>-7.4521124390512353E-2</v>
      </c>
      <c r="E493" s="9">
        <f t="shared" si="53"/>
        <v>-0.3023282343056436</v>
      </c>
      <c r="F493" s="9">
        <f t="shared" si="54"/>
        <v>0.3675051406475876</v>
      </c>
      <c r="G493" s="9">
        <f t="shared" si="55"/>
        <v>-0.62833963878309251</v>
      </c>
      <c r="H493" s="9">
        <f t="shared" si="56"/>
        <v>-1.0932454138012686</v>
      </c>
      <c r="I493" s="9">
        <f t="shared" si="57"/>
        <v>-0.80895138597386607</v>
      </c>
      <c r="J493" s="9">
        <f t="shared" si="58"/>
        <v>0.37858162730888467</v>
      </c>
      <c r="K493" s="9">
        <f t="shared" si="59"/>
        <v>-2.5511999888915934E-2</v>
      </c>
      <c r="L493" s="5">
        <f t="shared" si="66"/>
        <v>0</v>
      </c>
      <c r="M493" s="5">
        <f t="shared" si="66"/>
        <v>1</v>
      </c>
      <c r="N493" s="5">
        <f t="shared" si="66"/>
        <v>0</v>
      </c>
      <c r="O493" s="5">
        <f t="shared" si="66"/>
        <v>0</v>
      </c>
      <c r="P493" s="5">
        <f t="shared" si="66"/>
        <v>0</v>
      </c>
    </row>
    <row r="494" spans="1:16" x14ac:dyDescent="0.25">
      <c r="A494" s="5" t="str">
        <f t="shared" si="64"/>
        <v>Bình Định</v>
      </c>
      <c r="B494" s="5">
        <f t="shared" si="64"/>
        <v>2021</v>
      </c>
      <c r="C494" s="9">
        <f t="shared" si="51"/>
        <v>-1.6062854890966463</v>
      </c>
      <c r="D494" s="9">
        <f t="shared" si="52"/>
        <v>-0.40402352045504886</v>
      </c>
      <c r="E494" s="9">
        <f t="shared" si="53"/>
        <v>-0.24266832198721505</v>
      </c>
      <c r="F494" s="9">
        <f t="shared" si="54"/>
        <v>0.5186533612105515</v>
      </c>
      <c r="G494" s="9">
        <f t="shared" si="55"/>
        <v>0.15152873872377071</v>
      </c>
      <c r="H494" s="9">
        <f t="shared" si="56"/>
        <v>0.49681655978604233</v>
      </c>
      <c r="I494" s="9">
        <f t="shared" si="57"/>
        <v>-0.42735916719806027</v>
      </c>
      <c r="J494" s="9">
        <f t="shared" si="58"/>
        <v>-0.51191788601315813</v>
      </c>
      <c r="K494" s="9">
        <f t="shared" si="59"/>
        <v>0.44300559912787324</v>
      </c>
      <c r="L494" s="5">
        <f t="shared" si="66"/>
        <v>0</v>
      </c>
      <c r="M494" s="5">
        <f t="shared" si="66"/>
        <v>1</v>
      </c>
      <c r="N494" s="5">
        <f t="shared" si="66"/>
        <v>0</v>
      </c>
      <c r="O494" s="5">
        <f t="shared" si="66"/>
        <v>0</v>
      </c>
      <c r="P494" s="5">
        <f t="shared" si="66"/>
        <v>0</v>
      </c>
    </row>
    <row r="495" spans="1:16" x14ac:dyDescent="0.25">
      <c r="A495" s="5" t="str">
        <f t="shared" si="64"/>
        <v>Bắc Giang</v>
      </c>
      <c r="B495" s="5">
        <f t="shared" si="64"/>
        <v>2021</v>
      </c>
      <c r="C495" s="9">
        <f t="shared" si="51"/>
        <v>-1.5887850541089081</v>
      </c>
      <c r="D495" s="9">
        <f t="shared" si="52"/>
        <v>-0.17483716337796365</v>
      </c>
      <c r="E495" s="9">
        <f t="shared" si="53"/>
        <v>-0.42266614618342957</v>
      </c>
      <c r="F495" s="9">
        <f t="shared" si="54"/>
        <v>-0.78485798454674005</v>
      </c>
      <c r="G495" s="9">
        <f t="shared" si="55"/>
        <v>0.34940578973297476</v>
      </c>
      <c r="H495" s="9">
        <f t="shared" si="56"/>
        <v>0.21823576922125279</v>
      </c>
      <c r="I495" s="9">
        <f t="shared" si="57"/>
        <v>-0.55250655226096679</v>
      </c>
      <c r="J495" s="9">
        <f t="shared" si="58"/>
        <v>0.64369666387022162</v>
      </c>
      <c r="K495" s="9">
        <f t="shared" si="59"/>
        <v>-0.15937417103656981</v>
      </c>
      <c r="L495" s="5">
        <f t="shared" si="66"/>
        <v>0</v>
      </c>
      <c r="M495" s="5">
        <f t="shared" si="66"/>
        <v>1</v>
      </c>
      <c r="N495" s="5">
        <f t="shared" si="66"/>
        <v>0</v>
      </c>
      <c r="O495" s="5">
        <f t="shared" si="66"/>
        <v>0</v>
      </c>
      <c r="P495" s="5">
        <f t="shared" si="66"/>
        <v>0</v>
      </c>
    </row>
    <row r="496" spans="1:16" x14ac:dyDescent="0.25">
      <c r="A496" s="5" t="str">
        <f t="shared" si="64"/>
        <v>Bắc Kạn</v>
      </c>
      <c r="B496" s="5">
        <f t="shared" si="64"/>
        <v>2021</v>
      </c>
      <c r="C496" s="9">
        <f t="shared" si="51"/>
        <v>-2.2528737247280848</v>
      </c>
      <c r="D496" s="9">
        <f t="shared" si="52"/>
        <v>-1.3447867475588615</v>
      </c>
      <c r="E496" s="9">
        <f t="shared" si="53"/>
        <v>-0.7834762643686014</v>
      </c>
      <c r="F496" s="9">
        <f t="shared" si="54"/>
        <v>-0.53711127715782148</v>
      </c>
      <c r="G496" s="9">
        <f t="shared" si="55"/>
        <v>0.3843252693228344</v>
      </c>
      <c r="H496" s="9">
        <f t="shared" si="56"/>
        <v>-1.0342114645477323</v>
      </c>
      <c r="I496" s="9">
        <f t="shared" si="57"/>
        <v>-0.32189210454036632</v>
      </c>
      <c r="J496" s="9">
        <f t="shared" si="58"/>
        <v>-2.7645060746909191</v>
      </c>
      <c r="K496" s="9">
        <f t="shared" si="59"/>
        <v>-0.31554670404216595</v>
      </c>
      <c r="L496" s="5">
        <f t="shared" si="66"/>
        <v>0</v>
      </c>
      <c r="M496" s="5">
        <f t="shared" si="66"/>
        <v>1</v>
      </c>
      <c r="N496" s="5">
        <f t="shared" si="66"/>
        <v>0</v>
      </c>
      <c r="O496" s="5">
        <f t="shared" si="66"/>
        <v>0</v>
      </c>
      <c r="P496" s="5">
        <f t="shared" si="66"/>
        <v>0</v>
      </c>
    </row>
    <row r="497" spans="1:16" x14ac:dyDescent="0.25">
      <c r="A497" s="5" t="str">
        <f t="shared" si="64"/>
        <v>Bắc Ninh</v>
      </c>
      <c r="B497" s="5">
        <f t="shared" si="64"/>
        <v>2021</v>
      </c>
      <c r="C497" s="9">
        <f t="shared" si="51"/>
        <v>-1.0538190663602414</v>
      </c>
      <c r="D497" s="9">
        <f t="shared" si="52"/>
        <v>1.7033457167458166</v>
      </c>
      <c r="E497" s="9">
        <f t="shared" si="53"/>
        <v>0.74548715405829236</v>
      </c>
      <c r="F497" s="9">
        <f t="shared" si="54"/>
        <v>0.26238325792522527</v>
      </c>
      <c r="G497" s="9">
        <f t="shared" si="55"/>
        <v>1.1409139937697914</v>
      </c>
      <c r="H497" s="9">
        <f t="shared" si="56"/>
        <v>0.18150837704454148</v>
      </c>
      <c r="I497" s="9">
        <f t="shared" si="57"/>
        <v>0.47178368587581604</v>
      </c>
      <c r="J497" s="9">
        <f t="shared" si="58"/>
        <v>1.4351344591887802</v>
      </c>
      <c r="K497" s="9">
        <f t="shared" si="59"/>
        <v>0.73304030328112324</v>
      </c>
      <c r="L497" s="5">
        <f t="shared" si="66"/>
        <v>0</v>
      </c>
      <c r="M497" s="5">
        <f t="shared" si="66"/>
        <v>1</v>
      </c>
      <c r="N497" s="5">
        <f t="shared" si="66"/>
        <v>0</v>
      </c>
      <c r="O497" s="5">
        <f t="shared" si="66"/>
        <v>0</v>
      </c>
      <c r="P497" s="5">
        <f t="shared" si="66"/>
        <v>0</v>
      </c>
    </row>
    <row r="498" spans="1:16" x14ac:dyDescent="0.25">
      <c r="A498" s="5" t="str">
        <f t="shared" si="64"/>
        <v>Bến Tre</v>
      </c>
      <c r="B498" s="5">
        <f t="shared" si="64"/>
        <v>2021</v>
      </c>
      <c r="C498" s="9">
        <f t="shared" si="51"/>
        <v>-1.5354712132775992</v>
      </c>
      <c r="D498" s="9">
        <f t="shared" si="52"/>
        <v>-1.2326666728712163</v>
      </c>
      <c r="E498" s="9">
        <f t="shared" si="53"/>
        <v>-0.64969960091055512</v>
      </c>
      <c r="F498" s="9">
        <f t="shared" si="54"/>
        <v>-1.2576223436008231</v>
      </c>
      <c r="G498" s="9">
        <f t="shared" si="55"/>
        <v>-1.2568902714005645</v>
      </c>
      <c r="H498" s="9">
        <f t="shared" si="56"/>
        <v>-1.4310476600502029</v>
      </c>
      <c r="I498" s="9">
        <f t="shared" si="57"/>
        <v>-0.69469413172579686</v>
      </c>
      <c r="J498" s="9">
        <f t="shared" si="58"/>
        <v>-0.22417758301824042</v>
      </c>
      <c r="K498" s="9">
        <f t="shared" si="59"/>
        <v>-0.83984020770381074</v>
      </c>
      <c r="L498" s="5">
        <f t="shared" si="66"/>
        <v>0</v>
      </c>
      <c r="M498" s="5">
        <f t="shared" si="66"/>
        <v>1</v>
      </c>
      <c r="N498" s="5">
        <f t="shared" si="66"/>
        <v>0</v>
      </c>
      <c r="O498" s="5">
        <f t="shared" si="66"/>
        <v>0</v>
      </c>
      <c r="P498" s="5">
        <f t="shared" si="66"/>
        <v>0</v>
      </c>
    </row>
    <row r="499" spans="1:16" x14ac:dyDescent="0.25">
      <c r="A499" s="5" t="str">
        <f t="shared" si="64"/>
        <v>Cà Mau</v>
      </c>
      <c r="B499" s="5">
        <f t="shared" si="64"/>
        <v>2021</v>
      </c>
      <c r="C499" s="9">
        <f t="shared" si="51"/>
        <v>-2.0271115056053413</v>
      </c>
      <c r="D499" s="9">
        <f t="shared" si="52"/>
        <v>-0.88475977049425014</v>
      </c>
      <c r="E499" s="9">
        <f t="shared" si="53"/>
        <v>-0.57904434639009539</v>
      </c>
      <c r="F499" s="9">
        <f t="shared" si="54"/>
        <v>-0.52631497568903829</v>
      </c>
      <c r="G499" s="9">
        <f t="shared" si="55"/>
        <v>-1.1172123530411264</v>
      </c>
      <c r="H499" s="9">
        <f t="shared" si="56"/>
        <v>-3.0069210735193375</v>
      </c>
      <c r="I499" s="9">
        <f t="shared" si="57"/>
        <v>-0.60142282411164849</v>
      </c>
      <c r="J499" s="9">
        <f t="shared" si="58"/>
        <v>-1.6864821407560477</v>
      </c>
      <c r="K499" s="9">
        <f t="shared" si="59"/>
        <v>-0.87330575049072412</v>
      </c>
      <c r="L499" s="5">
        <f t="shared" si="66"/>
        <v>0</v>
      </c>
      <c r="M499" s="5">
        <f t="shared" si="66"/>
        <v>1</v>
      </c>
      <c r="N499" s="5">
        <f t="shared" si="66"/>
        <v>0</v>
      </c>
      <c r="O499" s="5">
        <f t="shared" si="66"/>
        <v>0</v>
      </c>
      <c r="P499" s="5">
        <f t="shared" si="66"/>
        <v>0</v>
      </c>
    </row>
    <row r="500" spans="1:16" x14ac:dyDescent="0.25">
      <c r="A500" s="5" t="str">
        <f t="shared" si="64"/>
        <v>Cần Thơ</v>
      </c>
      <c r="B500" s="5">
        <f t="shared" si="64"/>
        <v>2021</v>
      </c>
      <c r="C500" s="9">
        <f t="shared" si="51"/>
        <v>-1.1808661281832371</v>
      </c>
      <c r="D500" s="9">
        <f t="shared" si="52"/>
        <v>-5.873894444602102E-2</v>
      </c>
      <c r="E500" s="9">
        <f t="shared" si="53"/>
        <v>0.37571786815294689</v>
      </c>
      <c r="F500" s="9">
        <f t="shared" si="54"/>
        <v>2.1756015234722175</v>
      </c>
      <c r="G500" s="9">
        <f t="shared" si="55"/>
        <v>5.8410126484145161E-2</v>
      </c>
      <c r="H500" s="9">
        <f t="shared" si="56"/>
        <v>-1.8589898739005495</v>
      </c>
      <c r="I500" s="9">
        <f t="shared" si="57"/>
        <v>2.9021535642465082E-2</v>
      </c>
      <c r="J500" s="9">
        <f t="shared" si="58"/>
        <v>-2.9125353182990914E-2</v>
      </c>
      <c r="K500" s="9">
        <f t="shared" si="59"/>
        <v>0.57686777027552716</v>
      </c>
      <c r="L500" s="5">
        <f t="shared" si="66"/>
        <v>0</v>
      </c>
      <c r="M500" s="5">
        <f t="shared" si="66"/>
        <v>1</v>
      </c>
      <c r="N500" s="5">
        <f t="shared" si="66"/>
        <v>0</v>
      </c>
      <c r="O500" s="5">
        <f t="shared" si="66"/>
        <v>0</v>
      </c>
      <c r="P500" s="5">
        <f t="shared" si="66"/>
        <v>0</v>
      </c>
    </row>
    <row r="501" spans="1:16" x14ac:dyDescent="0.25">
      <c r="A501" s="5" t="str">
        <f t="shared" si="64"/>
        <v>Gia Lai</v>
      </c>
      <c r="B501" s="5">
        <f t="shared" si="64"/>
        <v>2021</v>
      </c>
      <c r="C501" s="9">
        <f t="shared" si="51"/>
        <v>-1.9238454686980537</v>
      </c>
      <c r="D501" s="9">
        <f t="shared" si="52"/>
        <v>-1.0522109791923908</v>
      </c>
      <c r="E501" s="9">
        <f t="shared" si="53"/>
        <v>-0.56804900418806425</v>
      </c>
      <c r="F501" s="9">
        <f t="shared" si="54"/>
        <v>-0.15924072575041123</v>
      </c>
      <c r="G501" s="9">
        <f t="shared" si="55"/>
        <v>-0.90769547550196894</v>
      </c>
      <c r="H501" s="9">
        <f t="shared" si="56"/>
        <v>-2.8503064820165704E-2</v>
      </c>
      <c r="I501" s="9">
        <f t="shared" si="57"/>
        <v>-9.3861550276695599E-2</v>
      </c>
      <c r="J501" s="9">
        <f t="shared" si="58"/>
        <v>-3.1365895955709369</v>
      </c>
      <c r="K501" s="9">
        <f t="shared" si="59"/>
        <v>-0.65020213191130083</v>
      </c>
      <c r="L501" s="5">
        <f t="shared" si="66"/>
        <v>0</v>
      </c>
      <c r="M501" s="5">
        <f t="shared" si="66"/>
        <v>1</v>
      </c>
      <c r="N501" s="5">
        <f t="shared" si="66"/>
        <v>0</v>
      </c>
      <c r="O501" s="5">
        <f t="shared" si="66"/>
        <v>0</v>
      </c>
      <c r="P501" s="5">
        <f t="shared" si="66"/>
        <v>0</v>
      </c>
    </row>
    <row r="502" spans="1:16" x14ac:dyDescent="0.25">
      <c r="A502" s="5" t="str">
        <f t="shared" ref="A502:B521" si="67">A126</f>
        <v>Hà Nam</v>
      </c>
      <c r="B502" s="5">
        <f t="shared" si="67"/>
        <v>2021</v>
      </c>
      <c r="C502" s="9">
        <f t="shared" si="51"/>
        <v>-1.5672141307815781</v>
      </c>
      <c r="D502" s="9">
        <f t="shared" si="52"/>
        <v>6.4005136609976299E-3</v>
      </c>
      <c r="E502" s="9">
        <f t="shared" si="53"/>
        <v>-7.8756276197675973E-2</v>
      </c>
      <c r="F502" s="9">
        <f t="shared" si="54"/>
        <v>-0.23026902488714246</v>
      </c>
      <c r="G502" s="9">
        <f t="shared" si="55"/>
        <v>0.45416422850255367</v>
      </c>
      <c r="H502" s="9">
        <f t="shared" si="56"/>
        <v>0.383279160907949</v>
      </c>
      <c r="I502" s="9">
        <f t="shared" si="57"/>
        <v>-0.24024928389008246</v>
      </c>
      <c r="J502" s="9">
        <f t="shared" si="58"/>
        <v>0.77233711236872982</v>
      </c>
      <c r="K502" s="9">
        <f t="shared" si="59"/>
        <v>0.1752812568325651</v>
      </c>
      <c r="L502" s="5">
        <f t="shared" ref="L502:P511" si="68">L126</f>
        <v>0</v>
      </c>
      <c r="M502" s="5">
        <f t="shared" si="68"/>
        <v>1</v>
      </c>
      <c r="N502" s="5">
        <f t="shared" si="68"/>
        <v>0</v>
      </c>
      <c r="O502" s="5">
        <f t="shared" si="68"/>
        <v>0</v>
      </c>
      <c r="P502" s="5">
        <f t="shared" si="68"/>
        <v>0</v>
      </c>
    </row>
    <row r="503" spans="1:16" x14ac:dyDescent="0.25">
      <c r="A503" s="5" t="str">
        <f t="shared" si="67"/>
        <v>Hà Nội</v>
      </c>
      <c r="B503" s="5">
        <f t="shared" si="67"/>
        <v>2021</v>
      </c>
      <c r="C503" s="9">
        <f t="shared" si="51"/>
        <v>1.4230294959045084</v>
      </c>
      <c r="D503" s="9">
        <f t="shared" si="52"/>
        <v>1.2237048472542396</v>
      </c>
      <c r="E503" s="9">
        <f t="shared" si="53"/>
        <v>3.1673130827797564</v>
      </c>
      <c r="F503" s="9">
        <f t="shared" si="54"/>
        <v>0.97323447568563137</v>
      </c>
      <c r="G503" s="9">
        <f t="shared" si="55"/>
        <v>3.096404850801926</v>
      </c>
      <c r="H503" s="9">
        <f t="shared" si="56"/>
        <v>0.3877296250619004</v>
      </c>
      <c r="I503" s="9">
        <f t="shared" si="57"/>
        <v>0.39021877654929754</v>
      </c>
      <c r="J503" s="9">
        <f t="shared" si="58"/>
        <v>0.63151797126551146</v>
      </c>
      <c r="K503" s="9">
        <f t="shared" si="59"/>
        <v>3.5218355355239144</v>
      </c>
      <c r="L503" s="5">
        <f t="shared" si="68"/>
        <v>0</v>
      </c>
      <c r="M503" s="5">
        <f t="shared" si="68"/>
        <v>1</v>
      </c>
      <c r="N503" s="5">
        <f t="shared" si="68"/>
        <v>0</v>
      </c>
      <c r="O503" s="5">
        <f t="shared" si="68"/>
        <v>0</v>
      </c>
      <c r="P503" s="5">
        <f t="shared" si="68"/>
        <v>0</v>
      </c>
    </row>
    <row r="504" spans="1:16" x14ac:dyDescent="0.25">
      <c r="A504" s="5" t="str">
        <f t="shared" si="67"/>
        <v>Hà Tĩnh</v>
      </c>
      <c r="B504" s="5">
        <f t="shared" si="67"/>
        <v>2021</v>
      </c>
      <c r="C504" s="9">
        <f t="shared" si="51"/>
        <v>-1.7377756395244468</v>
      </c>
      <c r="D504" s="9">
        <f t="shared" si="52"/>
        <v>-0.22160007130305143</v>
      </c>
      <c r="E504" s="9">
        <f t="shared" si="53"/>
        <v>-0.3898837370255217</v>
      </c>
      <c r="F504" s="9">
        <f t="shared" si="54"/>
        <v>-0.55302161616444923</v>
      </c>
      <c r="G504" s="9">
        <f t="shared" si="55"/>
        <v>0.79171919787119582</v>
      </c>
      <c r="H504" s="9">
        <f t="shared" si="56"/>
        <v>0.80444519553918759</v>
      </c>
      <c r="I504" s="9">
        <f t="shared" si="57"/>
        <v>-0.76108547891373091</v>
      </c>
      <c r="J504" s="9">
        <f t="shared" si="58"/>
        <v>1.0793870207376726</v>
      </c>
      <c r="K504" s="9">
        <f t="shared" si="59"/>
        <v>-0.2820811612552524</v>
      </c>
      <c r="L504" s="5">
        <f t="shared" si="68"/>
        <v>0</v>
      </c>
      <c r="M504" s="5">
        <f t="shared" si="68"/>
        <v>1</v>
      </c>
      <c r="N504" s="5">
        <f t="shared" si="68"/>
        <v>0</v>
      </c>
      <c r="O504" s="5">
        <f t="shared" si="68"/>
        <v>0</v>
      </c>
      <c r="P504" s="5">
        <f t="shared" si="68"/>
        <v>0</v>
      </c>
    </row>
    <row r="505" spans="1:16" x14ac:dyDescent="0.25">
      <c r="A505" s="5" t="str">
        <f t="shared" si="67"/>
        <v>Hòa Bình</v>
      </c>
      <c r="B505" s="5">
        <f t="shared" si="67"/>
        <v>2021</v>
      </c>
      <c r="C505" s="9">
        <f t="shared" si="51"/>
        <v>-2.0511371666492129</v>
      </c>
      <c r="D505" s="9">
        <f t="shared" si="52"/>
        <v>-0.57433851720940909</v>
      </c>
      <c r="E505" s="9">
        <f t="shared" si="53"/>
        <v>-0.5743611450818229</v>
      </c>
      <c r="F505" s="9">
        <f t="shared" si="54"/>
        <v>-0.45926426130396403</v>
      </c>
      <c r="G505" s="9">
        <f t="shared" si="55"/>
        <v>-1.1428832695573692E-2</v>
      </c>
      <c r="H505" s="9">
        <f t="shared" si="56"/>
        <v>-0.20383355378127216</v>
      </c>
      <c r="I505" s="9">
        <f t="shared" si="57"/>
        <v>-0.23692984753685833</v>
      </c>
      <c r="J505" s="9">
        <f t="shared" si="58"/>
        <v>-0.48083265068366149</v>
      </c>
      <c r="K505" s="9">
        <f t="shared" si="59"/>
        <v>-0.79521948398792608</v>
      </c>
      <c r="L505" s="5">
        <f t="shared" si="68"/>
        <v>0</v>
      </c>
      <c r="M505" s="5">
        <f t="shared" si="68"/>
        <v>1</v>
      </c>
      <c r="N505" s="5">
        <f t="shared" si="68"/>
        <v>0</v>
      </c>
      <c r="O505" s="5">
        <f t="shared" si="68"/>
        <v>0</v>
      </c>
      <c r="P505" s="5">
        <f t="shared" si="68"/>
        <v>0</v>
      </c>
    </row>
    <row r="506" spans="1:16" x14ac:dyDescent="0.25">
      <c r="A506" s="5" t="str">
        <f t="shared" si="67"/>
        <v>Hưng Yên</v>
      </c>
      <c r="B506" s="5">
        <f t="shared" si="67"/>
        <v>2021</v>
      </c>
      <c r="C506" s="9">
        <f t="shared" si="51"/>
        <v>-1.3962088139536037</v>
      </c>
      <c r="D506" s="9">
        <f t="shared" si="52"/>
        <v>0.34721051571437378</v>
      </c>
      <c r="E506" s="9">
        <f t="shared" si="53"/>
        <v>0.12404670219534399</v>
      </c>
      <c r="F506" s="9">
        <f t="shared" si="54"/>
        <v>-0.87520598104866221</v>
      </c>
      <c r="G506" s="9">
        <f t="shared" si="55"/>
        <v>0.34940578973297476</v>
      </c>
      <c r="H506" s="9">
        <f t="shared" si="56"/>
        <v>0.87605360082058847</v>
      </c>
      <c r="I506" s="9">
        <f t="shared" si="57"/>
        <v>0.43502670283991984</v>
      </c>
      <c r="J506" s="9">
        <f t="shared" si="58"/>
        <v>0.66508052906832937</v>
      </c>
      <c r="K506" s="9">
        <f t="shared" si="59"/>
        <v>1.0007646455764314</v>
      </c>
      <c r="L506" s="5">
        <f t="shared" si="68"/>
        <v>0</v>
      </c>
      <c r="M506" s="5">
        <f t="shared" si="68"/>
        <v>1</v>
      </c>
      <c r="N506" s="5">
        <f t="shared" si="68"/>
        <v>0</v>
      </c>
      <c r="O506" s="5">
        <f t="shared" si="68"/>
        <v>0</v>
      </c>
      <c r="P506" s="5">
        <f t="shared" si="68"/>
        <v>0</v>
      </c>
    </row>
    <row r="507" spans="1:16" x14ac:dyDescent="0.25">
      <c r="A507" s="5" t="str">
        <f t="shared" si="67"/>
        <v>Hải Dương</v>
      </c>
      <c r="B507" s="5">
        <f t="shared" si="67"/>
        <v>2021</v>
      </c>
      <c r="C507" s="9">
        <f t="shared" si="51"/>
        <v>-1.5064830156091211</v>
      </c>
      <c r="D507" s="9">
        <f t="shared" si="52"/>
        <v>4.582896083446162E-2</v>
      </c>
      <c r="E507" s="9">
        <f t="shared" si="53"/>
        <v>-0.13088234293323131</v>
      </c>
      <c r="F507" s="9">
        <f t="shared" si="54"/>
        <v>-2.1161712228605727E-2</v>
      </c>
      <c r="G507" s="9">
        <f t="shared" si="55"/>
        <v>0.7800793713412425</v>
      </c>
      <c r="H507" s="9">
        <f t="shared" si="56"/>
        <v>0.63046052893921523</v>
      </c>
      <c r="I507" s="9">
        <f t="shared" si="57"/>
        <v>-0.61037846161572562</v>
      </c>
      <c r="J507" s="9">
        <f t="shared" si="58"/>
        <v>0.64258322535004919</v>
      </c>
      <c r="K507" s="9">
        <f t="shared" si="59"/>
        <v>1.4358167018063066</v>
      </c>
      <c r="L507" s="5">
        <f t="shared" si="68"/>
        <v>0</v>
      </c>
      <c r="M507" s="5">
        <f t="shared" si="68"/>
        <v>1</v>
      </c>
      <c r="N507" s="5">
        <f t="shared" si="68"/>
        <v>0</v>
      </c>
      <c r="O507" s="5">
        <f t="shared" si="68"/>
        <v>0</v>
      </c>
      <c r="P507" s="5">
        <f t="shared" si="68"/>
        <v>0</v>
      </c>
    </row>
    <row r="508" spans="1:16" x14ac:dyDescent="0.25">
      <c r="A508" s="5" t="str">
        <f t="shared" si="67"/>
        <v>Hải Phòng</v>
      </c>
      <c r="B508" s="5">
        <f t="shared" si="67"/>
        <v>2021</v>
      </c>
      <c r="C508" s="9">
        <f t="shared" si="51"/>
        <v>-0.82240449770601154</v>
      </c>
      <c r="D508" s="9">
        <f t="shared" si="52"/>
        <v>1.603958426036608</v>
      </c>
      <c r="E508" s="9">
        <f t="shared" si="53"/>
        <v>0.75057759026293647</v>
      </c>
      <c r="F508" s="9">
        <f t="shared" si="54"/>
        <v>0.76583184220637623</v>
      </c>
      <c r="G508" s="9">
        <f t="shared" si="55"/>
        <v>1.4319096570186209</v>
      </c>
      <c r="H508" s="9">
        <f t="shared" si="56"/>
        <v>1.6394265949396254</v>
      </c>
      <c r="I508" s="9">
        <f t="shared" si="57"/>
        <v>0.36836633834613747</v>
      </c>
      <c r="J508" s="9">
        <f t="shared" si="58"/>
        <v>1.238782947292008</v>
      </c>
      <c r="K508" s="9">
        <f t="shared" si="59"/>
        <v>1.1680923595109989</v>
      </c>
      <c r="L508" s="5">
        <f t="shared" si="68"/>
        <v>0</v>
      </c>
      <c r="M508" s="5">
        <f t="shared" si="68"/>
        <v>1</v>
      </c>
      <c r="N508" s="5">
        <f t="shared" si="68"/>
        <v>0</v>
      </c>
      <c r="O508" s="5">
        <f t="shared" si="68"/>
        <v>0</v>
      </c>
      <c r="P508" s="5">
        <f t="shared" si="68"/>
        <v>0</v>
      </c>
    </row>
    <row r="509" spans="1:16" x14ac:dyDescent="0.25">
      <c r="A509" s="5" t="str">
        <f t="shared" si="67"/>
        <v>Hậu Giang</v>
      </c>
      <c r="B509" s="5">
        <f t="shared" si="67"/>
        <v>2021</v>
      </c>
      <c r="C509" s="9">
        <f t="shared" si="51"/>
        <v>-2.0973332365840878</v>
      </c>
      <c r="D509" s="9">
        <f t="shared" si="52"/>
        <v>-0.77090959948645854</v>
      </c>
      <c r="E509" s="9">
        <f t="shared" si="53"/>
        <v>-0.54015341378661474</v>
      </c>
      <c r="F509" s="9">
        <f t="shared" si="54"/>
        <v>-0.16435476328825588</v>
      </c>
      <c r="G509" s="9">
        <f t="shared" si="55"/>
        <v>-1.1870513122208455</v>
      </c>
      <c r="H509" s="9">
        <f t="shared" si="56"/>
        <v>-1.2903039302301114</v>
      </c>
      <c r="I509" s="9">
        <f t="shared" si="57"/>
        <v>-0.51625362275864972</v>
      </c>
      <c r="J509" s="9">
        <f t="shared" si="58"/>
        <v>-0.39624494265875576</v>
      </c>
      <c r="K509" s="9">
        <f t="shared" si="59"/>
        <v>-0.3490122468290795</v>
      </c>
      <c r="L509" s="5">
        <f t="shared" si="68"/>
        <v>0</v>
      </c>
      <c r="M509" s="5">
        <f t="shared" si="68"/>
        <v>1</v>
      </c>
      <c r="N509" s="5">
        <f t="shared" si="68"/>
        <v>0</v>
      </c>
      <c r="O509" s="5">
        <f t="shared" si="68"/>
        <v>0</v>
      </c>
      <c r="P509" s="5">
        <f t="shared" si="68"/>
        <v>0</v>
      </c>
    </row>
    <row r="510" spans="1:16" x14ac:dyDescent="0.25">
      <c r="A510" s="5" t="str">
        <f t="shared" si="67"/>
        <v>Khánh Hòa</v>
      </c>
      <c r="B510" s="5">
        <f t="shared" si="67"/>
        <v>2021</v>
      </c>
      <c r="C510" s="9">
        <f t="shared" ref="C510:C573" si="69">STANDARDIZE(C134,AVERAGE($C$6:$C$336),_xlfn.STDEV.S($C$6:$C$336))</f>
        <v>-1.0100878470833299</v>
      </c>
      <c r="D510" s="9">
        <f t="shared" ref="D510:D573" si="70">STANDARDIZE(D134,AVERAGE($D$6:$D$336),_xlfn.STDEV.S($D$6:$D$336))</f>
        <v>-0.41133392326300117</v>
      </c>
      <c r="E510" s="9">
        <f t="shared" ref="E510:E573" si="71">STANDARDIZE(E134,AVERAGE($E$6:$E$336),_xlfn.STDEV.S($E$6:$E$336))</f>
        <v>0.62270583280227731</v>
      </c>
      <c r="F510" s="9">
        <f t="shared" ref="F510:F573" si="72">STANDARDIZE(F134,AVERAGE($F$6:$F$336),_xlfn.STDEV.S($F$6:$F$336))</f>
        <v>0.58684052838181366</v>
      </c>
      <c r="G510" s="9">
        <f t="shared" ref="G510:G573" si="73">STANDARDIZE(G134,AVERAGE($G$6:$G$336),_xlfn.STDEV.S($G$6:$G$336))</f>
        <v>0.22136769790348998</v>
      </c>
      <c r="H510" s="9">
        <f t="shared" ref="H510:H573" si="74">STANDARDIZE(H134,AVERAGE($H$6:$H$336),_xlfn.STDEV.S($H$6:$H$336))</f>
        <v>0.30050264336200283</v>
      </c>
      <c r="I510" s="9">
        <f t="shared" ref="I510:I573" si="75">STANDARDIZE(I134,AVERAGE($I$6:$I$336),_xlfn.STDEV.S($I$6:$I$336))</f>
        <v>1.5739862298813585</v>
      </c>
      <c r="J510" s="9">
        <f t="shared" ref="J510:J573" si="76">STANDARDIZE(J134,AVERAGE($J$6:$J$336),_xlfn.STDEV.S($J$6:$J$336))</f>
        <v>0.46904469484389572</v>
      </c>
      <c r="K510" s="9">
        <f t="shared" ref="K510:K573" si="77">STANDARDIZE(K134,AVERAGE($K$6:$K$336),_xlfn.STDEV.S($K$6:$K$336))</f>
        <v>1.1123164548661431</v>
      </c>
      <c r="L510" s="5">
        <f t="shared" si="68"/>
        <v>0</v>
      </c>
      <c r="M510" s="5">
        <f t="shared" si="68"/>
        <v>1</v>
      </c>
      <c r="N510" s="5">
        <f t="shared" si="68"/>
        <v>0</v>
      </c>
      <c r="O510" s="5">
        <f t="shared" si="68"/>
        <v>0</v>
      </c>
      <c r="P510" s="5">
        <f t="shared" si="68"/>
        <v>0</v>
      </c>
    </row>
    <row r="511" spans="1:16" x14ac:dyDescent="0.25">
      <c r="A511" s="5" t="str">
        <f t="shared" si="67"/>
        <v>Kiên Giang</v>
      </c>
      <c r="B511" s="5">
        <f t="shared" si="67"/>
        <v>2021</v>
      </c>
      <c r="C511" s="9">
        <f t="shared" si="69"/>
        <v>-1.7548137150986489</v>
      </c>
      <c r="D511" s="9">
        <f t="shared" si="70"/>
        <v>-0.58220555069763624</v>
      </c>
      <c r="E511" s="9">
        <f t="shared" si="71"/>
        <v>-0.25753239570477582</v>
      </c>
      <c r="F511" s="9">
        <f t="shared" si="72"/>
        <v>-0.1842426870465407</v>
      </c>
      <c r="G511" s="9">
        <f t="shared" si="73"/>
        <v>-0.93097512856187548</v>
      </c>
      <c r="H511" s="9">
        <f t="shared" si="74"/>
        <v>-2.2697511507998955</v>
      </c>
      <c r="I511" s="9">
        <f t="shared" si="75"/>
        <v>1.8693162099037499</v>
      </c>
      <c r="J511" s="9">
        <f t="shared" si="76"/>
        <v>0.30564372803053508</v>
      </c>
      <c r="K511" s="9">
        <f t="shared" si="77"/>
        <v>-0.8175298458458683</v>
      </c>
      <c r="L511" s="5">
        <f t="shared" si="68"/>
        <v>0</v>
      </c>
      <c r="M511" s="5">
        <f t="shared" si="68"/>
        <v>1</v>
      </c>
      <c r="N511" s="5">
        <f t="shared" si="68"/>
        <v>0</v>
      </c>
      <c r="O511" s="5">
        <f t="shared" si="68"/>
        <v>0</v>
      </c>
      <c r="P511" s="5">
        <f t="shared" si="68"/>
        <v>0</v>
      </c>
    </row>
    <row r="512" spans="1:16" x14ac:dyDescent="0.25">
      <c r="A512" s="5" t="str">
        <f t="shared" si="67"/>
        <v>Kon Tum</v>
      </c>
      <c r="B512" s="5">
        <f t="shared" si="67"/>
        <v>2021</v>
      </c>
      <c r="C512" s="9">
        <f t="shared" si="69"/>
        <v>-2.0817637581810238</v>
      </c>
      <c r="D512" s="9">
        <f t="shared" si="70"/>
        <v>-1.0764521391712467</v>
      </c>
      <c r="E512" s="9">
        <f t="shared" si="71"/>
        <v>-0.48945266918835972</v>
      </c>
      <c r="F512" s="9">
        <f t="shared" si="72"/>
        <v>3.1115115936028358E-2</v>
      </c>
      <c r="G512" s="9">
        <f t="shared" si="73"/>
        <v>-0.63997946531304584</v>
      </c>
      <c r="H512" s="9">
        <f t="shared" si="74"/>
        <v>4.245031518093971E-2</v>
      </c>
      <c r="I512" s="9">
        <f t="shared" si="75"/>
        <v>-0.36027296748345672</v>
      </c>
      <c r="J512" s="9">
        <f t="shared" si="76"/>
        <v>-0.90257912794295059</v>
      </c>
      <c r="K512" s="9">
        <f t="shared" si="77"/>
        <v>0.48762632284375773</v>
      </c>
      <c r="L512" s="5">
        <f t="shared" ref="L512:P521" si="78">L136</f>
        <v>0</v>
      </c>
      <c r="M512" s="5">
        <f t="shared" si="78"/>
        <v>1</v>
      </c>
      <c r="N512" s="5">
        <f t="shared" si="78"/>
        <v>0</v>
      </c>
      <c r="O512" s="5">
        <f t="shared" si="78"/>
        <v>0</v>
      </c>
      <c r="P512" s="5">
        <f t="shared" si="78"/>
        <v>0</v>
      </c>
    </row>
    <row r="513" spans="1:16" x14ac:dyDescent="0.25">
      <c r="A513" s="5" t="str">
        <f t="shared" si="67"/>
        <v>Long An</v>
      </c>
      <c r="B513" s="5">
        <f t="shared" si="67"/>
        <v>2021</v>
      </c>
      <c r="C513" s="9">
        <f t="shared" si="69"/>
        <v>-1.403802586535724</v>
      </c>
      <c r="D513" s="9">
        <f t="shared" si="70"/>
        <v>0.12273465155975691</v>
      </c>
      <c r="E513" s="9">
        <f t="shared" si="71"/>
        <v>0.1128477425451269</v>
      </c>
      <c r="F513" s="9">
        <f t="shared" si="72"/>
        <v>-0.77803926782961375</v>
      </c>
      <c r="G513" s="9">
        <f t="shared" si="73"/>
        <v>-1.0008140877415945</v>
      </c>
      <c r="H513" s="9">
        <f t="shared" si="74"/>
        <v>-1.148974260537706</v>
      </c>
      <c r="I513" s="9">
        <f t="shared" si="75"/>
        <v>-0.69430584103443627</v>
      </c>
      <c r="J513" s="9">
        <f t="shared" si="76"/>
        <v>0.9297547874139015</v>
      </c>
      <c r="K513" s="9">
        <f t="shared" si="77"/>
        <v>-5.8977542675829109E-2</v>
      </c>
      <c r="L513" s="5">
        <f t="shared" si="78"/>
        <v>0</v>
      </c>
      <c r="M513" s="5">
        <f t="shared" si="78"/>
        <v>1</v>
      </c>
      <c r="N513" s="5">
        <f t="shared" si="78"/>
        <v>0</v>
      </c>
      <c r="O513" s="5">
        <f t="shared" si="78"/>
        <v>0</v>
      </c>
      <c r="P513" s="5">
        <f t="shared" si="78"/>
        <v>0</v>
      </c>
    </row>
    <row r="514" spans="1:16" x14ac:dyDescent="0.25">
      <c r="A514" s="5" t="str">
        <f t="shared" si="67"/>
        <v>Lào Cai</v>
      </c>
      <c r="B514" s="5">
        <f t="shared" si="67"/>
        <v>2021</v>
      </c>
      <c r="C514" s="9">
        <f t="shared" si="69"/>
        <v>-1.9461412054722762</v>
      </c>
      <c r="D514" s="9">
        <f t="shared" si="70"/>
        <v>-4.3063185944228935E-2</v>
      </c>
      <c r="E514" s="9">
        <f t="shared" si="71"/>
        <v>-0.37970286461623348</v>
      </c>
      <c r="F514" s="9">
        <f t="shared" si="72"/>
        <v>-0.31436653106503226</v>
      </c>
      <c r="G514" s="9">
        <f t="shared" si="73"/>
        <v>0.10496943260395815</v>
      </c>
      <c r="H514" s="9">
        <f t="shared" si="74"/>
        <v>-0.30479522827381345</v>
      </c>
      <c r="I514" s="9">
        <f t="shared" si="75"/>
        <v>-1.1789816323076553E-2</v>
      </c>
      <c r="J514" s="9">
        <f t="shared" si="76"/>
        <v>-0.53140474058717369</v>
      </c>
      <c r="K514" s="9">
        <f t="shared" si="77"/>
        <v>-0.68366767469821443</v>
      </c>
      <c r="L514" s="5">
        <f t="shared" si="78"/>
        <v>0</v>
      </c>
      <c r="M514" s="5">
        <f t="shared" si="78"/>
        <v>1</v>
      </c>
      <c r="N514" s="5">
        <f t="shared" si="78"/>
        <v>0</v>
      </c>
      <c r="O514" s="5">
        <f t="shared" si="78"/>
        <v>0</v>
      </c>
      <c r="P514" s="5">
        <f t="shared" si="78"/>
        <v>0</v>
      </c>
    </row>
    <row r="515" spans="1:16" x14ac:dyDescent="0.25">
      <c r="A515" s="5" t="str">
        <f t="shared" si="67"/>
        <v>Lâm Đồng</v>
      </c>
      <c r="B515" s="5">
        <f t="shared" si="67"/>
        <v>2021</v>
      </c>
      <c r="C515" s="9">
        <f t="shared" si="69"/>
        <v>-1.5375650586305998</v>
      </c>
      <c r="D515" s="9">
        <f t="shared" si="70"/>
        <v>-0.28660712878366501</v>
      </c>
      <c r="E515" s="9">
        <f t="shared" si="71"/>
        <v>-5.8598148827285403E-2</v>
      </c>
      <c r="F515" s="9">
        <f t="shared" si="72"/>
        <v>0.41125857291581419</v>
      </c>
      <c r="G515" s="9">
        <f t="shared" si="73"/>
        <v>-0.37226345512412257</v>
      </c>
      <c r="H515" s="9">
        <f t="shared" si="74"/>
        <v>0.22798247476303046</v>
      </c>
      <c r="I515" s="9">
        <f t="shared" si="75"/>
        <v>-0.70207279390772737</v>
      </c>
      <c r="J515" s="9">
        <f t="shared" si="76"/>
        <v>-0.95368894259883286</v>
      </c>
      <c r="K515" s="9">
        <f t="shared" si="77"/>
        <v>0.85574729349980616</v>
      </c>
      <c r="L515" s="5">
        <f t="shared" si="78"/>
        <v>0</v>
      </c>
      <c r="M515" s="5">
        <f t="shared" si="78"/>
        <v>1</v>
      </c>
      <c r="N515" s="5">
        <f t="shared" si="78"/>
        <v>0</v>
      </c>
      <c r="O515" s="5">
        <f t="shared" si="78"/>
        <v>0</v>
      </c>
      <c r="P515" s="5">
        <f t="shared" si="78"/>
        <v>0</v>
      </c>
    </row>
    <row r="516" spans="1:16" x14ac:dyDescent="0.25">
      <c r="A516" s="5" t="str">
        <f t="shared" si="67"/>
        <v>Lạng Sơn</v>
      </c>
      <c r="B516" s="5">
        <f t="shared" si="67"/>
        <v>2021</v>
      </c>
      <c r="C516" s="9">
        <f t="shared" si="69"/>
        <v>-2.1745883347731438</v>
      </c>
      <c r="D516" s="9">
        <f t="shared" si="70"/>
        <v>-1.1009487428409503</v>
      </c>
      <c r="E516" s="9">
        <f t="shared" si="71"/>
        <v>-0.62811615140286425</v>
      </c>
      <c r="F516" s="9">
        <f t="shared" si="72"/>
        <v>-0.50869995750312902</v>
      </c>
      <c r="G516" s="9">
        <f t="shared" si="73"/>
        <v>0.47744388156245993</v>
      </c>
      <c r="H516" s="9">
        <f t="shared" si="74"/>
        <v>-0.50784321216917205</v>
      </c>
      <c r="I516" s="9">
        <f t="shared" si="75"/>
        <v>-0.5625562638376127</v>
      </c>
      <c r="J516" s="9">
        <f t="shared" si="76"/>
        <v>-1.1398605925341949</v>
      </c>
      <c r="K516" s="9">
        <f t="shared" si="77"/>
        <v>-0.58327104633747406</v>
      </c>
      <c r="L516" s="5">
        <f t="shared" si="78"/>
        <v>0</v>
      </c>
      <c r="M516" s="5">
        <f t="shared" si="78"/>
        <v>1</v>
      </c>
      <c r="N516" s="5">
        <f t="shared" si="78"/>
        <v>0</v>
      </c>
      <c r="O516" s="5">
        <f t="shared" si="78"/>
        <v>0</v>
      </c>
      <c r="P516" s="5">
        <f t="shared" si="78"/>
        <v>0</v>
      </c>
    </row>
    <row r="517" spans="1:16" x14ac:dyDescent="0.25">
      <c r="A517" s="5" t="str">
        <f t="shared" si="67"/>
        <v>Nam Định</v>
      </c>
      <c r="B517" s="5">
        <f t="shared" si="67"/>
        <v>2021</v>
      </c>
      <c r="C517" s="9">
        <f t="shared" si="69"/>
        <v>-1.5209017351556096</v>
      </c>
      <c r="D517" s="9">
        <f t="shared" si="70"/>
        <v>-1.2378848707461831</v>
      </c>
      <c r="E517" s="9">
        <f t="shared" si="71"/>
        <v>-0.47967903167544312</v>
      </c>
      <c r="F517" s="9">
        <f t="shared" si="72"/>
        <v>-0.67007625314178243</v>
      </c>
      <c r="G517" s="9">
        <f t="shared" si="73"/>
        <v>-0.1976660571748248</v>
      </c>
      <c r="H517" s="9">
        <f t="shared" si="74"/>
        <v>-0.44612760239624949</v>
      </c>
      <c r="I517" s="9">
        <f t="shared" si="75"/>
        <v>-0.27892273038204418</v>
      </c>
      <c r="J517" s="9">
        <f t="shared" si="76"/>
        <v>9.6136107195444076E-2</v>
      </c>
      <c r="K517" s="9">
        <f t="shared" si="77"/>
        <v>-0.54980550355056057</v>
      </c>
      <c r="L517" s="5">
        <f t="shared" si="78"/>
        <v>0</v>
      </c>
      <c r="M517" s="5">
        <f t="shared" si="78"/>
        <v>1</v>
      </c>
      <c r="N517" s="5">
        <f t="shared" si="78"/>
        <v>0</v>
      </c>
      <c r="O517" s="5">
        <f t="shared" si="78"/>
        <v>0</v>
      </c>
      <c r="P517" s="5">
        <f t="shared" si="78"/>
        <v>0</v>
      </c>
    </row>
    <row r="518" spans="1:16" x14ac:dyDescent="0.25">
      <c r="A518" s="5" t="str">
        <f t="shared" si="67"/>
        <v>Nghệ An</v>
      </c>
      <c r="B518" s="5">
        <f t="shared" si="67"/>
        <v>2021</v>
      </c>
      <c r="C518" s="9">
        <f t="shared" si="69"/>
        <v>-1.5271271534934976</v>
      </c>
      <c r="D518" s="9">
        <f t="shared" si="70"/>
        <v>-1.150730220613196</v>
      </c>
      <c r="E518" s="9">
        <f t="shared" si="71"/>
        <v>-0.45402323320403704</v>
      </c>
      <c r="F518" s="9">
        <f t="shared" si="72"/>
        <v>-0.93771088428898552</v>
      </c>
      <c r="G518" s="9">
        <f t="shared" si="73"/>
        <v>-3.4708485755480391E-2</v>
      </c>
      <c r="H518" s="9">
        <f t="shared" si="74"/>
        <v>1.3046844801524338</v>
      </c>
      <c r="I518" s="9">
        <f t="shared" si="75"/>
        <v>1.3850897786260299</v>
      </c>
      <c r="J518" s="9">
        <f t="shared" si="76"/>
        <v>-0.71249737601619789</v>
      </c>
      <c r="K518" s="9">
        <f t="shared" si="77"/>
        <v>-0.43825369426084892</v>
      </c>
      <c r="L518" s="5">
        <f t="shared" si="78"/>
        <v>0</v>
      </c>
      <c r="M518" s="5">
        <f t="shared" si="78"/>
        <v>1</v>
      </c>
      <c r="N518" s="5">
        <f t="shared" si="78"/>
        <v>0</v>
      </c>
      <c r="O518" s="5">
        <f t="shared" si="78"/>
        <v>0</v>
      </c>
      <c r="P518" s="5">
        <f t="shared" si="78"/>
        <v>0</v>
      </c>
    </row>
    <row r="519" spans="1:16" x14ac:dyDescent="0.25">
      <c r="A519" s="5" t="str">
        <f t="shared" si="67"/>
        <v>Ninh Bình</v>
      </c>
      <c r="B519" s="5">
        <f t="shared" si="67"/>
        <v>2021</v>
      </c>
      <c r="C519" s="9">
        <f t="shared" si="69"/>
        <v>-1.6106951567647485</v>
      </c>
      <c r="D519" s="9">
        <f t="shared" si="70"/>
        <v>-0.16164730571239491</v>
      </c>
      <c r="E519" s="9">
        <f t="shared" si="71"/>
        <v>-0.2365597985416423</v>
      </c>
      <c r="F519" s="9">
        <f t="shared" si="72"/>
        <v>-0.59904795400505118</v>
      </c>
      <c r="G519" s="9">
        <f t="shared" si="73"/>
        <v>0.93139711623063393</v>
      </c>
      <c r="H519" s="9">
        <f t="shared" si="74"/>
        <v>0.98340413314090491</v>
      </c>
      <c r="I519" s="9">
        <f t="shared" si="75"/>
        <v>2.284135972527217</v>
      </c>
      <c r="J519" s="9">
        <f t="shared" si="76"/>
        <v>-5.8426653419244155E-2</v>
      </c>
      <c r="K519" s="9">
        <f t="shared" si="77"/>
        <v>0.1864364377615364</v>
      </c>
      <c r="L519" s="5">
        <f t="shared" si="78"/>
        <v>0</v>
      </c>
      <c r="M519" s="5">
        <f t="shared" si="78"/>
        <v>1</v>
      </c>
      <c r="N519" s="5">
        <f t="shared" si="78"/>
        <v>0</v>
      </c>
      <c r="O519" s="5">
        <f t="shared" si="78"/>
        <v>0</v>
      </c>
      <c r="P519" s="5">
        <f t="shared" si="78"/>
        <v>0</v>
      </c>
    </row>
    <row r="520" spans="1:16" x14ac:dyDescent="0.25">
      <c r="A520" s="5" t="str">
        <f t="shared" si="67"/>
        <v>Ninh Thuận</v>
      </c>
      <c r="B520" s="5">
        <f t="shared" si="67"/>
        <v>2021</v>
      </c>
      <c r="C520" s="9">
        <f t="shared" si="69"/>
        <v>-1.8643102313335183</v>
      </c>
      <c r="D520" s="9">
        <f t="shared" si="70"/>
        <v>-0.19476333832301071</v>
      </c>
      <c r="E520" s="9">
        <f t="shared" si="71"/>
        <v>-0.23432000661159888</v>
      </c>
      <c r="F520" s="9">
        <f t="shared" si="72"/>
        <v>0.19135495878849404</v>
      </c>
      <c r="G520" s="9">
        <f t="shared" si="73"/>
        <v>-0.57014050613332656</v>
      </c>
      <c r="H520" s="9">
        <f t="shared" si="74"/>
        <v>-0.24422773346389656</v>
      </c>
      <c r="I520" s="9">
        <f t="shared" si="75"/>
        <v>1.214668132389239E-2</v>
      </c>
      <c r="J520" s="9">
        <f t="shared" si="76"/>
        <v>0.34186196137391889</v>
      </c>
      <c r="K520" s="9">
        <f t="shared" si="77"/>
        <v>-0.36016742775805083</v>
      </c>
      <c r="L520" s="5">
        <f t="shared" si="78"/>
        <v>0</v>
      </c>
      <c r="M520" s="5">
        <f t="shared" si="78"/>
        <v>1</v>
      </c>
      <c r="N520" s="5">
        <f t="shared" si="78"/>
        <v>0</v>
      </c>
      <c r="O520" s="5">
        <f t="shared" si="78"/>
        <v>0</v>
      </c>
      <c r="P520" s="5">
        <f t="shared" si="78"/>
        <v>0</v>
      </c>
    </row>
    <row r="521" spans="1:16" x14ac:dyDescent="0.25">
      <c r="A521" s="5" t="str">
        <f t="shared" si="67"/>
        <v>Phú Thọ</v>
      </c>
      <c r="B521" s="5">
        <f t="shared" si="67"/>
        <v>2021</v>
      </c>
      <c r="C521" s="9">
        <f t="shared" si="69"/>
        <v>-1.8590219751943364</v>
      </c>
      <c r="D521" s="9">
        <f t="shared" si="70"/>
        <v>-0.78806618050966715</v>
      </c>
      <c r="E521" s="9">
        <f t="shared" si="71"/>
        <v>-0.44078809907196242</v>
      </c>
      <c r="F521" s="9">
        <f t="shared" si="72"/>
        <v>-0.73485406195448111</v>
      </c>
      <c r="G521" s="9">
        <f t="shared" si="73"/>
        <v>1.2689520855992764</v>
      </c>
      <c r="H521" s="9">
        <f t="shared" si="74"/>
        <v>0.5957190352153835</v>
      </c>
      <c r="I521" s="9">
        <f t="shared" si="75"/>
        <v>-5.3710385031304167E-2</v>
      </c>
      <c r="J521" s="9">
        <f t="shared" si="76"/>
        <v>4.8442506076326079E-3</v>
      </c>
      <c r="K521" s="9">
        <f t="shared" si="77"/>
        <v>0.43185041819890191</v>
      </c>
      <c r="L521" s="5">
        <f t="shared" si="78"/>
        <v>0</v>
      </c>
      <c r="M521" s="5">
        <f t="shared" si="78"/>
        <v>1</v>
      </c>
      <c r="N521" s="5">
        <f t="shared" si="78"/>
        <v>0</v>
      </c>
      <c r="O521" s="5">
        <f t="shared" si="78"/>
        <v>0</v>
      </c>
      <c r="P521" s="5">
        <f t="shared" si="78"/>
        <v>0</v>
      </c>
    </row>
    <row r="522" spans="1:16" x14ac:dyDescent="0.25">
      <c r="A522" s="5" t="str">
        <f t="shared" ref="A522:B541" si="79">A146</f>
        <v>Phú Yên</v>
      </c>
      <c r="B522" s="5">
        <f t="shared" si="79"/>
        <v>2021</v>
      </c>
      <c r="C522" s="9">
        <f t="shared" si="69"/>
        <v>-1.9349487451359599</v>
      </c>
      <c r="D522" s="9">
        <f t="shared" si="70"/>
        <v>-0.89826245808119198</v>
      </c>
      <c r="E522" s="9">
        <f t="shared" si="71"/>
        <v>-0.47723562229721395</v>
      </c>
      <c r="F522" s="9">
        <f t="shared" si="72"/>
        <v>3.7933832653154816E-2</v>
      </c>
      <c r="G522" s="9">
        <f t="shared" si="73"/>
        <v>-0.24422536329463737</v>
      </c>
      <c r="H522" s="9">
        <f t="shared" si="74"/>
        <v>5.674874597748257E-2</v>
      </c>
      <c r="I522" s="9">
        <f t="shared" si="75"/>
        <v>-0.69966926420834941</v>
      </c>
      <c r="J522" s="9">
        <f t="shared" si="76"/>
        <v>0.19721593985368194</v>
      </c>
      <c r="K522" s="9">
        <f t="shared" si="77"/>
        <v>0.14181571404565152</v>
      </c>
      <c r="L522" s="5">
        <f t="shared" ref="L522:P531" si="80">L146</f>
        <v>0</v>
      </c>
      <c r="M522" s="5">
        <f t="shared" si="80"/>
        <v>1</v>
      </c>
      <c r="N522" s="5">
        <f t="shared" si="80"/>
        <v>0</v>
      </c>
      <c r="O522" s="5">
        <f t="shared" si="80"/>
        <v>0</v>
      </c>
      <c r="P522" s="5">
        <f t="shared" si="80"/>
        <v>0</v>
      </c>
    </row>
    <row r="523" spans="1:16" x14ac:dyDescent="0.25">
      <c r="A523" s="5" t="str">
        <f t="shared" si="79"/>
        <v>Quảng Bình</v>
      </c>
      <c r="B523" s="5">
        <f t="shared" si="79"/>
        <v>2021</v>
      </c>
      <c r="C523" s="9">
        <f t="shared" si="69"/>
        <v>-1.8485052926696319</v>
      </c>
      <c r="D523" s="9">
        <f t="shared" si="70"/>
        <v>-0.99975384483980789</v>
      </c>
      <c r="E523" s="9">
        <f t="shared" si="71"/>
        <v>-0.13699086637880409</v>
      </c>
      <c r="F523" s="9">
        <f t="shared" si="72"/>
        <v>-0.50926818389622275</v>
      </c>
      <c r="G523" s="9">
        <f t="shared" si="73"/>
        <v>0.32612613667306845</v>
      </c>
      <c r="H523" s="9">
        <f t="shared" si="74"/>
        <v>0.98594615056174972</v>
      </c>
      <c r="I523" s="9">
        <f t="shared" si="75"/>
        <v>-0.36075408915170187</v>
      </c>
      <c r="J523" s="9">
        <f t="shared" si="76"/>
        <v>-0.22235802385815853</v>
      </c>
      <c r="K523" s="9">
        <f t="shared" si="77"/>
        <v>-0.5609606844795314</v>
      </c>
      <c r="L523" s="5">
        <f t="shared" si="80"/>
        <v>0</v>
      </c>
      <c r="M523" s="5">
        <f t="shared" si="80"/>
        <v>1</v>
      </c>
      <c r="N523" s="5">
        <f t="shared" si="80"/>
        <v>0</v>
      </c>
      <c r="O523" s="5">
        <f t="shared" si="80"/>
        <v>0</v>
      </c>
      <c r="P523" s="5">
        <f t="shared" si="80"/>
        <v>0</v>
      </c>
    </row>
    <row r="524" spans="1:16" x14ac:dyDescent="0.25">
      <c r="A524" s="5" t="str">
        <f t="shared" si="79"/>
        <v>Quảng Nam</v>
      </c>
      <c r="B524" s="5">
        <f t="shared" si="79"/>
        <v>2021</v>
      </c>
      <c r="C524" s="9">
        <f t="shared" si="69"/>
        <v>-1.6240085110969276</v>
      </c>
      <c r="D524" s="9">
        <f t="shared" si="70"/>
        <v>-0.19143042567010649</v>
      </c>
      <c r="E524" s="9">
        <f t="shared" si="71"/>
        <v>-0.13536192679331799</v>
      </c>
      <c r="F524" s="9">
        <f t="shared" si="72"/>
        <v>-0.31834411581668925</v>
      </c>
      <c r="G524" s="9">
        <f t="shared" si="73"/>
        <v>0.33776596320302182</v>
      </c>
      <c r="H524" s="9">
        <f t="shared" si="74"/>
        <v>-5.6040320347780934E-2</v>
      </c>
      <c r="I524" s="9">
        <f t="shared" si="75"/>
        <v>-0.85520427536194565</v>
      </c>
      <c r="J524" s="9">
        <f t="shared" si="76"/>
        <v>0.55099473872883276</v>
      </c>
      <c r="K524" s="9">
        <f t="shared" si="77"/>
        <v>0.13066053311668058</v>
      </c>
      <c r="L524" s="5">
        <f t="shared" si="80"/>
        <v>0</v>
      </c>
      <c r="M524" s="5">
        <f t="shared" si="80"/>
        <v>1</v>
      </c>
      <c r="N524" s="5">
        <f t="shared" si="80"/>
        <v>0</v>
      </c>
      <c r="O524" s="5">
        <f t="shared" si="80"/>
        <v>0</v>
      </c>
      <c r="P524" s="5">
        <f t="shared" si="80"/>
        <v>0</v>
      </c>
    </row>
    <row r="525" spans="1:16" x14ac:dyDescent="0.25">
      <c r="A525" s="5" t="str">
        <f t="shared" si="79"/>
        <v>Quảng Ngãi</v>
      </c>
      <c r="B525" s="5">
        <f t="shared" si="79"/>
        <v>2021</v>
      </c>
      <c r="C525" s="9">
        <f t="shared" si="69"/>
        <v>-1.7945584077730115</v>
      </c>
      <c r="D525" s="9">
        <f t="shared" si="70"/>
        <v>0.16882699026438436</v>
      </c>
      <c r="E525" s="9">
        <f t="shared" si="71"/>
        <v>-0.30904761009577386</v>
      </c>
      <c r="F525" s="9">
        <f t="shared" si="72"/>
        <v>-0.62007233054952349</v>
      </c>
      <c r="G525" s="9">
        <f t="shared" si="73"/>
        <v>0.27956683055325587</v>
      </c>
      <c r="H525" s="9">
        <f t="shared" si="74"/>
        <v>-0.29909325300951828</v>
      </c>
      <c r="I525" s="9">
        <f t="shared" si="75"/>
        <v>-0.42076983411115215</v>
      </c>
      <c r="J525" s="9">
        <f t="shared" si="76"/>
        <v>-3.5162905421393595E-2</v>
      </c>
      <c r="K525" s="9">
        <f t="shared" si="77"/>
        <v>7.9535428979976338E-3</v>
      </c>
      <c r="L525" s="5">
        <f t="shared" si="80"/>
        <v>0</v>
      </c>
      <c r="M525" s="5">
        <f t="shared" si="80"/>
        <v>1</v>
      </c>
      <c r="N525" s="5">
        <f t="shared" si="80"/>
        <v>0</v>
      </c>
      <c r="O525" s="5">
        <f t="shared" si="80"/>
        <v>0</v>
      </c>
      <c r="P525" s="5">
        <f t="shared" si="80"/>
        <v>0</v>
      </c>
    </row>
    <row r="526" spans="1:16" x14ac:dyDescent="0.25">
      <c r="A526" s="5" t="str">
        <f t="shared" si="79"/>
        <v>Quảng Ninh</v>
      </c>
      <c r="B526" s="5">
        <f t="shared" si="79"/>
        <v>2021</v>
      </c>
      <c r="C526" s="9">
        <f t="shared" si="69"/>
        <v>-1.2765411051889668</v>
      </c>
      <c r="D526" s="9">
        <f t="shared" si="70"/>
        <v>1.8806736580704513</v>
      </c>
      <c r="E526" s="9">
        <f t="shared" si="71"/>
        <v>0.23176033228561255</v>
      </c>
      <c r="F526" s="9">
        <f t="shared" si="72"/>
        <v>2.0074065111164385</v>
      </c>
      <c r="G526" s="9">
        <f t="shared" si="73"/>
        <v>2.0604602896360928</v>
      </c>
      <c r="H526" s="9">
        <f t="shared" si="74"/>
        <v>1.2615330044993196</v>
      </c>
      <c r="I526" s="9">
        <f t="shared" si="75"/>
        <v>0.95658103782847892</v>
      </c>
      <c r="J526" s="9">
        <f t="shared" si="76"/>
        <v>0.80582349200661496</v>
      </c>
      <c r="K526" s="9">
        <f t="shared" si="77"/>
        <v>0.35376415169610387</v>
      </c>
      <c r="L526" s="5">
        <f t="shared" si="80"/>
        <v>0</v>
      </c>
      <c r="M526" s="5">
        <f t="shared" si="80"/>
        <v>1</v>
      </c>
      <c r="N526" s="5">
        <f t="shared" si="80"/>
        <v>0</v>
      </c>
      <c r="O526" s="5">
        <f t="shared" si="80"/>
        <v>0</v>
      </c>
      <c r="P526" s="5">
        <f t="shared" si="80"/>
        <v>0</v>
      </c>
    </row>
    <row r="527" spans="1:16" x14ac:dyDescent="0.25">
      <c r="A527" s="5" t="str">
        <f t="shared" si="79"/>
        <v>Quảng Trị</v>
      </c>
      <c r="B527" s="5">
        <f t="shared" si="79"/>
        <v>2021</v>
      </c>
      <c r="C527" s="9">
        <f t="shared" si="69"/>
        <v>-1.8277070883557511</v>
      </c>
      <c r="D527" s="9">
        <f t="shared" si="70"/>
        <v>-0.62595665886991847</v>
      </c>
      <c r="E527" s="9">
        <f t="shared" si="71"/>
        <v>-0.23391277171522723</v>
      </c>
      <c r="F527" s="9">
        <f t="shared" si="72"/>
        <v>3.0546889542934622E-2</v>
      </c>
      <c r="G527" s="9">
        <f t="shared" si="73"/>
        <v>0.4658040550325066</v>
      </c>
      <c r="H527" s="9">
        <f t="shared" si="74"/>
        <v>0.5190245544648131</v>
      </c>
      <c r="I527" s="9">
        <f t="shared" si="75"/>
        <v>1.6633183340110933</v>
      </c>
      <c r="J527" s="9">
        <f t="shared" si="76"/>
        <v>0.53619067006391063</v>
      </c>
      <c r="K527" s="9">
        <f t="shared" si="77"/>
        <v>0.46531596098581551</v>
      </c>
      <c r="L527" s="5">
        <f t="shared" si="80"/>
        <v>0</v>
      </c>
      <c r="M527" s="5">
        <f t="shared" si="80"/>
        <v>1</v>
      </c>
      <c r="N527" s="5">
        <f t="shared" si="80"/>
        <v>0</v>
      </c>
      <c r="O527" s="5">
        <f t="shared" si="80"/>
        <v>0</v>
      </c>
      <c r="P527" s="5">
        <f t="shared" si="80"/>
        <v>0</v>
      </c>
    </row>
    <row r="528" spans="1:16" x14ac:dyDescent="0.25">
      <c r="A528" s="5" t="str">
        <f t="shared" si="79"/>
        <v>TP. Hồ Chí Minh</v>
      </c>
      <c r="B528" s="5">
        <f t="shared" si="79"/>
        <v>2021</v>
      </c>
      <c r="C528" s="9">
        <f t="shared" si="69"/>
        <v>1.6944602477855661</v>
      </c>
      <c r="D528" s="9">
        <f t="shared" si="70"/>
        <v>1.5241390639139796</v>
      </c>
      <c r="E528" s="9">
        <f t="shared" si="71"/>
        <v>4.7679498429680383</v>
      </c>
      <c r="F528" s="9">
        <f t="shared" si="72"/>
        <v>2.6676855798914922</v>
      </c>
      <c r="G528" s="9">
        <f t="shared" si="73"/>
        <v>1.3853503508988083</v>
      </c>
      <c r="H528" s="9">
        <f t="shared" si="74"/>
        <v>0.13411192647299092</v>
      </c>
      <c r="I528" s="9">
        <f t="shared" si="75"/>
        <v>1.4149930893945792</v>
      </c>
      <c r="J528" s="9">
        <f t="shared" si="76"/>
        <v>0.79320597545447102</v>
      </c>
      <c r="K528" s="9">
        <f t="shared" si="77"/>
        <v>2.8859902225725578</v>
      </c>
      <c r="L528" s="5">
        <f t="shared" si="80"/>
        <v>0</v>
      </c>
      <c r="M528" s="5">
        <f t="shared" si="80"/>
        <v>1</v>
      </c>
      <c r="N528" s="5">
        <f t="shared" si="80"/>
        <v>0</v>
      </c>
      <c r="O528" s="5">
        <f t="shared" si="80"/>
        <v>0</v>
      </c>
      <c r="P528" s="5">
        <f t="shared" si="80"/>
        <v>0</v>
      </c>
    </row>
    <row r="529" spans="1:16" x14ac:dyDescent="0.25">
      <c r="A529" s="5" t="str">
        <f t="shared" si="79"/>
        <v>Thanh Hóa</v>
      </c>
      <c r="B529" s="5">
        <f t="shared" si="79"/>
        <v>2021</v>
      </c>
      <c r="C529" s="9">
        <f t="shared" si="69"/>
        <v>-1.5064830156091211</v>
      </c>
      <c r="D529" s="9">
        <f t="shared" si="70"/>
        <v>-0.63803308175356443</v>
      </c>
      <c r="E529" s="9">
        <f t="shared" si="71"/>
        <v>-0.42348061597617259</v>
      </c>
      <c r="F529" s="9">
        <f t="shared" si="72"/>
        <v>-0.30129732402387371</v>
      </c>
      <c r="G529" s="9">
        <f t="shared" si="73"/>
        <v>0.16316856525372406</v>
      </c>
      <c r="H529" s="9">
        <f t="shared" si="74"/>
        <v>0.29789823369461693</v>
      </c>
      <c r="I529" s="9">
        <f t="shared" si="75"/>
        <v>-0.41800513718332838</v>
      </c>
      <c r="J529" s="9">
        <f t="shared" si="76"/>
        <v>0.54603088528215227</v>
      </c>
      <c r="K529" s="9">
        <f t="shared" si="77"/>
        <v>-0.71713321748512793</v>
      </c>
      <c r="L529" s="5">
        <f t="shared" si="80"/>
        <v>0</v>
      </c>
      <c r="M529" s="5">
        <f t="shared" si="80"/>
        <v>1</v>
      </c>
      <c r="N529" s="5">
        <f t="shared" si="80"/>
        <v>0</v>
      </c>
      <c r="O529" s="5">
        <f t="shared" si="80"/>
        <v>0</v>
      </c>
      <c r="P529" s="5">
        <f t="shared" si="80"/>
        <v>0</v>
      </c>
    </row>
    <row r="530" spans="1:16" x14ac:dyDescent="0.25">
      <c r="A530" s="5" t="str">
        <f t="shared" si="79"/>
        <v>Thái Bình</v>
      </c>
      <c r="B530" s="5">
        <f t="shared" si="79"/>
        <v>2021</v>
      </c>
      <c r="C530" s="9">
        <f t="shared" si="69"/>
        <v>-1.8072147510946779</v>
      </c>
      <c r="D530" s="9">
        <f t="shared" si="70"/>
        <v>-0.89375284235624985</v>
      </c>
      <c r="E530" s="9">
        <f t="shared" si="71"/>
        <v>-0.59981332610504334</v>
      </c>
      <c r="F530" s="9">
        <f t="shared" si="72"/>
        <v>-1.1525004608784608</v>
      </c>
      <c r="G530" s="9">
        <f t="shared" si="73"/>
        <v>-0.51194137348356072</v>
      </c>
      <c r="H530" s="9">
        <f t="shared" si="74"/>
        <v>-0.88922651746729897</v>
      </c>
      <c r="I530" s="9">
        <f t="shared" si="75"/>
        <v>-0.38053998368201164</v>
      </c>
      <c r="J530" s="9">
        <f t="shared" si="76"/>
        <v>-0.54708895511361033</v>
      </c>
      <c r="K530" s="9">
        <f t="shared" si="77"/>
        <v>-1.0740990072122052</v>
      </c>
      <c r="L530" s="5">
        <f t="shared" si="80"/>
        <v>0</v>
      </c>
      <c r="M530" s="5">
        <f t="shared" si="80"/>
        <v>1</v>
      </c>
      <c r="N530" s="5">
        <f t="shared" si="80"/>
        <v>0</v>
      </c>
      <c r="O530" s="5">
        <f t="shared" si="80"/>
        <v>0</v>
      </c>
      <c r="P530" s="5">
        <f t="shared" si="80"/>
        <v>0</v>
      </c>
    </row>
    <row r="531" spans="1:16" x14ac:dyDescent="0.25">
      <c r="A531" s="5" t="str">
        <f t="shared" si="79"/>
        <v>Thái Nguyên</v>
      </c>
      <c r="B531" s="5">
        <f t="shared" si="79"/>
        <v>2021</v>
      </c>
      <c r="C531" s="9">
        <f t="shared" si="69"/>
        <v>-1.5953219878495923</v>
      </c>
      <c r="D531" s="9">
        <f t="shared" si="70"/>
        <v>0.6443855441161781</v>
      </c>
      <c r="E531" s="9">
        <f t="shared" si="71"/>
        <v>-0.40026822688299563</v>
      </c>
      <c r="F531" s="9">
        <f t="shared" si="72"/>
        <v>6.113154639899092E-3</v>
      </c>
      <c r="G531" s="9">
        <f t="shared" si="73"/>
        <v>1.3620706978389017</v>
      </c>
      <c r="H531" s="9">
        <f t="shared" si="74"/>
        <v>1.2349156888496973</v>
      </c>
      <c r="I531" s="9">
        <f t="shared" si="75"/>
        <v>0.33045276074875546</v>
      </c>
      <c r="J531" s="9">
        <f t="shared" si="76"/>
        <v>0.95923931547633734</v>
      </c>
      <c r="K531" s="9">
        <f t="shared" si="77"/>
        <v>0.32029860890919026</v>
      </c>
      <c r="L531" s="5">
        <f t="shared" si="80"/>
        <v>0</v>
      </c>
      <c r="M531" s="5">
        <f t="shared" si="80"/>
        <v>1</v>
      </c>
      <c r="N531" s="5">
        <f t="shared" si="80"/>
        <v>0</v>
      </c>
      <c r="O531" s="5">
        <f t="shared" si="80"/>
        <v>0</v>
      </c>
      <c r="P531" s="5">
        <f t="shared" si="80"/>
        <v>0</v>
      </c>
    </row>
    <row r="532" spans="1:16" x14ac:dyDescent="0.25">
      <c r="A532" s="5" t="str">
        <f t="shared" si="79"/>
        <v>Tiền Giang</v>
      </c>
      <c r="B532" s="5">
        <f t="shared" si="79"/>
        <v>2021</v>
      </c>
      <c r="C532" s="9">
        <f t="shared" si="69"/>
        <v>-1.8380673875325295</v>
      </c>
      <c r="D532" s="9">
        <f t="shared" si="70"/>
        <v>-0.71183947684364668</v>
      </c>
      <c r="E532" s="9">
        <f t="shared" si="71"/>
        <v>-0.6163063394080901</v>
      </c>
      <c r="F532" s="9">
        <f t="shared" si="72"/>
        <v>-1.0104438626049983</v>
      </c>
      <c r="G532" s="9">
        <f t="shared" si="73"/>
        <v>-1.1521318326309857</v>
      </c>
      <c r="H532" s="9">
        <f t="shared" si="74"/>
        <v>-2.1310048289179959</v>
      </c>
      <c r="I532" s="9">
        <f t="shared" si="75"/>
        <v>-0.47962734652653738</v>
      </c>
      <c r="J532" s="9">
        <f t="shared" si="76"/>
        <v>-3.9151691804549867E-2</v>
      </c>
      <c r="K532" s="9">
        <f t="shared" si="77"/>
        <v>-0.50518477983467569</v>
      </c>
      <c r="L532" s="5">
        <f t="shared" ref="L532:P541" si="81">L156</f>
        <v>0</v>
      </c>
      <c r="M532" s="5">
        <f t="shared" si="81"/>
        <v>1</v>
      </c>
      <c r="N532" s="5">
        <f t="shared" si="81"/>
        <v>0</v>
      </c>
      <c r="O532" s="5">
        <f t="shared" si="81"/>
        <v>0</v>
      </c>
      <c r="P532" s="5">
        <f t="shared" si="81"/>
        <v>0</v>
      </c>
    </row>
    <row r="533" spans="1:16" x14ac:dyDescent="0.25">
      <c r="A533" s="5" t="str">
        <f t="shared" si="79"/>
        <v>Trà Vinh</v>
      </c>
      <c r="B533" s="5">
        <f t="shared" si="79"/>
        <v>2021</v>
      </c>
      <c r="C533" s="9">
        <f t="shared" si="69"/>
        <v>-2.1194269649757826</v>
      </c>
      <c r="D533" s="9">
        <f t="shared" si="70"/>
        <v>-0.42602405857387465</v>
      </c>
      <c r="E533" s="9">
        <f t="shared" si="71"/>
        <v>-0.70834142598805494</v>
      </c>
      <c r="F533" s="9">
        <f t="shared" si="72"/>
        <v>-0.82520205845640326</v>
      </c>
      <c r="G533" s="9">
        <f t="shared" si="73"/>
        <v>-1.5013266285295812</v>
      </c>
      <c r="H533" s="9">
        <f t="shared" si="74"/>
        <v>-1.414200692121953</v>
      </c>
      <c r="I533" s="9">
        <f t="shared" si="75"/>
        <v>-0.35663745049122364</v>
      </c>
      <c r="J533" s="9">
        <f t="shared" si="76"/>
        <v>0.42324953967193091</v>
      </c>
      <c r="K533" s="9">
        <f t="shared" si="77"/>
        <v>-1.1856508165019168</v>
      </c>
      <c r="L533" s="5">
        <f t="shared" si="81"/>
        <v>0</v>
      </c>
      <c r="M533" s="5">
        <f t="shared" si="81"/>
        <v>1</v>
      </c>
      <c r="N533" s="5">
        <f t="shared" si="81"/>
        <v>0</v>
      </c>
      <c r="O533" s="5">
        <f t="shared" si="81"/>
        <v>0</v>
      </c>
      <c r="P533" s="5">
        <f t="shared" si="81"/>
        <v>0</v>
      </c>
    </row>
    <row r="534" spans="1:16" x14ac:dyDescent="0.25">
      <c r="A534" s="5" t="str">
        <f t="shared" si="79"/>
        <v>Tuyên Quang</v>
      </c>
      <c r="B534" s="5">
        <f t="shared" si="79"/>
        <v>2021</v>
      </c>
      <c r="C534" s="9">
        <f t="shared" si="69"/>
        <v>-2.2458889791749921</v>
      </c>
      <c r="D534" s="9">
        <f t="shared" si="70"/>
        <v>-1.2016010946288906</v>
      </c>
      <c r="E534" s="9">
        <f t="shared" si="71"/>
        <v>-0.79162096229603196</v>
      </c>
      <c r="F534" s="9">
        <f t="shared" si="72"/>
        <v>-1.0314682391494707</v>
      </c>
      <c r="G534" s="9">
        <f t="shared" si="73"/>
        <v>-6.9627965345339604E-2</v>
      </c>
      <c r="H534" s="9">
        <f t="shared" si="74"/>
        <v>0.58705405305415659</v>
      </c>
      <c r="I534" s="9">
        <f t="shared" si="75"/>
        <v>-0.46529593267372321</v>
      </c>
      <c r="J534" s="9">
        <f t="shared" si="76"/>
        <v>-1.2360351643356025</v>
      </c>
      <c r="K534" s="9">
        <f t="shared" si="77"/>
        <v>-0.92908165513557994</v>
      </c>
      <c r="L534" s="5">
        <f t="shared" si="81"/>
        <v>0</v>
      </c>
      <c r="M534" s="5">
        <f t="shared" si="81"/>
        <v>1</v>
      </c>
      <c r="N534" s="5">
        <f t="shared" si="81"/>
        <v>0</v>
      </c>
      <c r="O534" s="5">
        <f t="shared" si="81"/>
        <v>0</v>
      </c>
      <c r="P534" s="5">
        <f t="shared" si="81"/>
        <v>0</v>
      </c>
    </row>
    <row r="535" spans="1:16" x14ac:dyDescent="0.25">
      <c r="A535" s="5" t="str">
        <f t="shared" si="79"/>
        <v>Tây Ninh</v>
      </c>
      <c r="B535" s="5">
        <f t="shared" si="79"/>
        <v>2021</v>
      </c>
      <c r="C535" s="9">
        <f t="shared" si="69"/>
        <v>-1.7870194147022589</v>
      </c>
      <c r="D535" s="9">
        <f t="shared" si="70"/>
        <v>2.4681390385959266E-2</v>
      </c>
      <c r="E535" s="9">
        <f t="shared" si="71"/>
        <v>-0.40983824694772647</v>
      </c>
      <c r="F535" s="9">
        <f t="shared" si="72"/>
        <v>1.9750588074151601E-2</v>
      </c>
      <c r="G535" s="9">
        <f t="shared" si="73"/>
        <v>-0.89605564897201584</v>
      </c>
      <c r="H535" s="9">
        <f t="shared" si="74"/>
        <v>0.16779015109933337</v>
      </c>
      <c r="I535" s="9">
        <f t="shared" si="75"/>
        <v>-0.18269665471020083</v>
      </c>
      <c r="J535" s="9">
        <f t="shared" si="76"/>
        <v>0.93751771243891235</v>
      </c>
      <c r="K535" s="9">
        <f t="shared" si="77"/>
        <v>-0.68366767469821443</v>
      </c>
      <c r="L535" s="5">
        <f t="shared" si="81"/>
        <v>0</v>
      </c>
      <c r="M535" s="5">
        <f t="shared" si="81"/>
        <v>1</v>
      </c>
      <c r="N535" s="5">
        <f t="shared" si="81"/>
        <v>0</v>
      </c>
      <c r="O535" s="5">
        <f t="shared" si="81"/>
        <v>0</v>
      </c>
      <c r="P535" s="5">
        <f t="shared" si="81"/>
        <v>0</v>
      </c>
    </row>
    <row r="536" spans="1:16" x14ac:dyDescent="0.25">
      <c r="A536" s="5" t="str">
        <f t="shared" si="79"/>
        <v>Vĩnh Long</v>
      </c>
      <c r="B536" s="5">
        <f t="shared" si="79"/>
        <v>2021</v>
      </c>
      <c r="C536" s="9">
        <f t="shared" si="69"/>
        <v>-2.0511371666492129</v>
      </c>
      <c r="D536" s="9">
        <f t="shared" si="70"/>
        <v>-0.64207253746533433</v>
      </c>
      <c r="E536" s="9">
        <f t="shared" si="71"/>
        <v>-0.64298022512042496</v>
      </c>
      <c r="F536" s="9">
        <f t="shared" si="72"/>
        <v>-0.52972433404760133</v>
      </c>
      <c r="G536" s="9">
        <f t="shared" si="73"/>
        <v>-0.94261495509182858</v>
      </c>
      <c r="H536" s="9">
        <f t="shared" si="74"/>
        <v>-1.7548970350336197</v>
      </c>
      <c r="I536" s="9">
        <f t="shared" si="75"/>
        <v>-0.59820407101826134</v>
      </c>
      <c r="J536" s="9">
        <f t="shared" si="76"/>
        <v>-0.46215604494549567</v>
      </c>
      <c r="K536" s="9">
        <f t="shared" si="77"/>
        <v>-0.46056405611879114</v>
      </c>
      <c r="L536" s="5">
        <f t="shared" si="81"/>
        <v>0</v>
      </c>
      <c r="M536" s="5">
        <f t="shared" si="81"/>
        <v>1</v>
      </c>
      <c r="N536" s="5">
        <f t="shared" si="81"/>
        <v>0</v>
      </c>
      <c r="O536" s="5">
        <f t="shared" si="81"/>
        <v>0</v>
      </c>
      <c r="P536" s="5">
        <f t="shared" si="81"/>
        <v>0</v>
      </c>
    </row>
    <row r="537" spans="1:16" x14ac:dyDescent="0.25">
      <c r="A537" s="5" t="str">
        <f t="shared" si="79"/>
        <v>Vĩnh Phúc</v>
      </c>
      <c r="B537" s="5">
        <f t="shared" si="79"/>
        <v>2021</v>
      </c>
      <c r="C537" s="9">
        <f t="shared" si="69"/>
        <v>-1.4287721032540639</v>
      </c>
      <c r="D537" s="9">
        <f t="shared" si="70"/>
        <v>0.95713034199945257</v>
      </c>
      <c r="E537" s="9">
        <f t="shared" si="71"/>
        <v>0.22646627863278257</v>
      </c>
      <c r="F537" s="9">
        <f t="shared" si="72"/>
        <v>-0.11207793512362178</v>
      </c>
      <c r="G537" s="9">
        <f t="shared" si="73"/>
        <v>1.28059191212923</v>
      </c>
      <c r="H537" s="9">
        <f t="shared" si="74"/>
        <v>0.20611274661726506</v>
      </c>
      <c r="I537" s="9">
        <f t="shared" si="75"/>
        <v>-0.45986877302747392</v>
      </c>
      <c r="J537" s="9">
        <f t="shared" si="76"/>
        <v>0.75774655252199141</v>
      </c>
      <c r="K537" s="9">
        <f t="shared" si="77"/>
        <v>1.446971882735278</v>
      </c>
      <c r="L537" s="5">
        <f t="shared" si="81"/>
        <v>0</v>
      </c>
      <c r="M537" s="5">
        <f t="shared" si="81"/>
        <v>1</v>
      </c>
      <c r="N537" s="5">
        <f t="shared" si="81"/>
        <v>0</v>
      </c>
      <c r="O537" s="5">
        <f t="shared" si="81"/>
        <v>0</v>
      </c>
      <c r="P537" s="5">
        <f t="shared" si="81"/>
        <v>0</v>
      </c>
    </row>
    <row r="538" spans="1:16" x14ac:dyDescent="0.25">
      <c r="A538" s="5" t="str">
        <f t="shared" si="79"/>
        <v>Yên Bái</v>
      </c>
      <c r="B538" s="5">
        <f t="shared" si="79"/>
        <v>2021</v>
      </c>
      <c r="C538" s="9">
        <f t="shared" si="69"/>
        <v>-1.8643102313335183</v>
      </c>
      <c r="D538" s="9">
        <f t="shared" si="70"/>
        <v>-1.3393232757675235</v>
      </c>
      <c r="E538" s="9">
        <f t="shared" si="71"/>
        <v>-0.73949489556047665</v>
      </c>
      <c r="F538" s="9">
        <f t="shared" si="72"/>
        <v>-0.64223315988018359</v>
      </c>
      <c r="G538" s="9">
        <f t="shared" si="73"/>
        <v>-0.17438640411491851</v>
      </c>
      <c r="H538" s="9">
        <f t="shared" si="74"/>
        <v>-0.12047778034119229</v>
      </c>
      <c r="I538" s="9">
        <f t="shared" si="75"/>
        <v>-0.7807741508725683</v>
      </c>
      <c r="J538" s="9">
        <f t="shared" si="76"/>
        <v>-0.76855010208488361</v>
      </c>
      <c r="K538" s="9">
        <f t="shared" si="77"/>
        <v>-0.95139201699352238</v>
      </c>
      <c r="L538" s="5">
        <f t="shared" si="81"/>
        <v>0</v>
      </c>
      <c r="M538" s="5">
        <f t="shared" si="81"/>
        <v>1</v>
      </c>
      <c r="N538" s="5">
        <f t="shared" si="81"/>
        <v>0</v>
      </c>
      <c r="O538" s="5">
        <f t="shared" si="81"/>
        <v>0</v>
      </c>
      <c r="P538" s="5">
        <f t="shared" si="81"/>
        <v>0</v>
      </c>
    </row>
    <row r="539" spans="1:16" x14ac:dyDescent="0.25">
      <c r="A539" s="5" t="str">
        <f t="shared" si="79"/>
        <v>Đà Nẵng</v>
      </c>
      <c r="B539" s="5">
        <f t="shared" si="79"/>
        <v>2021</v>
      </c>
      <c r="C539" s="9">
        <f t="shared" si="69"/>
        <v>-7.1755905352477556E-2</v>
      </c>
      <c r="D539" s="9">
        <f t="shared" si="70"/>
        <v>0.40976243773013926</v>
      </c>
      <c r="E539" s="9">
        <f t="shared" si="71"/>
        <v>3.0119529698140197</v>
      </c>
      <c r="F539" s="9">
        <f t="shared" si="72"/>
        <v>3.1432910709110438</v>
      </c>
      <c r="G539" s="9">
        <f t="shared" si="73"/>
        <v>2.8403286671429564</v>
      </c>
      <c r="H539" s="9">
        <f t="shared" si="74"/>
        <v>0.92756831087500025</v>
      </c>
      <c r="I539" s="9">
        <f t="shared" si="75"/>
        <v>4.2456035223568573</v>
      </c>
      <c r="J539" s="9">
        <f t="shared" si="76"/>
        <v>0.69399029102916554</v>
      </c>
      <c r="K539" s="9">
        <f t="shared" si="77"/>
        <v>4.0126634963986447</v>
      </c>
      <c r="L539" s="5">
        <f t="shared" si="81"/>
        <v>0</v>
      </c>
      <c r="M539" s="5">
        <f t="shared" si="81"/>
        <v>1</v>
      </c>
      <c r="N539" s="5">
        <f t="shared" si="81"/>
        <v>0</v>
      </c>
      <c r="O539" s="5">
        <f t="shared" si="81"/>
        <v>0</v>
      </c>
      <c r="P539" s="5">
        <f t="shared" si="81"/>
        <v>0</v>
      </c>
    </row>
    <row r="540" spans="1:16" x14ac:dyDescent="0.25">
      <c r="A540" s="5" t="str">
        <f t="shared" si="79"/>
        <v>Đắk Lắk</v>
      </c>
      <c r="B540" s="5">
        <f t="shared" si="79"/>
        <v>2021</v>
      </c>
      <c r="C540" s="9">
        <f t="shared" si="69"/>
        <v>-1.7770304556529897</v>
      </c>
      <c r="D540" s="9">
        <f t="shared" si="70"/>
        <v>-0.92094269824256125</v>
      </c>
      <c r="E540" s="9">
        <f t="shared" si="71"/>
        <v>-0.43956639438284784</v>
      </c>
      <c r="F540" s="9">
        <f t="shared" si="72"/>
        <v>-0.40982856510479904</v>
      </c>
      <c r="G540" s="9">
        <f t="shared" si="73"/>
        <v>-0.62833963878309251</v>
      </c>
      <c r="H540" s="9">
        <f t="shared" si="74"/>
        <v>-6.7288255334269256E-2</v>
      </c>
      <c r="I540" s="9">
        <f t="shared" si="75"/>
        <v>-0.60372917699274753</v>
      </c>
      <c r="J540" s="9">
        <f t="shared" si="76"/>
        <v>-1.0751511790281558</v>
      </c>
      <c r="K540" s="9">
        <f t="shared" si="77"/>
        <v>0.10835017125873835</v>
      </c>
      <c r="L540" s="5">
        <f t="shared" si="81"/>
        <v>0</v>
      </c>
      <c r="M540" s="5">
        <f t="shared" si="81"/>
        <v>1</v>
      </c>
      <c r="N540" s="5">
        <f t="shared" si="81"/>
        <v>0</v>
      </c>
      <c r="O540" s="5">
        <f t="shared" si="81"/>
        <v>0</v>
      </c>
      <c r="P540" s="5">
        <f t="shared" si="81"/>
        <v>0</v>
      </c>
    </row>
    <row r="541" spans="1:16" x14ac:dyDescent="0.25">
      <c r="A541" s="5" t="str">
        <f t="shared" si="79"/>
        <v>Đắk Nông</v>
      </c>
      <c r="B541" s="5">
        <f t="shared" si="79"/>
        <v>2021</v>
      </c>
      <c r="C541" s="9">
        <f t="shared" si="69"/>
        <v>-2.0300921566246846</v>
      </c>
      <c r="D541" s="9">
        <f t="shared" si="70"/>
        <v>-0.82276393176715523</v>
      </c>
      <c r="E541" s="9">
        <f t="shared" si="71"/>
        <v>-0.47173795119619844</v>
      </c>
      <c r="F541" s="9">
        <f t="shared" si="72"/>
        <v>-0.89623035759313452</v>
      </c>
      <c r="G541" s="9">
        <f t="shared" si="73"/>
        <v>-0.96589460815173489</v>
      </c>
      <c r="H541" s="9">
        <f t="shared" si="74"/>
        <v>-1.6450235218834413</v>
      </c>
      <c r="I541" s="9">
        <f t="shared" si="75"/>
        <v>-0.7039676239692011</v>
      </c>
      <c r="J541" s="9">
        <f t="shared" si="76"/>
        <v>-0.85180845016771456</v>
      </c>
      <c r="K541" s="9">
        <f t="shared" si="77"/>
        <v>0.11950535218770927</v>
      </c>
      <c r="L541" s="5">
        <f t="shared" si="81"/>
        <v>0</v>
      </c>
      <c r="M541" s="5">
        <f t="shared" si="81"/>
        <v>1</v>
      </c>
      <c r="N541" s="5">
        <f t="shared" si="81"/>
        <v>0</v>
      </c>
      <c r="O541" s="5">
        <f t="shared" si="81"/>
        <v>0</v>
      </c>
      <c r="P541" s="5">
        <f t="shared" si="81"/>
        <v>0</v>
      </c>
    </row>
    <row r="542" spans="1:16" x14ac:dyDescent="0.25">
      <c r="A542" s="5" t="str">
        <f t="shared" ref="A542:B561" si="82">A166</f>
        <v>Đồng Nai</v>
      </c>
      <c r="B542" s="5">
        <f t="shared" si="82"/>
        <v>2021</v>
      </c>
      <c r="C542" s="9">
        <f t="shared" si="69"/>
        <v>-0.8186468671496675</v>
      </c>
      <c r="D542" s="9">
        <f t="shared" si="70"/>
        <v>1.0507285859804274</v>
      </c>
      <c r="E542" s="9">
        <f t="shared" si="71"/>
        <v>0.41440518330824172</v>
      </c>
      <c r="F542" s="9">
        <f t="shared" si="72"/>
        <v>0.72321486272433755</v>
      </c>
      <c r="G542" s="9">
        <f t="shared" si="73"/>
        <v>-0.20930588370477815</v>
      </c>
      <c r="H542" s="9">
        <f t="shared" si="74"/>
        <v>0.20018751438468363</v>
      </c>
      <c r="I542" s="9">
        <f t="shared" si="75"/>
        <v>-0.61034833604639271</v>
      </c>
      <c r="J542" s="9">
        <f t="shared" si="76"/>
        <v>1.1994261283747558</v>
      </c>
      <c r="K542" s="9">
        <f t="shared" si="77"/>
        <v>0.62148849399141159</v>
      </c>
      <c r="L542" s="5">
        <f t="shared" ref="L542:P551" si="83">L166</f>
        <v>0</v>
      </c>
      <c r="M542" s="5">
        <f t="shared" si="83"/>
        <v>1</v>
      </c>
      <c r="N542" s="5">
        <f t="shared" si="83"/>
        <v>0</v>
      </c>
      <c r="O542" s="5">
        <f t="shared" si="83"/>
        <v>0</v>
      </c>
      <c r="P542" s="5">
        <f t="shared" si="83"/>
        <v>0</v>
      </c>
    </row>
    <row r="543" spans="1:16" x14ac:dyDescent="0.25">
      <c r="A543" s="5" t="str">
        <f t="shared" si="82"/>
        <v>Đồng Tháp</v>
      </c>
      <c r="B543" s="5">
        <f t="shared" si="82"/>
        <v>2021</v>
      </c>
      <c r="C543" s="9">
        <f t="shared" si="69"/>
        <v>-1.7820159844783079</v>
      </c>
      <c r="D543" s="9">
        <f t="shared" si="70"/>
        <v>-0.77090959948645854</v>
      </c>
      <c r="E543" s="9">
        <f t="shared" si="71"/>
        <v>-0.72279826480924403</v>
      </c>
      <c r="F543" s="9">
        <f t="shared" si="72"/>
        <v>-0.67348561150034547</v>
      </c>
      <c r="G543" s="9">
        <f t="shared" si="73"/>
        <v>-1.0939326999812198</v>
      </c>
      <c r="H543" s="9">
        <f t="shared" si="74"/>
        <v>-1.8724164579119928</v>
      </c>
      <c r="I543" s="9">
        <f t="shared" si="75"/>
        <v>-0.56491882404220872</v>
      </c>
      <c r="J543" s="9">
        <f t="shared" si="76"/>
        <v>-1.6161096505156276</v>
      </c>
      <c r="K543" s="9">
        <f t="shared" si="77"/>
        <v>-0.65020213191130083</v>
      </c>
      <c r="L543" s="5">
        <f t="shared" si="83"/>
        <v>0</v>
      </c>
      <c r="M543" s="5">
        <f t="shared" si="83"/>
        <v>1</v>
      </c>
      <c r="N543" s="5">
        <f t="shared" si="83"/>
        <v>0</v>
      </c>
      <c r="O543" s="5">
        <f t="shared" si="83"/>
        <v>0</v>
      </c>
      <c r="P543" s="5">
        <f t="shared" si="83"/>
        <v>0</v>
      </c>
    </row>
    <row r="544" spans="1:16" x14ac:dyDescent="0.25">
      <c r="A544" s="5" t="str">
        <f t="shared" si="82"/>
        <v>An Giang</v>
      </c>
      <c r="B544" s="5">
        <f t="shared" si="82"/>
        <v>2022</v>
      </c>
      <c r="C544" s="9">
        <f t="shared" si="69"/>
        <v>-0.22967419483544785</v>
      </c>
      <c r="D544" s="9">
        <f t="shared" si="70"/>
        <v>-0.84471599457653979</v>
      </c>
      <c r="E544" s="9">
        <f t="shared" si="71"/>
        <v>-0.65499365456338499</v>
      </c>
      <c r="F544" s="9">
        <f t="shared" si="72"/>
        <v>0.10271164146585374</v>
      </c>
      <c r="G544" s="9">
        <f t="shared" si="73"/>
        <v>-1.0706530469213136</v>
      </c>
      <c r="H544" s="9">
        <f t="shared" si="74"/>
        <v>-0.71853354104738631</v>
      </c>
      <c r="I544" s="9">
        <f t="shared" si="75"/>
        <v>-0.68726016442078608</v>
      </c>
      <c r="J544" s="9">
        <f t="shared" si="76"/>
        <v>-1.5278351953141478</v>
      </c>
      <c r="K544" s="9">
        <f t="shared" si="77"/>
        <v>-0.31554670404216595</v>
      </c>
      <c r="L544" s="5">
        <f t="shared" si="83"/>
        <v>0</v>
      </c>
      <c r="M544" s="5">
        <f t="shared" si="83"/>
        <v>0</v>
      </c>
      <c r="N544" s="5">
        <f t="shared" si="83"/>
        <v>1</v>
      </c>
      <c r="O544" s="5">
        <f t="shared" si="83"/>
        <v>0</v>
      </c>
      <c r="P544" s="5">
        <f t="shared" si="83"/>
        <v>0</v>
      </c>
    </row>
    <row r="545" spans="1:16" x14ac:dyDescent="0.25">
      <c r="A545" s="5" t="str">
        <f t="shared" si="82"/>
        <v>Bà Rịa - Vũng Tàu</v>
      </c>
      <c r="B545" s="5">
        <f t="shared" si="82"/>
        <v>2022</v>
      </c>
      <c r="C545" s="9">
        <f t="shared" si="69"/>
        <v>0.32435057501448444</v>
      </c>
      <c r="D545" s="9">
        <f t="shared" si="70"/>
        <v>3.6990319079528096</v>
      </c>
      <c r="E545" s="9">
        <f t="shared" si="71"/>
        <v>0.86623230083244973</v>
      </c>
      <c r="F545" s="9">
        <f t="shared" si="72"/>
        <v>1.6119209415231188</v>
      </c>
      <c r="G545" s="9">
        <f t="shared" si="73"/>
        <v>0.50072353462236618</v>
      </c>
      <c r="H545" s="9">
        <f t="shared" si="74"/>
        <v>-0.26101659048009185</v>
      </c>
      <c r="I545" s="9">
        <f t="shared" si="75"/>
        <v>0.16073583553388654</v>
      </c>
      <c r="J545" s="9">
        <f t="shared" si="76"/>
        <v>1.8342818329398738</v>
      </c>
      <c r="K545" s="9">
        <f t="shared" si="77"/>
        <v>0.77766102699700812</v>
      </c>
      <c r="L545" s="5">
        <f t="shared" si="83"/>
        <v>0</v>
      </c>
      <c r="M545" s="5">
        <f t="shared" si="83"/>
        <v>0</v>
      </c>
      <c r="N545" s="5">
        <f t="shared" si="83"/>
        <v>1</v>
      </c>
      <c r="O545" s="5">
        <f t="shared" si="83"/>
        <v>0</v>
      </c>
      <c r="P545" s="5">
        <f t="shared" si="83"/>
        <v>0</v>
      </c>
    </row>
    <row r="546" spans="1:16" x14ac:dyDescent="0.25">
      <c r="A546" s="5" t="str">
        <f t="shared" si="82"/>
        <v>Bình Dương</v>
      </c>
      <c r="B546" s="5">
        <f t="shared" si="82"/>
        <v>2022</v>
      </c>
      <c r="C546" s="9">
        <f t="shared" si="69"/>
        <v>0.83123943847004</v>
      </c>
      <c r="D546" s="9">
        <f t="shared" si="70"/>
        <v>1.7873106083645487</v>
      </c>
      <c r="E546" s="9">
        <f t="shared" si="71"/>
        <v>1.8065376765543026</v>
      </c>
      <c r="F546" s="9">
        <f t="shared" si="72"/>
        <v>2.9660044362657634</v>
      </c>
      <c r="G546" s="9">
        <f t="shared" si="73"/>
        <v>-0.30242449594440329</v>
      </c>
      <c r="H546" s="9">
        <f t="shared" si="74"/>
        <v>0.93450576459749102</v>
      </c>
      <c r="I546" s="9">
        <f t="shared" si="75"/>
        <v>-0.57234860398925069</v>
      </c>
      <c r="J546" s="9">
        <f t="shared" si="76"/>
        <v>1.3897614475368729</v>
      </c>
      <c r="K546" s="9">
        <f t="shared" si="77"/>
        <v>-1.4356818959944614E-2</v>
      </c>
      <c r="L546" s="5">
        <f t="shared" si="83"/>
        <v>0</v>
      </c>
      <c r="M546" s="5">
        <f t="shared" si="83"/>
        <v>0</v>
      </c>
      <c r="N546" s="5">
        <f t="shared" si="83"/>
        <v>1</v>
      </c>
      <c r="O546" s="5">
        <f t="shared" si="83"/>
        <v>0</v>
      </c>
      <c r="P546" s="5">
        <f t="shared" si="83"/>
        <v>0</v>
      </c>
    </row>
    <row r="547" spans="1:16" x14ac:dyDescent="0.25">
      <c r="A547" s="5" t="str">
        <f t="shared" si="82"/>
        <v>Bình Phước</v>
      </c>
      <c r="B547" s="5">
        <f t="shared" si="82"/>
        <v>2022</v>
      </c>
      <c r="C547" s="9">
        <f t="shared" si="69"/>
        <v>-0.58221315442066335</v>
      </c>
      <c r="D547" s="9">
        <f t="shared" si="70"/>
        <v>0.33130596443851518</v>
      </c>
      <c r="E547" s="9">
        <f t="shared" si="71"/>
        <v>0.10633198420318248</v>
      </c>
      <c r="F547" s="9">
        <f t="shared" si="72"/>
        <v>-0.15071732985400357</v>
      </c>
      <c r="G547" s="9">
        <f t="shared" si="73"/>
        <v>-0.41882276124393514</v>
      </c>
      <c r="H547" s="9">
        <f t="shared" si="74"/>
        <v>-1.4511993451398728</v>
      </c>
      <c r="I547" s="9">
        <f t="shared" si="75"/>
        <v>-0.36769040573970813</v>
      </c>
      <c r="J547" s="9">
        <f t="shared" si="76"/>
        <v>0.52885681622689673</v>
      </c>
      <c r="K547" s="9">
        <f t="shared" si="77"/>
        <v>0.39838487541198836</v>
      </c>
      <c r="L547" s="5">
        <f t="shared" si="83"/>
        <v>0</v>
      </c>
      <c r="M547" s="5">
        <f t="shared" si="83"/>
        <v>0</v>
      </c>
      <c r="N547" s="5">
        <f t="shared" si="83"/>
        <v>1</v>
      </c>
      <c r="O547" s="5">
        <f t="shared" si="83"/>
        <v>0</v>
      </c>
      <c r="P547" s="5">
        <f t="shared" si="83"/>
        <v>0</v>
      </c>
    </row>
    <row r="548" spans="1:16" x14ac:dyDescent="0.25">
      <c r="A548" s="5" t="str">
        <f t="shared" si="82"/>
        <v>Bình Thuận</v>
      </c>
      <c r="B548" s="5">
        <f t="shared" si="82"/>
        <v>2022</v>
      </c>
      <c r="C548" s="9">
        <f t="shared" si="69"/>
        <v>-0.37648920788051193</v>
      </c>
      <c r="D548" s="9">
        <f t="shared" si="70"/>
        <v>0.15452106094994711</v>
      </c>
      <c r="E548" s="9">
        <f t="shared" si="71"/>
        <v>-0.25060940246645991</v>
      </c>
      <c r="F548" s="9">
        <f t="shared" si="72"/>
        <v>0.37318740457852617</v>
      </c>
      <c r="G548" s="9">
        <f t="shared" si="73"/>
        <v>-0.6050599857231862</v>
      </c>
      <c r="H548" s="9">
        <f t="shared" si="74"/>
        <v>-0.93750067210508281</v>
      </c>
      <c r="I548" s="9">
        <f t="shared" si="75"/>
        <v>-0.81014662432965934</v>
      </c>
      <c r="J548" s="9">
        <f t="shared" si="76"/>
        <v>0.37836788617192035</v>
      </c>
      <c r="K548" s="9">
        <f t="shared" si="77"/>
        <v>-0.49402959890570469</v>
      </c>
      <c r="L548" s="5">
        <f t="shared" si="83"/>
        <v>0</v>
      </c>
      <c r="M548" s="5">
        <f t="shared" si="83"/>
        <v>0</v>
      </c>
      <c r="N548" s="5">
        <f t="shared" si="83"/>
        <v>1</v>
      </c>
      <c r="O548" s="5">
        <f t="shared" si="83"/>
        <v>0</v>
      </c>
      <c r="P548" s="5">
        <f t="shared" si="83"/>
        <v>0</v>
      </c>
    </row>
    <row r="549" spans="1:16" x14ac:dyDescent="0.25">
      <c r="A549" s="5" t="str">
        <f t="shared" si="82"/>
        <v>Bình Định</v>
      </c>
      <c r="B549" s="5">
        <f t="shared" si="82"/>
        <v>2022</v>
      </c>
      <c r="C549" s="9">
        <f t="shared" si="69"/>
        <v>-6.7371673670012622E-2</v>
      </c>
      <c r="D549" s="9">
        <f t="shared" si="70"/>
        <v>-0.1289964013203144</v>
      </c>
      <c r="E549" s="9">
        <f t="shared" si="71"/>
        <v>-0.14696812133990653</v>
      </c>
      <c r="F549" s="9">
        <f t="shared" si="72"/>
        <v>0.52035804038983313</v>
      </c>
      <c r="G549" s="9">
        <f t="shared" si="73"/>
        <v>0.15152873872377071</v>
      </c>
      <c r="H549" s="9">
        <f t="shared" si="74"/>
        <v>0.70025654005995719</v>
      </c>
      <c r="I549" s="9">
        <f t="shared" si="75"/>
        <v>-0.42565839088822272</v>
      </c>
      <c r="J549" s="9">
        <f t="shared" si="76"/>
        <v>-0.50071027023036074</v>
      </c>
      <c r="K549" s="9">
        <f t="shared" si="77"/>
        <v>7.4884628471824768E-2</v>
      </c>
      <c r="L549" s="5">
        <f t="shared" si="83"/>
        <v>0</v>
      </c>
      <c r="M549" s="5">
        <f t="shared" si="83"/>
        <v>0</v>
      </c>
      <c r="N549" s="5">
        <f t="shared" si="83"/>
        <v>1</v>
      </c>
      <c r="O549" s="5">
        <f t="shared" si="83"/>
        <v>0</v>
      </c>
      <c r="P549" s="5">
        <f t="shared" si="83"/>
        <v>0</v>
      </c>
    </row>
    <row r="550" spans="1:16" x14ac:dyDescent="0.25">
      <c r="A550" s="5" t="str">
        <f t="shared" si="82"/>
        <v>Bắc Giang</v>
      </c>
      <c r="B550" s="5">
        <f t="shared" si="82"/>
        <v>2022</v>
      </c>
      <c r="C550" s="9">
        <f t="shared" si="69"/>
        <v>-0.21337630354583798</v>
      </c>
      <c r="D550" s="9">
        <f t="shared" si="70"/>
        <v>0.24735287933906847</v>
      </c>
      <c r="E550" s="9">
        <f t="shared" si="71"/>
        <v>-0.34468066352828236</v>
      </c>
      <c r="F550" s="9">
        <f t="shared" si="72"/>
        <v>-0.70757919508597644</v>
      </c>
      <c r="G550" s="9">
        <f t="shared" si="73"/>
        <v>0.96631659582049356</v>
      </c>
      <c r="H550" s="9">
        <f t="shared" si="74"/>
        <v>0.4993098749775689</v>
      </c>
      <c r="I550" s="9">
        <f t="shared" si="75"/>
        <v>-0.68432828572752269</v>
      </c>
      <c r="J550" s="9">
        <f t="shared" si="76"/>
        <v>0.69571846233794832</v>
      </c>
      <c r="K550" s="9">
        <f t="shared" si="77"/>
        <v>-0.25977079939731013</v>
      </c>
      <c r="L550" s="5">
        <f t="shared" si="83"/>
        <v>0</v>
      </c>
      <c r="M550" s="5">
        <f t="shared" si="83"/>
        <v>0</v>
      </c>
      <c r="N550" s="5">
        <f t="shared" si="83"/>
        <v>1</v>
      </c>
      <c r="O550" s="5">
        <f t="shared" si="83"/>
        <v>0</v>
      </c>
      <c r="P550" s="5">
        <f t="shared" si="83"/>
        <v>0</v>
      </c>
    </row>
    <row r="551" spans="1:16" x14ac:dyDescent="0.25">
      <c r="A551" s="5" t="str">
        <f t="shared" si="82"/>
        <v>Bắc Kạn</v>
      </c>
      <c r="B551" s="5">
        <f t="shared" si="82"/>
        <v>2022</v>
      </c>
      <c r="C551" s="9">
        <f t="shared" si="69"/>
        <v>-0.84899551835538845</v>
      </c>
      <c r="D551" s="9">
        <f t="shared" si="70"/>
        <v>-1.1108201214832634</v>
      </c>
      <c r="E551" s="9">
        <f t="shared" si="71"/>
        <v>-0.75110109010706516</v>
      </c>
      <c r="F551" s="9">
        <f t="shared" si="72"/>
        <v>-0.53086078683378901</v>
      </c>
      <c r="G551" s="9">
        <f t="shared" si="73"/>
        <v>0.45416422850255367</v>
      </c>
      <c r="H551" s="9">
        <f t="shared" si="74"/>
        <v>-0.48270818937459231</v>
      </c>
      <c r="I551" s="9">
        <f t="shared" si="75"/>
        <v>-0.32349987445209843</v>
      </c>
      <c r="J551" s="9">
        <f t="shared" si="76"/>
        <v>-2.7645060746909191</v>
      </c>
      <c r="K551" s="9">
        <f t="shared" si="77"/>
        <v>-0.5609606844795314</v>
      </c>
      <c r="L551" s="5">
        <f t="shared" si="83"/>
        <v>0</v>
      </c>
      <c r="M551" s="5">
        <f t="shared" si="83"/>
        <v>0</v>
      </c>
      <c r="N551" s="5">
        <f t="shared" si="83"/>
        <v>1</v>
      </c>
      <c r="O551" s="5">
        <f t="shared" si="83"/>
        <v>0</v>
      </c>
      <c r="P551" s="5">
        <f t="shared" si="83"/>
        <v>0</v>
      </c>
    </row>
    <row r="552" spans="1:16" x14ac:dyDescent="0.25">
      <c r="A552" s="5" t="str">
        <f t="shared" si="82"/>
        <v>Bắc Ninh</v>
      </c>
      <c r="B552" s="5">
        <f t="shared" si="82"/>
        <v>2022</v>
      </c>
      <c r="C552" s="9">
        <f t="shared" si="69"/>
        <v>0.39417211483868281</v>
      </c>
      <c r="D552" s="9">
        <f t="shared" si="70"/>
        <v>1.8323699219064216</v>
      </c>
      <c r="E552" s="9">
        <f t="shared" si="71"/>
        <v>0.84220544194652958</v>
      </c>
      <c r="F552" s="9">
        <f t="shared" si="72"/>
        <v>0.29704506790395008</v>
      </c>
      <c r="G552" s="9">
        <f t="shared" si="73"/>
        <v>1.2456724325393698</v>
      </c>
      <c r="H552" s="9">
        <f t="shared" si="74"/>
        <v>0.38221904959277153</v>
      </c>
      <c r="I552" s="9">
        <f t="shared" si="75"/>
        <v>0.44552247340761808</v>
      </c>
      <c r="J552" s="9">
        <f t="shared" si="76"/>
        <v>1.4476731541188674</v>
      </c>
      <c r="K552" s="9">
        <f t="shared" si="77"/>
        <v>0.96729910278951781</v>
      </c>
      <c r="L552" s="5">
        <f t="shared" ref="L552:P561" si="84">L176</f>
        <v>0</v>
      </c>
      <c r="M552" s="5">
        <f t="shared" si="84"/>
        <v>0</v>
      </c>
      <c r="N552" s="5">
        <f t="shared" si="84"/>
        <v>1</v>
      </c>
      <c r="O552" s="5">
        <f t="shared" si="84"/>
        <v>0</v>
      </c>
      <c r="P552" s="5">
        <f t="shared" si="84"/>
        <v>0</v>
      </c>
    </row>
    <row r="553" spans="1:16" x14ac:dyDescent="0.25">
      <c r="A553" s="5" t="str">
        <f t="shared" si="82"/>
        <v>Bến Tre</v>
      </c>
      <c r="B553" s="5">
        <f t="shared" si="82"/>
        <v>2022</v>
      </c>
      <c r="C553" s="9">
        <f t="shared" si="69"/>
        <v>-0.1813414715503264</v>
      </c>
      <c r="D553" s="9">
        <f t="shared" si="70"/>
        <v>-1.0425848529031485</v>
      </c>
      <c r="E553" s="9">
        <f t="shared" si="71"/>
        <v>-0.63503914464118028</v>
      </c>
      <c r="F553" s="9">
        <f t="shared" si="72"/>
        <v>-1.2377344198425384</v>
      </c>
      <c r="G553" s="9">
        <f t="shared" si="73"/>
        <v>-1.3732885367000962</v>
      </c>
      <c r="H553" s="9">
        <f t="shared" si="74"/>
        <v>-1.1415213889646141</v>
      </c>
      <c r="I553" s="9">
        <f t="shared" si="75"/>
        <v>-0.695353803773753</v>
      </c>
      <c r="J553" s="9">
        <f t="shared" si="76"/>
        <v>-0.22487463352350928</v>
      </c>
      <c r="K553" s="9">
        <f t="shared" si="77"/>
        <v>-0.63904695098232989</v>
      </c>
      <c r="L553" s="5">
        <f t="shared" si="84"/>
        <v>0</v>
      </c>
      <c r="M553" s="5">
        <f t="shared" si="84"/>
        <v>0</v>
      </c>
      <c r="N553" s="5">
        <f t="shared" si="84"/>
        <v>1</v>
      </c>
      <c r="O553" s="5">
        <f t="shared" si="84"/>
        <v>0</v>
      </c>
      <c r="P553" s="5">
        <f t="shared" si="84"/>
        <v>0</v>
      </c>
    </row>
    <row r="554" spans="1:16" x14ac:dyDescent="0.25">
      <c r="A554" s="5" t="str">
        <f t="shared" si="82"/>
        <v>Cà Mau</v>
      </c>
      <c r="B554" s="5">
        <f t="shared" si="82"/>
        <v>2022</v>
      </c>
      <c r="C554" s="9">
        <f t="shared" si="69"/>
        <v>-0.68061547323047156</v>
      </c>
      <c r="D554" s="9">
        <f t="shared" si="70"/>
        <v>-0.56649801676815847</v>
      </c>
      <c r="E554" s="9">
        <f t="shared" si="71"/>
        <v>-0.54748364192130217</v>
      </c>
      <c r="F554" s="9">
        <f t="shared" si="72"/>
        <v>-0.5223373909373813</v>
      </c>
      <c r="G554" s="9">
        <f t="shared" si="73"/>
        <v>-1.0939326999812198</v>
      </c>
      <c r="H554" s="9">
        <f t="shared" si="74"/>
        <v>-2.8953783910501505</v>
      </c>
      <c r="I554" s="9">
        <f t="shared" si="75"/>
        <v>-0.60096019828143121</v>
      </c>
      <c r="J554" s="9">
        <f t="shared" si="76"/>
        <v>-1.7036567784035064</v>
      </c>
      <c r="K554" s="9">
        <f t="shared" si="77"/>
        <v>-0.62789177005335861</v>
      </c>
      <c r="L554" s="5">
        <f t="shared" si="84"/>
        <v>0</v>
      </c>
      <c r="M554" s="5">
        <f t="shared" si="84"/>
        <v>0</v>
      </c>
      <c r="N554" s="5">
        <f t="shared" si="84"/>
        <v>1</v>
      </c>
      <c r="O554" s="5">
        <f t="shared" si="84"/>
        <v>0</v>
      </c>
      <c r="P554" s="5">
        <f t="shared" si="84"/>
        <v>0</v>
      </c>
    </row>
    <row r="555" spans="1:16" x14ac:dyDescent="0.25">
      <c r="A555" s="5" t="str">
        <f t="shared" si="82"/>
        <v>Cần Thơ</v>
      </c>
      <c r="B555" s="5">
        <f t="shared" si="82"/>
        <v>2022</v>
      </c>
      <c r="C555" s="9">
        <f t="shared" si="69"/>
        <v>0.40461001997578477</v>
      </c>
      <c r="D555" s="9">
        <f t="shared" si="70"/>
        <v>0.3126120748004601</v>
      </c>
      <c r="E555" s="9">
        <f t="shared" si="71"/>
        <v>0.44026459922783362</v>
      </c>
      <c r="F555" s="9">
        <f t="shared" si="72"/>
        <v>2.1858295985479073</v>
      </c>
      <c r="G555" s="9">
        <f t="shared" si="73"/>
        <v>-9.2907618405246306E-2</v>
      </c>
      <c r="H555" s="9">
        <f t="shared" si="74"/>
        <v>-1.5446049089405314</v>
      </c>
      <c r="I555" s="9">
        <f t="shared" si="75"/>
        <v>2.4383029842032156E-2</v>
      </c>
      <c r="J555" s="9">
        <f t="shared" si="76"/>
        <v>3.2953833173167149E-2</v>
      </c>
      <c r="K555" s="9">
        <f t="shared" si="77"/>
        <v>0.69957476049420964</v>
      </c>
      <c r="L555" s="5">
        <f t="shared" si="84"/>
        <v>0</v>
      </c>
      <c r="M555" s="5">
        <f t="shared" si="84"/>
        <v>0</v>
      </c>
      <c r="N555" s="5">
        <f t="shared" si="84"/>
        <v>1</v>
      </c>
      <c r="O555" s="5">
        <f t="shared" si="84"/>
        <v>0</v>
      </c>
      <c r="P555" s="5">
        <f t="shared" si="84"/>
        <v>0</v>
      </c>
    </row>
    <row r="556" spans="1:16" x14ac:dyDescent="0.25">
      <c r="A556" s="5" t="str">
        <f t="shared" si="82"/>
        <v>Gia Lai</v>
      </c>
      <c r="B556" s="5">
        <f t="shared" si="82"/>
        <v>2022</v>
      </c>
      <c r="C556" s="9">
        <f t="shared" si="69"/>
        <v>-0.51021059392858548</v>
      </c>
      <c r="D556" s="9">
        <f t="shared" si="70"/>
        <v>-0.7837651502777917</v>
      </c>
      <c r="E556" s="9">
        <f t="shared" si="71"/>
        <v>-0.52508572262086828</v>
      </c>
      <c r="F556" s="9">
        <f t="shared" si="72"/>
        <v>-0.15355846181947286</v>
      </c>
      <c r="G556" s="9">
        <f t="shared" si="73"/>
        <v>-0.97753443468168799</v>
      </c>
      <c r="H556" s="9">
        <f t="shared" si="74"/>
        <v>0.10214665580229161</v>
      </c>
      <c r="I556" s="9">
        <f t="shared" si="75"/>
        <v>-0.10688945319360781</v>
      </c>
      <c r="J556" s="9">
        <f t="shared" si="76"/>
        <v>-2.213061353388643</v>
      </c>
      <c r="K556" s="9">
        <f t="shared" si="77"/>
        <v>-0.57211586540850279</v>
      </c>
      <c r="L556" s="5">
        <f t="shared" si="84"/>
        <v>0</v>
      </c>
      <c r="M556" s="5">
        <f t="shared" si="84"/>
        <v>0</v>
      </c>
      <c r="N556" s="5">
        <f t="shared" si="84"/>
        <v>1</v>
      </c>
      <c r="O556" s="5">
        <f t="shared" si="84"/>
        <v>0</v>
      </c>
      <c r="P556" s="5">
        <f t="shared" si="84"/>
        <v>0</v>
      </c>
    </row>
    <row r="557" spans="1:16" x14ac:dyDescent="0.25">
      <c r="A557" s="5" t="str">
        <f t="shared" si="82"/>
        <v>Hà Nam</v>
      </c>
      <c r="B557" s="5">
        <f t="shared" si="82"/>
        <v>2022</v>
      </c>
      <c r="C557" s="9">
        <f t="shared" si="69"/>
        <v>-0.15002658471174171</v>
      </c>
      <c r="D557" s="9">
        <f t="shared" si="70"/>
        <v>0.32331269750141589</v>
      </c>
      <c r="E557" s="9">
        <f t="shared" si="71"/>
        <v>-1.585263335271735E-3</v>
      </c>
      <c r="F557" s="9">
        <f t="shared" si="72"/>
        <v>-0.22799611931476713</v>
      </c>
      <c r="G557" s="9">
        <f t="shared" si="73"/>
        <v>0.45416422850255367</v>
      </c>
      <c r="H557" s="9">
        <f t="shared" si="74"/>
        <v>0.56739975201668824</v>
      </c>
      <c r="I557" s="9">
        <f t="shared" si="75"/>
        <v>-5.9868741219901406E-2</v>
      </c>
      <c r="J557" s="9">
        <f t="shared" si="76"/>
        <v>0.8279125964448667</v>
      </c>
      <c r="K557" s="9">
        <f t="shared" si="77"/>
        <v>-0.40478815147393532</v>
      </c>
      <c r="L557" s="5">
        <f t="shared" si="84"/>
        <v>0</v>
      </c>
      <c r="M557" s="5">
        <f t="shared" si="84"/>
        <v>0</v>
      </c>
      <c r="N557" s="5">
        <f t="shared" si="84"/>
        <v>1</v>
      </c>
      <c r="O557" s="5">
        <f t="shared" si="84"/>
        <v>0</v>
      </c>
      <c r="P557" s="5">
        <f t="shared" si="84"/>
        <v>0</v>
      </c>
    </row>
    <row r="558" spans="1:16" x14ac:dyDescent="0.25">
      <c r="A558" s="5" t="str">
        <f t="shared" si="82"/>
        <v>Hà Nội</v>
      </c>
      <c r="B558" s="5">
        <f t="shared" si="82"/>
        <v>2022</v>
      </c>
      <c r="C558" s="9">
        <f t="shared" si="69"/>
        <v>2.0276798660597191</v>
      </c>
      <c r="D558" s="9">
        <f t="shared" si="70"/>
        <v>1.4447787957416744</v>
      </c>
      <c r="E558" s="9">
        <f t="shared" si="71"/>
        <v>3.3186008467817785</v>
      </c>
      <c r="F558" s="9">
        <f t="shared" si="72"/>
        <v>0.96755221175469319</v>
      </c>
      <c r="G558" s="9">
        <f t="shared" si="73"/>
        <v>3.096404850801926</v>
      </c>
      <c r="H558" s="9">
        <f t="shared" si="74"/>
        <v>0.7319077207344763</v>
      </c>
      <c r="I558" s="9">
        <f t="shared" si="75"/>
        <v>0.47693157762694366</v>
      </c>
      <c r="J558" s="9">
        <f t="shared" si="76"/>
        <v>0.64505022582447624</v>
      </c>
      <c r="K558" s="9">
        <f t="shared" si="77"/>
        <v>3.6668528876005397</v>
      </c>
      <c r="L558" s="5">
        <f t="shared" si="84"/>
        <v>0</v>
      </c>
      <c r="M558" s="5">
        <f t="shared" si="84"/>
        <v>0</v>
      </c>
      <c r="N558" s="5">
        <f t="shared" si="84"/>
        <v>1</v>
      </c>
      <c r="O558" s="5">
        <f t="shared" si="84"/>
        <v>0</v>
      </c>
      <c r="P558" s="5">
        <f t="shared" si="84"/>
        <v>0</v>
      </c>
    </row>
    <row r="559" spans="1:16" x14ac:dyDescent="0.25">
      <c r="A559" s="5" t="str">
        <f t="shared" si="82"/>
        <v>Hà Tĩnh</v>
      </c>
      <c r="B559" s="5">
        <f t="shared" si="82"/>
        <v>2022</v>
      </c>
      <c r="C559" s="9">
        <f t="shared" si="69"/>
        <v>-0.50022163487931659</v>
      </c>
      <c r="D559" s="9">
        <f t="shared" si="70"/>
        <v>-0.12252089246142886</v>
      </c>
      <c r="E559" s="9">
        <f t="shared" si="71"/>
        <v>-0.33653596560085181</v>
      </c>
      <c r="F559" s="9">
        <f t="shared" si="72"/>
        <v>-0.55302161616444923</v>
      </c>
      <c r="G559" s="9">
        <f t="shared" si="73"/>
        <v>0.82663867746105546</v>
      </c>
      <c r="H559" s="9">
        <f t="shared" si="74"/>
        <v>1.0843358663405018</v>
      </c>
      <c r="I559" s="9">
        <f t="shared" si="75"/>
        <v>-0.76182855797303461</v>
      </c>
      <c r="J559" s="9">
        <f t="shared" si="76"/>
        <v>1.0929680827072903</v>
      </c>
      <c r="K559" s="9">
        <f t="shared" si="77"/>
        <v>-0.25977079939731013</v>
      </c>
      <c r="L559" s="5">
        <f t="shared" si="84"/>
        <v>0</v>
      </c>
      <c r="M559" s="5">
        <f t="shared" si="84"/>
        <v>0</v>
      </c>
      <c r="N559" s="5">
        <f t="shared" si="84"/>
        <v>1</v>
      </c>
      <c r="O559" s="5">
        <f t="shared" si="84"/>
        <v>0</v>
      </c>
      <c r="P559" s="5">
        <f t="shared" si="84"/>
        <v>0</v>
      </c>
    </row>
    <row r="560" spans="1:16" x14ac:dyDescent="0.25">
      <c r="A560" s="5" t="str">
        <f t="shared" si="82"/>
        <v>Hòa Bình</v>
      </c>
      <c r="B560" s="5">
        <f t="shared" si="82"/>
        <v>2022</v>
      </c>
      <c r="C560" s="9">
        <f t="shared" si="69"/>
        <v>-0.8748009562137139</v>
      </c>
      <c r="D560" s="9">
        <f t="shared" si="70"/>
        <v>-0.27967804413898861</v>
      </c>
      <c r="E560" s="9">
        <f t="shared" si="71"/>
        <v>-0.5226423132426391</v>
      </c>
      <c r="F560" s="9">
        <f t="shared" si="72"/>
        <v>-0.37516675512607423</v>
      </c>
      <c r="G560" s="9">
        <f t="shared" si="73"/>
        <v>1.1850820364332592E-2</v>
      </c>
      <c r="H560" s="9">
        <f t="shared" si="74"/>
        <v>-9.016185983655492E-2</v>
      </c>
      <c r="I560" s="9">
        <f t="shared" si="75"/>
        <v>-0.14860033606408199</v>
      </c>
      <c r="J560" s="9">
        <f t="shared" si="76"/>
        <v>-0.48361293406744782</v>
      </c>
      <c r="K560" s="9">
        <f t="shared" si="77"/>
        <v>0.28683306612227671</v>
      </c>
      <c r="L560" s="5">
        <f t="shared" si="84"/>
        <v>0</v>
      </c>
      <c r="M560" s="5">
        <f t="shared" si="84"/>
        <v>0</v>
      </c>
      <c r="N560" s="5">
        <f t="shared" si="84"/>
        <v>1</v>
      </c>
      <c r="O560" s="5">
        <f t="shared" si="84"/>
        <v>0</v>
      </c>
      <c r="P560" s="5">
        <f t="shared" si="84"/>
        <v>0</v>
      </c>
    </row>
    <row r="561" spans="1:16" x14ac:dyDescent="0.25">
      <c r="A561" s="5" t="str">
        <f t="shared" si="82"/>
        <v>Hưng Yên</v>
      </c>
      <c r="B561" s="5">
        <f t="shared" si="82"/>
        <v>2022</v>
      </c>
      <c r="C561" s="9">
        <f t="shared" si="69"/>
        <v>0.21556590190297359</v>
      </c>
      <c r="D561" s="9">
        <f t="shared" si="70"/>
        <v>0.70178861313631191</v>
      </c>
      <c r="E561" s="9">
        <f t="shared" si="71"/>
        <v>0.21913605049809518</v>
      </c>
      <c r="F561" s="9">
        <f t="shared" si="72"/>
        <v>-0.86327322679369123</v>
      </c>
      <c r="G561" s="9">
        <f t="shared" si="73"/>
        <v>0.51236336115231962</v>
      </c>
      <c r="H561" s="9">
        <f t="shared" si="74"/>
        <v>0.97557551498477313</v>
      </c>
      <c r="I561" s="9">
        <f t="shared" si="75"/>
        <v>0.42769644215296554</v>
      </c>
      <c r="J561" s="9">
        <f t="shared" si="76"/>
        <v>0.71845454853557356</v>
      </c>
      <c r="K561" s="9">
        <f t="shared" si="77"/>
        <v>1.0788509120792296</v>
      </c>
      <c r="L561" s="5">
        <f t="shared" si="84"/>
        <v>0</v>
      </c>
      <c r="M561" s="5">
        <f t="shared" si="84"/>
        <v>0</v>
      </c>
      <c r="N561" s="5">
        <f t="shared" si="84"/>
        <v>1</v>
      </c>
      <c r="O561" s="5">
        <f t="shared" si="84"/>
        <v>0</v>
      </c>
      <c r="P561" s="5">
        <f t="shared" si="84"/>
        <v>0</v>
      </c>
    </row>
    <row r="562" spans="1:16" x14ac:dyDescent="0.25">
      <c r="A562" s="5" t="str">
        <f t="shared" ref="A562:B581" si="85">A186</f>
        <v>Hải Dương</v>
      </c>
      <c r="B562" s="5">
        <f t="shared" si="85"/>
        <v>2022</v>
      </c>
      <c r="C562" s="9">
        <f t="shared" si="69"/>
        <v>0.15470671781629267</v>
      </c>
      <c r="D562" s="9">
        <f t="shared" si="70"/>
        <v>0.33927184148661549</v>
      </c>
      <c r="E562" s="9">
        <f t="shared" si="71"/>
        <v>-8.6290121780549178E-2</v>
      </c>
      <c r="F562" s="9">
        <f t="shared" si="72"/>
        <v>-1.6047674690761085E-2</v>
      </c>
      <c r="G562" s="9">
        <f t="shared" si="73"/>
        <v>0.69860058563157024</v>
      </c>
      <c r="H562" s="9">
        <f t="shared" si="74"/>
        <v>0.86145323463657308</v>
      </c>
      <c r="I562" s="9">
        <f t="shared" si="75"/>
        <v>-0.61272384972084426</v>
      </c>
      <c r="J562" s="9">
        <f t="shared" si="76"/>
        <v>0.6597856758458478</v>
      </c>
      <c r="K562" s="9">
        <f t="shared" si="77"/>
        <v>1.5585236920249896</v>
      </c>
      <c r="L562" s="5">
        <f t="shared" ref="L562:P571" si="86">L186</f>
        <v>0</v>
      </c>
      <c r="M562" s="5">
        <f t="shared" si="86"/>
        <v>0</v>
      </c>
      <c r="N562" s="5">
        <f t="shared" si="86"/>
        <v>1</v>
      </c>
      <c r="O562" s="5">
        <f t="shared" si="86"/>
        <v>0</v>
      </c>
      <c r="P562" s="5">
        <f t="shared" si="86"/>
        <v>0</v>
      </c>
    </row>
    <row r="563" spans="1:16" x14ac:dyDescent="0.25">
      <c r="A563" s="5" t="str">
        <f t="shared" si="85"/>
        <v>Hải Phòng</v>
      </c>
      <c r="B563" s="5">
        <f t="shared" si="85"/>
        <v>2022</v>
      </c>
      <c r="C563" s="9">
        <f t="shared" si="69"/>
        <v>0.65606453438523238</v>
      </c>
      <c r="D563" s="9">
        <f t="shared" si="70"/>
        <v>1.8997175834590667</v>
      </c>
      <c r="E563" s="9">
        <f t="shared" si="71"/>
        <v>0.82611966353985455</v>
      </c>
      <c r="F563" s="9">
        <f t="shared" si="72"/>
        <v>0.76980942695803323</v>
      </c>
      <c r="G563" s="9">
        <f t="shared" si="73"/>
        <v>1.4901087896683869</v>
      </c>
      <c r="H563" s="9">
        <f t="shared" si="74"/>
        <v>1.8005924011825902</v>
      </c>
      <c r="I563" s="9">
        <f t="shared" si="75"/>
        <v>0.31913922335023592</v>
      </c>
      <c r="J563" s="9">
        <f t="shared" si="76"/>
        <v>1.2792731751053983</v>
      </c>
      <c r="K563" s="9">
        <f t="shared" si="77"/>
        <v>1.2015579022979119</v>
      </c>
      <c r="L563" s="5">
        <f t="shared" si="86"/>
        <v>0</v>
      </c>
      <c r="M563" s="5">
        <f t="shared" si="86"/>
        <v>0</v>
      </c>
      <c r="N563" s="5">
        <f t="shared" si="86"/>
        <v>1</v>
      </c>
      <c r="O563" s="5">
        <f t="shared" si="86"/>
        <v>0</v>
      </c>
      <c r="P563" s="5">
        <f t="shared" si="86"/>
        <v>0</v>
      </c>
    </row>
    <row r="564" spans="1:16" x14ac:dyDescent="0.25">
      <c r="A564" s="5" t="str">
        <f t="shared" si="85"/>
        <v>Hậu Giang</v>
      </c>
      <c r="B564" s="5">
        <f t="shared" si="85"/>
        <v>2022</v>
      </c>
      <c r="C564" s="9">
        <f t="shared" si="69"/>
        <v>-0.79877553118194111</v>
      </c>
      <c r="D564" s="9">
        <f t="shared" si="70"/>
        <v>-0.26244515442279537</v>
      </c>
      <c r="E564" s="9">
        <f t="shared" si="71"/>
        <v>-0.4886381993956167</v>
      </c>
      <c r="F564" s="9">
        <f t="shared" si="72"/>
        <v>-0.22345030817001621</v>
      </c>
      <c r="G564" s="9">
        <f t="shared" si="73"/>
        <v>-1.3034495775203772</v>
      </c>
      <c r="H564" s="9">
        <f t="shared" si="74"/>
        <v>-1.267804700510524</v>
      </c>
      <c r="I564" s="9">
        <f t="shared" si="75"/>
        <v>-0.51595164880653921</v>
      </c>
      <c r="J564" s="9">
        <f t="shared" si="76"/>
        <v>-0.39589666665709</v>
      </c>
      <c r="K564" s="9">
        <f t="shared" si="77"/>
        <v>-0.44940887518981981</v>
      </c>
      <c r="L564" s="5">
        <f t="shared" si="86"/>
        <v>0</v>
      </c>
      <c r="M564" s="5">
        <f t="shared" si="86"/>
        <v>0</v>
      </c>
      <c r="N564" s="5">
        <f t="shared" si="86"/>
        <v>1</v>
      </c>
      <c r="O564" s="5">
        <f t="shared" si="86"/>
        <v>0</v>
      </c>
      <c r="P564" s="5">
        <f t="shared" si="86"/>
        <v>0</v>
      </c>
    </row>
    <row r="565" spans="1:16" x14ac:dyDescent="0.25">
      <c r="A565" s="5" t="str">
        <f t="shared" si="85"/>
        <v>Khánh Hòa</v>
      </c>
      <c r="B565" s="5">
        <f t="shared" si="85"/>
        <v>2022</v>
      </c>
      <c r="C565" s="9">
        <f t="shared" si="69"/>
        <v>0.19154024085910173</v>
      </c>
      <c r="D565" s="9">
        <f t="shared" si="70"/>
        <v>4.2819632029497241E-2</v>
      </c>
      <c r="E565" s="9">
        <f t="shared" si="71"/>
        <v>0.62290945025046296</v>
      </c>
      <c r="F565" s="9">
        <f t="shared" si="72"/>
        <v>0.58684052838181366</v>
      </c>
      <c r="G565" s="9">
        <f t="shared" si="73"/>
        <v>0.18644821831363034</v>
      </c>
      <c r="H565" s="9">
        <f t="shared" si="74"/>
        <v>0.63844220012417252</v>
      </c>
      <c r="I565" s="9">
        <f t="shared" si="75"/>
        <v>0.53578922086938308</v>
      </c>
      <c r="J565" s="9">
        <f t="shared" si="76"/>
        <v>0.46607799798581945</v>
      </c>
      <c r="K565" s="9">
        <f t="shared" si="77"/>
        <v>1.1234716357951144</v>
      </c>
      <c r="L565" s="5">
        <f t="shared" si="86"/>
        <v>0</v>
      </c>
      <c r="M565" s="5">
        <f t="shared" si="86"/>
        <v>0</v>
      </c>
      <c r="N565" s="5">
        <f t="shared" si="86"/>
        <v>1</v>
      </c>
      <c r="O565" s="5">
        <f t="shared" si="86"/>
        <v>0</v>
      </c>
      <c r="P565" s="5">
        <f t="shared" si="86"/>
        <v>0</v>
      </c>
    </row>
    <row r="566" spans="1:16" x14ac:dyDescent="0.25">
      <c r="A566" s="5" t="str">
        <f t="shared" si="85"/>
        <v>Kiên Giang</v>
      </c>
      <c r="B566" s="5">
        <f t="shared" si="85"/>
        <v>2022</v>
      </c>
      <c r="C566" s="9">
        <f t="shared" si="69"/>
        <v>-0.49030377222641119</v>
      </c>
      <c r="D566" s="9">
        <f t="shared" si="70"/>
        <v>-0.30751916944465879</v>
      </c>
      <c r="E566" s="9">
        <f t="shared" si="71"/>
        <v>-0.19156034249258869</v>
      </c>
      <c r="F566" s="9">
        <f t="shared" si="72"/>
        <v>-0.12457891577168642</v>
      </c>
      <c r="G566" s="9">
        <f t="shared" si="73"/>
        <v>-0.89605564897201584</v>
      </c>
      <c r="H566" s="9">
        <f t="shared" si="74"/>
        <v>-1.9710773986562813</v>
      </c>
      <c r="I566" s="9">
        <f t="shared" si="75"/>
        <v>3.3387207428480856</v>
      </c>
      <c r="J566" s="9">
        <f t="shared" si="76"/>
        <v>0.30609739309212558</v>
      </c>
      <c r="K566" s="9">
        <f t="shared" si="77"/>
        <v>-0.66135731284027222</v>
      </c>
      <c r="L566" s="5">
        <f t="shared" si="86"/>
        <v>0</v>
      </c>
      <c r="M566" s="5">
        <f t="shared" si="86"/>
        <v>0</v>
      </c>
      <c r="N566" s="5">
        <f t="shared" si="86"/>
        <v>1</v>
      </c>
      <c r="O566" s="5">
        <f t="shared" si="86"/>
        <v>0</v>
      </c>
      <c r="P566" s="5">
        <f t="shared" si="86"/>
        <v>0</v>
      </c>
    </row>
    <row r="567" spans="1:16" x14ac:dyDescent="0.25">
      <c r="A567" s="5" t="str">
        <f t="shared" si="85"/>
        <v>Kon Tum</v>
      </c>
      <c r="B567" s="5">
        <f t="shared" si="85"/>
        <v>2022</v>
      </c>
      <c r="C567" s="9">
        <f t="shared" si="69"/>
        <v>-0.8748009562137139</v>
      </c>
      <c r="D567" s="9">
        <f t="shared" si="70"/>
        <v>-0.82276393176715523</v>
      </c>
      <c r="E567" s="9">
        <f t="shared" si="71"/>
        <v>-0.47519944781535639</v>
      </c>
      <c r="F567" s="9">
        <f t="shared" si="72"/>
        <v>2.7137531184371393E-2</v>
      </c>
      <c r="G567" s="9">
        <f t="shared" si="73"/>
        <v>-0.70981842449276467</v>
      </c>
      <c r="H567" s="9">
        <f t="shared" si="74"/>
        <v>0.28117672847491032</v>
      </c>
      <c r="I567" s="9">
        <f t="shared" si="75"/>
        <v>-0.37380018376186369</v>
      </c>
      <c r="J567" s="9">
        <f t="shared" si="76"/>
        <v>-0.91860998911009228</v>
      </c>
      <c r="K567" s="9">
        <f t="shared" si="77"/>
        <v>0.54340222748861355</v>
      </c>
      <c r="L567" s="5">
        <f t="shared" si="86"/>
        <v>0</v>
      </c>
      <c r="M567" s="5">
        <f t="shared" si="86"/>
        <v>0</v>
      </c>
      <c r="N567" s="5">
        <f t="shared" si="86"/>
        <v>1</v>
      </c>
      <c r="O567" s="5">
        <f t="shared" si="86"/>
        <v>0</v>
      </c>
      <c r="P567" s="5">
        <f t="shared" si="86"/>
        <v>0</v>
      </c>
    </row>
    <row r="568" spans="1:16" x14ac:dyDescent="0.25">
      <c r="A568" s="5" t="str">
        <f t="shared" si="85"/>
        <v>Long An</v>
      </c>
      <c r="B568" s="5">
        <f t="shared" si="85"/>
        <v>2022</v>
      </c>
      <c r="C568" s="9">
        <f t="shared" si="69"/>
        <v>3.738337105448423E-3</v>
      </c>
      <c r="D568" s="9">
        <f t="shared" si="70"/>
        <v>0.40718943671793922</v>
      </c>
      <c r="E568" s="9">
        <f t="shared" si="71"/>
        <v>0.15397846707865101</v>
      </c>
      <c r="F568" s="9">
        <f t="shared" si="72"/>
        <v>-0.77633458865033222</v>
      </c>
      <c r="G568" s="9">
        <f t="shared" si="73"/>
        <v>-1.0008140877415945</v>
      </c>
      <c r="H568" s="9">
        <f t="shared" si="74"/>
        <v>-1.0841990406081428</v>
      </c>
      <c r="I568" s="9">
        <f t="shared" si="75"/>
        <v>-0.69613235236669102</v>
      </c>
      <c r="J568" s="9">
        <f t="shared" si="76"/>
        <v>0.96026097080182771</v>
      </c>
      <c r="K568" s="9">
        <f t="shared" si="77"/>
        <v>0.14181571404565152</v>
      </c>
      <c r="L568" s="5">
        <f t="shared" si="86"/>
        <v>0</v>
      </c>
      <c r="M568" s="5">
        <f t="shared" si="86"/>
        <v>0</v>
      </c>
      <c r="N568" s="5">
        <f t="shared" si="86"/>
        <v>1</v>
      </c>
      <c r="O568" s="5">
        <f t="shared" si="86"/>
        <v>0</v>
      </c>
      <c r="P568" s="5">
        <f t="shared" si="86"/>
        <v>0</v>
      </c>
    </row>
    <row r="569" spans="1:16" x14ac:dyDescent="0.25">
      <c r="A569" s="5" t="str">
        <f t="shared" si="85"/>
        <v>Lào Cai</v>
      </c>
      <c r="B569" s="5">
        <f t="shared" si="85"/>
        <v>2022</v>
      </c>
      <c r="C569" s="9">
        <f t="shared" si="69"/>
        <v>-0.60348767178660367</v>
      </c>
      <c r="D569" s="9">
        <f t="shared" si="70"/>
        <v>0.22240051623217452</v>
      </c>
      <c r="E569" s="9">
        <f t="shared" si="71"/>
        <v>-0.34183001925368162</v>
      </c>
      <c r="F569" s="9">
        <f t="shared" si="72"/>
        <v>-0.29731973927221672</v>
      </c>
      <c r="G569" s="9">
        <f t="shared" si="73"/>
        <v>-0.11618727146515259</v>
      </c>
      <c r="H569" s="9">
        <f t="shared" si="74"/>
        <v>-0.13472611602599383</v>
      </c>
      <c r="I569" s="9">
        <f t="shared" si="75"/>
        <v>0.18495236770687201</v>
      </c>
      <c r="J569" s="9">
        <f t="shared" si="76"/>
        <v>-0.53889674718224734</v>
      </c>
      <c r="K569" s="9">
        <f t="shared" si="77"/>
        <v>-0.47171923704776247</v>
      </c>
      <c r="L569" s="5">
        <f t="shared" si="86"/>
        <v>0</v>
      </c>
      <c r="M569" s="5">
        <f t="shared" si="86"/>
        <v>0</v>
      </c>
      <c r="N569" s="5">
        <f t="shared" si="86"/>
        <v>1</v>
      </c>
      <c r="O569" s="5">
        <f t="shared" si="86"/>
        <v>0</v>
      </c>
      <c r="P569" s="5">
        <f t="shared" si="86"/>
        <v>0</v>
      </c>
    </row>
    <row r="570" spans="1:16" x14ac:dyDescent="0.25">
      <c r="A570" s="5" t="str">
        <f t="shared" si="85"/>
        <v>Lâm Đồng</v>
      </c>
      <c r="B570" s="5">
        <f t="shared" si="85"/>
        <v>2022</v>
      </c>
      <c r="C570" s="9">
        <f t="shared" si="69"/>
        <v>-3.1363111357313594E-2</v>
      </c>
      <c r="D570" s="9">
        <f t="shared" si="70"/>
        <v>5.1835956882782815E-2</v>
      </c>
      <c r="E570" s="9">
        <f t="shared" si="71"/>
        <v>-2.0928920912919341E-2</v>
      </c>
      <c r="F570" s="9">
        <f t="shared" si="72"/>
        <v>0.41239502570200171</v>
      </c>
      <c r="G570" s="9">
        <f t="shared" si="73"/>
        <v>-0.22094571023473109</v>
      </c>
      <c r="H570" s="9">
        <f t="shared" si="74"/>
        <v>0.5497436214660737</v>
      </c>
      <c r="I570" s="9">
        <f t="shared" si="75"/>
        <v>-0.58430793998439445</v>
      </c>
      <c r="J570" s="9">
        <f t="shared" si="76"/>
        <v>-0.97878389879824945</v>
      </c>
      <c r="K570" s="9">
        <f t="shared" si="77"/>
        <v>1.480437425522191</v>
      </c>
      <c r="L570" s="5">
        <f t="shared" si="86"/>
        <v>0</v>
      </c>
      <c r="M570" s="5">
        <f t="shared" si="86"/>
        <v>0</v>
      </c>
      <c r="N570" s="5">
        <f t="shared" si="86"/>
        <v>1</v>
      </c>
      <c r="O570" s="5">
        <f t="shared" si="86"/>
        <v>0</v>
      </c>
      <c r="P570" s="5">
        <f t="shared" si="86"/>
        <v>0</v>
      </c>
    </row>
    <row r="571" spans="1:16" x14ac:dyDescent="0.25">
      <c r="A571" s="5" t="str">
        <f t="shared" si="85"/>
        <v>Lạng Sơn</v>
      </c>
      <c r="B571" s="5">
        <f t="shared" si="85"/>
        <v>2022</v>
      </c>
      <c r="C571" s="9">
        <f t="shared" si="69"/>
        <v>-0.77432834587553956</v>
      </c>
      <c r="D571" s="9">
        <f t="shared" si="70"/>
        <v>-0.92094269824256125</v>
      </c>
      <c r="E571" s="9">
        <f t="shared" si="71"/>
        <v>-0.59960970865685748</v>
      </c>
      <c r="F571" s="9">
        <f t="shared" si="72"/>
        <v>-0.50301769357219051</v>
      </c>
      <c r="G571" s="9">
        <f t="shared" si="73"/>
        <v>0.55892266727213213</v>
      </c>
      <c r="H571" s="9">
        <f t="shared" si="74"/>
        <v>-0.33633832994017232</v>
      </c>
      <c r="I571" s="9">
        <f t="shared" si="75"/>
        <v>-0.26513510919376448</v>
      </c>
      <c r="J571" s="9">
        <f t="shared" si="76"/>
        <v>-1.1442068435033914</v>
      </c>
      <c r="K571" s="9">
        <f t="shared" si="77"/>
        <v>-1.062943826283234</v>
      </c>
      <c r="L571" s="5">
        <f t="shared" si="86"/>
        <v>0</v>
      </c>
      <c r="M571" s="5">
        <f t="shared" si="86"/>
        <v>0</v>
      </c>
      <c r="N571" s="5">
        <f t="shared" si="86"/>
        <v>1</v>
      </c>
      <c r="O571" s="5">
        <f t="shared" si="86"/>
        <v>0</v>
      </c>
      <c r="P571" s="5">
        <f t="shared" si="86"/>
        <v>0</v>
      </c>
    </row>
    <row r="572" spans="1:16" x14ac:dyDescent="0.25">
      <c r="A572" s="5" t="str">
        <f t="shared" si="85"/>
        <v>Nam Định</v>
      </c>
      <c r="B572" s="5">
        <f t="shared" si="85"/>
        <v>2022</v>
      </c>
      <c r="C572" s="9">
        <f t="shared" si="69"/>
        <v>0.26815530610749916</v>
      </c>
      <c r="D572" s="9">
        <f t="shared" si="70"/>
        <v>-1.0960287279310423</v>
      </c>
      <c r="E572" s="9">
        <f t="shared" si="71"/>
        <v>-0.45239429361855094</v>
      </c>
      <c r="F572" s="9">
        <f t="shared" si="72"/>
        <v>-0.6683715739625008</v>
      </c>
      <c r="G572" s="9">
        <f t="shared" si="73"/>
        <v>-0.25586518982459072</v>
      </c>
      <c r="H572" s="9">
        <f t="shared" si="74"/>
        <v>-0.23265565039723568</v>
      </c>
      <c r="I572" s="9">
        <f t="shared" si="75"/>
        <v>-3.8966451556283449E-2</v>
      </c>
      <c r="J572" s="9">
        <f t="shared" si="76"/>
        <v>9.2443338546223663E-2</v>
      </c>
      <c r="K572" s="9">
        <f t="shared" si="77"/>
        <v>-0.53865032262158918</v>
      </c>
      <c r="L572" s="5">
        <f t="shared" ref="L572:P581" si="87">L196</f>
        <v>0</v>
      </c>
      <c r="M572" s="5">
        <f t="shared" si="87"/>
        <v>0</v>
      </c>
      <c r="N572" s="5">
        <f t="shared" si="87"/>
        <v>1</v>
      </c>
      <c r="O572" s="5">
        <f t="shared" si="87"/>
        <v>0</v>
      </c>
      <c r="P572" s="5">
        <f t="shared" si="87"/>
        <v>0</v>
      </c>
    </row>
    <row r="573" spans="1:16" x14ac:dyDescent="0.25">
      <c r="A573" s="5" t="str">
        <f t="shared" si="85"/>
        <v>Nghệ An</v>
      </c>
      <c r="B573" s="5">
        <f t="shared" si="85"/>
        <v>2022</v>
      </c>
      <c r="C573" s="9">
        <f t="shared" si="69"/>
        <v>8.4540902803133811E-2</v>
      </c>
      <c r="D573" s="9">
        <f t="shared" si="70"/>
        <v>-0.91184403231376188</v>
      </c>
      <c r="E573" s="9">
        <f t="shared" si="71"/>
        <v>-0.41228165632595559</v>
      </c>
      <c r="F573" s="9">
        <f t="shared" si="72"/>
        <v>-0.93884733707517343</v>
      </c>
      <c r="G573" s="9">
        <f t="shared" si="73"/>
        <v>0.18644821831363034</v>
      </c>
      <c r="H573" s="9">
        <f t="shared" si="74"/>
        <v>1.4944195538724903</v>
      </c>
      <c r="I573" s="9">
        <f t="shared" si="75"/>
        <v>1.471805638722514</v>
      </c>
      <c r="J573" s="9">
        <f t="shared" si="76"/>
        <v>-0.54219617451283986</v>
      </c>
      <c r="K573" s="9">
        <f t="shared" si="77"/>
        <v>-0.58327104633747406</v>
      </c>
      <c r="L573" s="5">
        <f t="shared" si="87"/>
        <v>0</v>
      </c>
      <c r="M573" s="5">
        <f t="shared" si="87"/>
        <v>0</v>
      </c>
      <c r="N573" s="5">
        <f t="shared" si="87"/>
        <v>1</v>
      </c>
      <c r="O573" s="5">
        <f t="shared" si="87"/>
        <v>0</v>
      </c>
      <c r="P573" s="5">
        <f t="shared" si="87"/>
        <v>0</v>
      </c>
    </row>
    <row r="574" spans="1:16" x14ac:dyDescent="0.25">
      <c r="A574" s="5" t="str">
        <f t="shared" si="85"/>
        <v>Ninh Bình</v>
      </c>
      <c r="B574" s="5">
        <f t="shared" si="85"/>
        <v>2022</v>
      </c>
      <c r="C574" s="9">
        <f t="shared" ref="C574:C637" si="88">STANDARDIZE(C198,AVERAGE($C$6:$C$336),_xlfn.STDEV.S($C$6:$C$336))</f>
        <v>-0.15778957871859281</v>
      </c>
      <c r="D574" s="9">
        <f t="shared" ref="D574:D637" si="89">STANDARDIZE(D198,AVERAGE($D$6:$D$336),_xlfn.STDEV.S($D$6:$D$336))</f>
        <v>0.11982330969245895</v>
      </c>
      <c r="E574" s="9">
        <f t="shared" ref="E574:E637" si="90">STANDARDIZE(E198,AVERAGE($E$6:$E$336),_xlfn.STDEV.S($E$6:$E$336))</f>
        <v>-0.15552005416370854</v>
      </c>
      <c r="F574" s="9">
        <f t="shared" ref="F574:F637" si="91">STANDARDIZE(F198,AVERAGE($F$6:$F$336),_xlfn.STDEV.S($F$6:$F$336))</f>
        <v>-0.59222923728792487</v>
      </c>
      <c r="G574" s="9">
        <f t="shared" ref="G574:G637" si="92">STANDARDIZE(G198,AVERAGE($G$6:$G$336),_xlfn.STDEV.S($G$6:$G$336))</f>
        <v>0.94303694276058725</v>
      </c>
      <c r="H574" s="9">
        <f t="shared" ref="H574:H637" si="93">STANDARDIZE(H198,AVERAGE($H$6:$H$336),_xlfn.STDEV.S($H$6:$H$336))</f>
        <v>1.3439096847854306</v>
      </c>
      <c r="I574" s="9">
        <f t="shared" ref="I574:I637" si="94">STANDARDIZE(I198,AVERAGE($I$6:$I$336),_xlfn.STDEV.S($I$6:$I$336))</f>
        <v>1.7167760494511994</v>
      </c>
      <c r="J574" s="9">
        <f t="shared" ref="J574:J637" si="95">STANDARDIZE(J198,AVERAGE($J$6:$J$336),_xlfn.STDEV.S($J$6:$J$336))</f>
        <v>-5.3699133278789772E-2</v>
      </c>
      <c r="K574" s="9">
        <f t="shared" ref="K574:K637" si="96">STANDARDIZE(K198,AVERAGE($K$6:$K$336),_xlfn.STDEV.S($K$6:$K$336))</f>
        <v>0.53224704655964228</v>
      </c>
      <c r="L574" s="5">
        <f t="shared" si="87"/>
        <v>0</v>
      </c>
      <c r="M574" s="5">
        <f t="shared" si="87"/>
        <v>0</v>
      </c>
      <c r="N574" s="5">
        <f t="shared" si="87"/>
        <v>1</v>
      </c>
      <c r="O574" s="5">
        <f t="shared" si="87"/>
        <v>0</v>
      </c>
      <c r="P574" s="5">
        <f t="shared" si="87"/>
        <v>0</v>
      </c>
    </row>
    <row r="575" spans="1:16" x14ac:dyDescent="0.25">
      <c r="A575" s="5" t="str">
        <f t="shared" si="85"/>
        <v>Ninh Thuận</v>
      </c>
      <c r="B575" s="5">
        <f t="shared" si="85"/>
        <v>2022</v>
      </c>
      <c r="C575" s="9">
        <f t="shared" si="88"/>
        <v>-0.54061442887447997</v>
      </c>
      <c r="D575" s="9">
        <f t="shared" si="89"/>
        <v>5.7827470965363108E-2</v>
      </c>
      <c r="E575" s="9">
        <f t="shared" si="90"/>
        <v>-0.18158308753148622</v>
      </c>
      <c r="F575" s="9">
        <f t="shared" si="91"/>
        <v>0.19476431714705728</v>
      </c>
      <c r="G575" s="9">
        <f t="shared" si="92"/>
        <v>-0.69817859796281179</v>
      </c>
      <c r="H575" s="9">
        <f t="shared" si="93"/>
        <v>7.6769465238068907E-2</v>
      </c>
      <c r="I575" s="9">
        <f t="shared" si="94"/>
        <v>-0.26128459961035277</v>
      </c>
      <c r="J575" s="9">
        <f t="shared" si="95"/>
        <v>0.34147762016802286</v>
      </c>
      <c r="K575" s="9">
        <f t="shared" si="96"/>
        <v>-9.2443085462742672E-2</v>
      </c>
      <c r="L575" s="5">
        <f t="shared" si="87"/>
        <v>0</v>
      </c>
      <c r="M575" s="5">
        <f t="shared" si="87"/>
        <v>0</v>
      </c>
      <c r="N575" s="5">
        <f t="shared" si="87"/>
        <v>1</v>
      </c>
      <c r="O575" s="5">
        <f t="shared" si="87"/>
        <v>0</v>
      </c>
      <c r="P575" s="5">
        <f t="shared" si="87"/>
        <v>0</v>
      </c>
    </row>
    <row r="576" spans="1:16" x14ac:dyDescent="0.25">
      <c r="A576" s="5" t="str">
        <f t="shared" si="85"/>
        <v>Phú Thọ</v>
      </c>
      <c r="B576" s="5">
        <f t="shared" si="85"/>
        <v>2022</v>
      </c>
      <c r="C576" s="9">
        <f t="shared" si="88"/>
        <v>-0.49030377222641119</v>
      </c>
      <c r="D576" s="9">
        <f t="shared" si="89"/>
        <v>-0.5586838709999512</v>
      </c>
      <c r="E576" s="9">
        <f t="shared" si="90"/>
        <v>-0.37624136799707564</v>
      </c>
      <c r="F576" s="9">
        <f t="shared" si="91"/>
        <v>-0.72064840212713488</v>
      </c>
      <c r="G576" s="9">
        <f t="shared" si="92"/>
        <v>1.1059945141799321</v>
      </c>
      <c r="H576" s="9">
        <f t="shared" si="93"/>
        <v>0.70530006260707445</v>
      </c>
      <c r="I576" s="9">
        <f t="shared" si="94"/>
        <v>-6.9900254792369344E-3</v>
      </c>
      <c r="J576" s="9">
        <f t="shared" si="95"/>
        <v>0.11964506837049271</v>
      </c>
      <c r="K576" s="9">
        <f t="shared" si="96"/>
        <v>0.1864364377615364</v>
      </c>
      <c r="L576" s="5">
        <f t="shared" si="87"/>
        <v>0</v>
      </c>
      <c r="M576" s="5">
        <f t="shared" si="87"/>
        <v>0</v>
      </c>
      <c r="N576" s="5">
        <f t="shared" si="87"/>
        <v>1</v>
      </c>
      <c r="O576" s="5">
        <f t="shared" si="87"/>
        <v>0</v>
      </c>
      <c r="P576" s="5">
        <f t="shared" si="87"/>
        <v>0</v>
      </c>
    </row>
    <row r="577" spans="1:16" x14ac:dyDescent="0.25">
      <c r="A577" s="5" t="str">
        <f t="shared" si="85"/>
        <v>Phú Yên</v>
      </c>
      <c r="B577" s="5">
        <f t="shared" si="85"/>
        <v>2022</v>
      </c>
      <c r="C577" s="9">
        <f t="shared" si="88"/>
        <v>-0.50022163487931659</v>
      </c>
      <c r="D577" s="9">
        <f t="shared" si="89"/>
        <v>-0.64611902443515401</v>
      </c>
      <c r="E577" s="9">
        <f t="shared" si="90"/>
        <v>-0.42796019983625933</v>
      </c>
      <c r="F577" s="9">
        <f t="shared" si="91"/>
        <v>3.8502059046248552E-2</v>
      </c>
      <c r="G577" s="9">
        <f t="shared" si="92"/>
        <v>-0.23258553676468444</v>
      </c>
      <c r="H577" s="9">
        <f t="shared" si="93"/>
        <v>0.16538522306620934</v>
      </c>
      <c r="I577" s="9">
        <f t="shared" si="94"/>
        <v>-0.70013018171814079</v>
      </c>
      <c r="J577" s="9">
        <f t="shared" si="95"/>
        <v>0.19600303822431001</v>
      </c>
      <c r="K577" s="9">
        <f t="shared" si="96"/>
        <v>-0.15937417103656981</v>
      </c>
      <c r="L577" s="5">
        <f t="shared" si="87"/>
        <v>0</v>
      </c>
      <c r="M577" s="5">
        <f t="shared" si="87"/>
        <v>0</v>
      </c>
      <c r="N577" s="5">
        <f t="shared" si="87"/>
        <v>1</v>
      </c>
      <c r="O577" s="5">
        <f t="shared" si="87"/>
        <v>0</v>
      </c>
      <c r="P577" s="5">
        <f t="shared" si="87"/>
        <v>0</v>
      </c>
    </row>
    <row r="578" spans="1:16" x14ac:dyDescent="0.25">
      <c r="A578" s="5" t="str">
        <f t="shared" si="85"/>
        <v>Quảng Bình</v>
      </c>
      <c r="B578" s="5">
        <f t="shared" si="85"/>
        <v>2022</v>
      </c>
      <c r="C578" s="9">
        <f t="shared" si="88"/>
        <v>-0.48045600106117115</v>
      </c>
      <c r="D578" s="9">
        <f t="shared" si="89"/>
        <v>-0.77518688896765175</v>
      </c>
      <c r="E578" s="9">
        <f t="shared" si="90"/>
        <v>-7.4887544682146451E-2</v>
      </c>
      <c r="F578" s="9">
        <f t="shared" si="91"/>
        <v>-0.50415414635837819</v>
      </c>
      <c r="G578" s="9">
        <f t="shared" si="92"/>
        <v>0.3843252693228344</v>
      </c>
      <c r="H578" s="9">
        <f t="shared" si="93"/>
        <v>1.0840676475382227</v>
      </c>
      <c r="I578" s="9">
        <f t="shared" si="94"/>
        <v>-0.36322691822715797</v>
      </c>
      <c r="J578" s="9">
        <f t="shared" si="95"/>
        <v>-0.22466007750172437</v>
      </c>
      <c r="K578" s="9">
        <f t="shared" si="96"/>
        <v>-0.82868502677483957</v>
      </c>
      <c r="L578" s="5">
        <f t="shared" si="87"/>
        <v>0</v>
      </c>
      <c r="M578" s="5">
        <f t="shared" si="87"/>
        <v>0</v>
      </c>
      <c r="N578" s="5">
        <f t="shared" si="87"/>
        <v>1</v>
      </c>
      <c r="O578" s="5">
        <f t="shared" si="87"/>
        <v>0</v>
      </c>
      <c r="P578" s="5">
        <f t="shared" si="87"/>
        <v>0</v>
      </c>
    </row>
    <row r="579" spans="1:16" x14ac:dyDescent="0.25">
      <c r="A579" s="5" t="str">
        <f t="shared" si="85"/>
        <v>Quảng Nam</v>
      </c>
      <c r="B579" s="5">
        <f t="shared" si="85"/>
        <v>2022</v>
      </c>
      <c r="C579" s="9">
        <f t="shared" si="88"/>
        <v>-0.31415180570570972</v>
      </c>
      <c r="D579" s="9">
        <f t="shared" si="89"/>
        <v>8.7555576555081435E-2</v>
      </c>
      <c r="E579" s="9">
        <f t="shared" si="90"/>
        <v>-8.8937148606964084E-2</v>
      </c>
      <c r="F579" s="9">
        <f t="shared" si="91"/>
        <v>-0.29675151287912299</v>
      </c>
      <c r="G579" s="9">
        <f t="shared" si="92"/>
        <v>0.34940578973297476</v>
      </c>
      <c r="H579" s="9">
        <f t="shared" si="93"/>
        <v>2.6273886253426838E-2</v>
      </c>
      <c r="I579" s="9">
        <f t="shared" si="94"/>
        <v>-0.96115416775083329</v>
      </c>
      <c r="J579" s="9">
        <f t="shared" si="95"/>
        <v>0.58045355950673172</v>
      </c>
      <c r="K579" s="9">
        <f t="shared" si="96"/>
        <v>-0.13706380917862757</v>
      </c>
      <c r="L579" s="5">
        <f t="shared" si="87"/>
        <v>0</v>
      </c>
      <c r="M579" s="5">
        <f t="shared" si="87"/>
        <v>0</v>
      </c>
      <c r="N579" s="5">
        <f t="shared" si="87"/>
        <v>1</v>
      </c>
      <c r="O579" s="5">
        <f t="shared" si="87"/>
        <v>0</v>
      </c>
      <c r="P579" s="5">
        <f t="shared" si="87"/>
        <v>0</v>
      </c>
    </row>
    <row r="580" spans="1:16" x14ac:dyDescent="0.25">
      <c r="A580" s="5" t="str">
        <f t="shared" si="85"/>
        <v>Quảng Ngãi</v>
      </c>
      <c r="B580" s="5">
        <f t="shared" si="85"/>
        <v>2022</v>
      </c>
      <c r="C580" s="9">
        <f t="shared" si="88"/>
        <v>-0.49030377222641119</v>
      </c>
      <c r="D580" s="9">
        <f t="shared" si="89"/>
        <v>0.64205967481040149</v>
      </c>
      <c r="E580" s="9">
        <f t="shared" si="90"/>
        <v>-0.2892967176217548</v>
      </c>
      <c r="F580" s="9">
        <f t="shared" si="91"/>
        <v>-0.57859180385367237</v>
      </c>
      <c r="G580" s="9">
        <f t="shared" si="92"/>
        <v>0.17480839178367699</v>
      </c>
      <c r="H580" s="9">
        <f t="shared" si="93"/>
        <v>3.0809359050969435E-2</v>
      </c>
      <c r="I580" s="9">
        <f t="shared" si="94"/>
        <v>-0.42154802387970824</v>
      </c>
      <c r="J580" s="9">
        <f t="shared" si="95"/>
        <v>-2.7577773727043703E-3</v>
      </c>
      <c r="K580" s="9">
        <f t="shared" si="96"/>
        <v>-3.6667180817886863E-2</v>
      </c>
      <c r="L580" s="5">
        <f t="shared" si="87"/>
        <v>0</v>
      </c>
      <c r="M580" s="5">
        <f t="shared" si="87"/>
        <v>0</v>
      </c>
      <c r="N580" s="5">
        <f t="shared" si="87"/>
        <v>1</v>
      </c>
      <c r="O580" s="5">
        <f t="shared" si="87"/>
        <v>0</v>
      </c>
      <c r="P580" s="5">
        <f t="shared" si="87"/>
        <v>0</v>
      </c>
    </row>
    <row r="581" spans="1:16" x14ac:dyDescent="0.25">
      <c r="A581" s="5" t="str">
        <f t="shared" si="85"/>
        <v>Quảng Ninh</v>
      </c>
      <c r="B581" s="5">
        <f t="shared" si="85"/>
        <v>2022</v>
      </c>
      <c r="C581" s="9">
        <f t="shared" si="88"/>
        <v>8.4540902803133811E-2</v>
      </c>
      <c r="D581" s="9">
        <f t="shared" si="89"/>
        <v>2.2004663345895734</v>
      </c>
      <c r="E581" s="9">
        <f t="shared" si="90"/>
        <v>0.28490448626209652</v>
      </c>
      <c r="F581" s="9">
        <f t="shared" si="91"/>
        <v>2.0074065111164385</v>
      </c>
      <c r="G581" s="9">
        <f t="shared" si="92"/>
        <v>2.1070195957559053</v>
      </c>
      <c r="H581" s="9">
        <f t="shared" si="93"/>
        <v>1.5105755752121277</v>
      </c>
      <c r="I581" s="9">
        <f t="shared" si="94"/>
        <v>0.87962755141843685</v>
      </c>
      <c r="J581" s="9">
        <f t="shared" si="95"/>
        <v>0.96158850363194581</v>
      </c>
      <c r="K581" s="9">
        <f t="shared" si="96"/>
        <v>-5.8977542675829109E-2</v>
      </c>
      <c r="L581" s="5">
        <f t="shared" si="87"/>
        <v>0</v>
      </c>
      <c r="M581" s="5">
        <f t="shared" si="87"/>
        <v>0</v>
      </c>
      <c r="N581" s="5">
        <f t="shared" si="87"/>
        <v>1</v>
      </c>
      <c r="O581" s="5">
        <f t="shared" si="87"/>
        <v>0</v>
      </c>
      <c r="P581" s="5">
        <f t="shared" si="87"/>
        <v>0</v>
      </c>
    </row>
    <row r="582" spans="1:16" x14ac:dyDescent="0.25">
      <c r="A582" s="5" t="str">
        <f t="shared" ref="A582:B601" si="97">A206</f>
        <v>Quảng Trị</v>
      </c>
      <c r="B582" s="5">
        <f t="shared" si="97"/>
        <v>2022</v>
      </c>
      <c r="C582" s="9">
        <f t="shared" si="88"/>
        <v>-0.51021059392858548</v>
      </c>
      <c r="D582" s="9">
        <f t="shared" si="89"/>
        <v>-0.27967804413898861</v>
      </c>
      <c r="E582" s="9">
        <f t="shared" si="90"/>
        <v>-0.17160583257038395</v>
      </c>
      <c r="F582" s="9">
        <f t="shared" si="91"/>
        <v>3.5660927080779059E-2</v>
      </c>
      <c r="G582" s="9">
        <f t="shared" si="92"/>
        <v>0.39596509585278772</v>
      </c>
      <c r="H582" s="9">
        <f t="shared" si="93"/>
        <v>0.59922012697753058</v>
      </c>
      <c r="I582" s="9">
        <f t="shared" si="94"/>
        <v>3.8735550919391533</v>
      </c>
      <c r="J582" s="9">
        <f t="shared" si="95"/>
        <v>0.53238189704489525</v>
      </c>
      <c r="K582" s="9">
        <f t="shared" si="96"/>
        <v>0.69957476049420964</v>
      </c>
      <c r="L582" s="5">
        <f t="shared" ref="L582:P591" si="98">L206</f>
        <v>0</v>
      </c>
      <c r="M582" s="5">
        <f t="shared" si="98"/>
        <v>0</v>
      </c>
      <c r="N582" s="5">
        <f t="shared" si="98"/>
        <v>1</v>
      </c>
      <c r="O582" s="5">
        <f t="shared" si="98"/>
        <v>0</v>
      </c>
      <c r="P582" s="5">
        <f t="shared" si="98"/>
        <v>0</v>
      </c>
    </row>
    <row r="583" spans="1:16" x14ac:dyDescent="0.25">
      <c r="A583" s="5" t="str">
        <f t="shared" si="97"/>
        <v>TP. Hồ Chí Minh</v>
      </c>
      <c r="B583" s="5">
        <f t="shared" si="97"/>
        <v>2022</v>
      </c>
      <c r="C583" s="9">
        <f t="shared" si="88"/>
        <v>2.1019096862316</v>
      </c>
      <c r="D583" s="9">
        <f t="shared" si="89"/>
        <v>1.7297298027200523</v>
      </c>
      <c r="E583" s="9">
        <f t="shared" si="90"/>
        <v>4.7477917155976481</v>
      </c>
      <c r="F583" s="9">
        <f t="shared" si="91"/>
        <v>2.5960890543616668</v>
      </c>
      <c r="G583" s="9">
        <f t="shared" si="92"/>
        <v>1.3853503508988083</v>
      </c>
      <c r="H583" s="9">
        <f t="shared" si="93"/>
        <v>0.33586834159618562</v>
      </c>
      <c r="I583" s="9">
        <f t="shared" si="94"/>
        <v>1.390322210198681</v>
      </c>
      <c r="J583" s="9">
        <f t="shared" si="95"/>
        <v>0.81741535192389281</v>
      </c>
      <c r="K583" s="9">
        <f t="shared" si="96"/>
        <v>3.5999218020267119</v>
      </c>
      <c r="L583" s="5">
        <f t="shared" si="98"/>
        <v>0</v>
      </c>
      <c r="M583" s="5">
        <f t="shared" si="98"/>
        <v>0</v>
      </c>
      <c r="N583" s="5">
        <f t="shared" si="98"/>
        <v>1</v>
      </c>
      <c r="O583" s="5">
        <f t="shared" si="98"/>
        <v>0</v>
      </c>
      <c r="P583" s="5">
        <f t="shared" si="98"/>
        <v>0</v>
      </c>
    </row>
    <row r="584" spans="1:16" x14ac:dyDescent="0.25">
      <c r="A584" s="5" t="str">
        <f t="shared" si="97"/>
        <v>Thanh Hóa</v>
      </c>
      <c r="B584" s="5">
        <f t="shared" si="97"/>
        <v>2022</v>
      </c>
      <c r="C584" s="9">
        <f t="shared" si="88"/>
        <v>8.4540902803133811E-2</v>
      </c>
      <c r="D584" s="9">
        <f t="shared" si="89"/>
        <v>-0.21486178781085008</v>
      </c>
      <c r="E584" s="9">
        <f t="shared" si="90"/>
        <v>-0.34773492525106875</v>
      </c>
      <c r="F584" s="9">
        <f t="shared" si="91"/>
        <v>-0.24788404307305173</v>
      </c>
      <c r="G584" s="9">
        <f t="shared" si="92"/>
        <v>0.31448631014311512</v>
      </c>
      <c r="H584" s="9">
        <f t="shared" si="93"/>
        <v>0.40472720977908883</v>
      </c>
      <c r="I584" s="9">
        <f t="shared" si="94"/>
        <v>-0.44059829256171346</v>
      </c>
      <c r="J584" s="9">
        <f t="shared" si="95"/>
        <v>0.55106045118048708</v>
      </c>
      <c r="K584" s="9">
        <f t="shared" si="96"/>
        <v>-0.46056405611879114</v>
      </c>
      <c r="L584" s="5">
        <f t="shared" si="98"/>
        <v>0</v>
      </c>
      <c r="M584" s="5">
        <f t="shared" si="98"/>
        <v>0</v>
      </c>
      <c r="N584" s="5">
        <f t="shared" si="98"/>
        <v>1</v>
      </c>
      <c r="O584" s="5">
        <f t="shared" si="98"/>
        <v>0</v>
      </c>
      <c r="P584" s="5">
        <f t="shared" si="98"/>
        <v>0</v>
      </c>
    </row>
    <row r="585" spans="1:16" x14ac:dyDescent="0.25">
      <c r="A585" s="5" t="str">
        <f t="shared" si="97"/>
        <v>Thái Bình</v>
      </c>
      <c r="B585" s="5">
        <f t="shared" si="97"/>
        <v>2022</v>
      </c>
      <c r="C585" s="9">
        <f t="shared" si="88"/>
        <v>-0.26285323421992368</v>
      </c>
      <c r="D585" s="9">
        <f t="shared" si="89"/>
        <v>-0.63400063290691033</v>
      </c>
      <c r="E585" s="9">
        <f t="shared" si="90"/>
        <v>-0.55237046067776052</v>
      </c>
      <c r="F585" s="9">
        <f t="shared" si="91"/>
        <v>-1.1519322344853671</v>
      </c>
      <c r="G585" s="9">
        <f t="shared" si="92"/>
        <v>-0.47702189389370103</v>
      </c>
      <c r="H585" s="9">
        <f t="shared" si="93"/>
        <v>-0.61278293859935662</v>
      </c>
      <c r="I585" s="9">
        <f t="shared" si="94"/>
        <v>-0.33942355191400997</v>
      </c>
      <c r="J585" s="9">
        <f t="shared" si="95"/>
        <v>-0.32401189438603273</v>
      </c>
      <c r="K585" s="9">
        <f t="shared" si="96"/>
        <v>-0.8175298458458683</v>
      </c>
      <c r="L585" s="5">
        <f t="shared" si="98"/>
        <v>0</v>
      </c>
      <c r="M585" s="5">
        <f t="shared" si="98"/>
        <v>0</v>
      </c>
      <c r="N585" s="5">
        <f t="shared" si="98"/>
        <v>1</v>
      </c>
      <c r="O585" s="5">
        <f t="shared" si="98"/>
        <v>0</v>
      </c>
      <c r="P585" s="5">
        <f t="shared" si="98"/>
        <v>0</v>
      </c>
    </row>
    <row r="586" spans="1:16" x14ac:dyDescent="0.25">
      <c r="A586" s="5" t="str">
        <f t="shared" si="97"/>
        <v>Thái Nguyên</v>
      </c>
      <c r="B586" s="5">
        <f t="shared" si="97"/>
        <v>2022</v>
      </c>
      <c r="C586" s="9">
        <f t="shared" si="88"/>
        <v>2.4382474989824425E-2</v>
      </c>
      <c r="D586" s="9">
        <f t="shared" si="89"/>
        <v>0.82544886165328413</v>
      </c>
      <c r="E586" s="9">
        <f t="shared" si="90"/>
        <v>-0.36667134793234468</v>
      </c>
      <c r="F586" s="9">
        <f t="shared" si="91"/>
        <v>0.41523615766747118</v>
      </c>
      <c r="G586" s="9">
        <f t="shared" si="92"/>
        <v>1.4202698304886676</v>
      </c>
      <c r="H586" s="9">
        <f t="shared" si="93"/>
        <v>1.3222320867003674</v>
      </c>
      <c r="I586" s="9">
        <f t="shared" si="94"/>
        <v>0.31706419664174734</v>
      </c>
      <c r="J586" s="9">
        <f t="shared" si="95"/>
        <v>0.99440851624146853</v>
      </c>
      <c r="K586" s="9">
        <f t="shared" si="96"/>
        <v>0.61033331306244065</v>
      </c>
      <c r="L586" s="5">
        <f t="shared" si="98"/>
        <v>0</v>
      </c>
      <c r="M586" s="5">
        <f t="shared" si="98"/>
        <v>0</v>
      </c>
      <c r="N586" s="5">
        <f t="shared" si="98"/>
        <v>1</v>
      </c>
      <c r="O586" s="5">
        <f t="shared" si="98"/>
        <v>0</v>
      </c>
      <c r="P586" s="5">
        <f t="shared" si="98"/>
        <v>0</v>
      </c>
    </row>
    <row r="587" spans="1:16" x14ac:dyDescent="0.25">
      <c r="A587" s="5" t="str">
        <f t="shared" si="97"/>
        <v>Tiền Giang</v>
      </c>
      <c r="B587" s="5">
        <f t="shared" si="97"/>
        <v>2022</v>
      </c>
      <c r="C587" s="9">
        <f t="shared" si="88"/>
        <v>-0.53040593032100469</v>
      </c>
      <c r="D587" s="9">
        <f t="shared" si="89"/>
        <v>-0.43340408438210581</v>
      </c>
      <c r="E587" s="9">
        <f t="shared" si="90"/>
        <v>-0.5645875075689063</v>
      </c>
      <c r="F587" s="9">
        <f t="shared" si="91"/>
        <v>-0.95475767608180107</v>
      </c>
      <c r="G587" s="9">
        <f t="shared" si="92"/>
        <v>-1.2103309652807517</v>
      </c>
      <c r="H587" s="9">
        <f t="shared" si="93"/>
        <v>-1.9964550907226244</v>
      </c>
      <c r="I587" s="9">
        <f t="shared" si="94"/>
        <v>-0.39146745843932584</v>
      </c>
      <c r="J587" s="9">
        <f t="shared" si="95"/>
        <v>-6.0928581880780944E-2</v>
      </c>
      <c r="K587" s="9">
        <f t="shared" si="96"/>
        <v>-0.44940887518981981</v>
      </c>
      <c r="L587" s="5">
        <f t="shared" si="98"/>
        <v>0</v>
      </c>
      <c r="M587" s="5">
        <f t="shared" si="98"/>
        <v>0</v>
      </c>
      <c r="N587" s="5">
        <f t="shared" si="98"/>
        <v>1</v>
      </c>
      <c r="O587" s="5">
        <f t="shared" si="98"/>
        <v>0</v>
      </c>
      <c r="P587" s="5">
        <f t="shared" si="98"/>
        <v>0</v>
      </c>
    </row>
    <row r="588" spans="1:16" x14ac:dyDescent="0.25">
      <c r="A588" s="5" t="str">
        <f t="shared" si="97"/>
        <v>Trà Vinh</v>
      </c>
      <c r="B588" s="5">
        <f t="shared" si="97"/>
        <v>2022</v>
      </c>
      <c r="C588" s="9">
        <f t="shared" si="88"/>
        <v>-0.8748009562137139</v>
      </c>
      <c r="D588" s="9">
        <f t="shared" si="89"/>
        <v>-0.10320189338048628</v>
      </c>
      <c r="E588" s="9">
        <f t="shared" si="90"/>
        <v>-0.67067219807368872</v>
      </c>
      <c r="F588" s="9">
        <f t="shared" si="91"/>
        <v>-0.78940379569149077</v>
      </c>
      <c r="G588" s="9">
        <f t="shared" si="92"/>
        <v>-1.35000888364019</v>
      </c>
      <c r="H588" s="9">
        <f t="shared" si="93"/>
        <v>-0.82091503704246249</v>
      </c>
      <c r="I588" s="9">
        <f t="shared" si="94"/>
        <v>-0.35712527430874569</v>
      </c>
      <c r="J588" s="9">
        <f t="shared" si="95"/>
        <v>0.39142693907330223</v>
      </c>
      <c r="K588" s="9">
        <f t="shared" si="96"/>
        <v>-0.86215056956175296</v>
      </c>
      <c r="L588" s="5">
        <f t="shared" si="98"/>
        <v>0</v>
      </c>
      <c r="M588" s="5">
        <f t="shared" si="98"/>
        <v>0</v>
      </c>
      <c r="N588" s="5">
        <f t="shared" si="98"/>
        <v>1</v>
      </c>
      <c r="O588" s="5">
        <f t="shared" si="98"/>
        <v>0</v>
      </c>
      <c r="P588" s="5">
        <f t="shared" si="98"/>
        <v>0</v>
      </c>
    </row>
    <row r="589" spans="1:16" x14ac:dyDescent="0.25">
      <c r="A589" s="5" t="str">
        <f t="shared" si="97"/>
        <v>Tuyên Quang</v>
      </c>
      <c r="B589" s="5">
        <f t="shared" si="97"/>
        <v>2022</v>
      </c>
      <c r="C589" s="9">
        <f t="shared" si="88"/>
        <v>-1.070204067568939</v>
      </c>
      <c r="D589" s="9">
        <f t="shared" si="89"/>
        <v>-0.95307142926158317</v>
      </c>
      <c r="E589" s="9">
        <f t="shared" si="90"/>
        <v>-0.75191555989980818</v>
      </c>
      <c r="F589" s="9">
        <f t="shared" si="91"/>
        <v>-0.97066801508842893</v>
      </c>
      <c r="G589" s="9">
        <f t="shared" si="92"/>
        <v>-0.24422536329463737</v>
      </c>
      <c r="H589" s="9">
        <f t="shared" si="93"/>
        <v>0.63538869832262979</v>
      </c>
      <c r="I589" s="9">
        <f t="shared" si="94"/>
        <v>-0.46835736107966836</v>
      </c>
      <c r="J589" s="9">
        <f t="shared" si="95"/>
        <v>-1.2393038898984146</v>
      </c>
      <c r="K589" s="9">
        <f t="shared" si="96"/>
        <v>-1.2191163592888303</v>
      </c>
      <c r="L589" s="5">
        <f t="shared" si="98"/>
        <v>0</v>
      </c>
      <c r="M589" s="5">
        <f t="shared" si="98"/>
        <v>0</v>
      </c>
      <c r="N589" s="5">
        <f t="shared" si="98"/>
        <v>1</v>
      </c>
      <c r="O589" s="5">
        <f t="shared" si="98"/>
        <v>0</v>
      </c>
      <c r="P589" s="5">
        <f t="shared" si="98"/>
        <v>0</v>
      </c>
    </row>
    <row r="590" spans="1:16" x14ac:dyDescent="0.25">
      <c r="A590" s="5" t="str">
        <f t="shared" si="97"/>
        <v>Tây Ninh</v>
      </c>
      <c r="B590" s="5">
        <f t="shared" si="97"/>
        <v>2022</v>
      </c>
      <c r="C590" s="9">
        <f t="shared" si="88"/>
        <v>-0.44174646133177259</v>
      </c>
      <c r="D590" s="9">
        <f t="shared" si="89"/>
        <v>0.31529185167034685</v>
      </c>
      <c r="E590" s="9">
        <f t="shared" si="90"/>
        <v>-0.35099280442204095</v>
      </c>
      <c r="F590" s="9">
        <f t="shared" si="91"/>
        <v>2.8273983970559271E-2</v>
      </c>
      <c r="G590" s="9">
        <f t="shared" si="92"/>
        <v>-0.68653877143285846</v>
      </c>
      <c r="H590" s="9">
        <f t="shared" si="93"/>
        <v>0.29666659057274841</v>
      </c>
      <c r="I590" s="9">
        <f t="shared" si="94"/>
        <v>-0.1202022996904014</v>
      </c>
      <c r="J590" s="9">
        <f t="shared" si="95"/>
        <v>0.98341504179635286</v>
      </c>
      <c r="K590" s="9">
        <f t="shared" si="96"/>
        <v>-0.19283971382348339</v>
      </c>
      <c r="L590" s="5">
        <f t="shared" si="98"/>
        <v>0</v>
      </c>
      <c r="M590" s="5">
        <f t="shared" si="98"/>
        <v>0</v>
      </c>
      <c r="N590" s="5">
        <f t="shared" si="98"/>
        <v>1</v>
      </c>
      <c r="O590" s="5">
        <f t="shared" si="98"/>
        <v>0</v>
      </c>
      <c r="P590" s="5">
        <f t="shared" si="98"/>
        <v>0</v>
      </c>
    </row>
    <row r="591" spans="1:16" x14ac:dyDescent="0.25">
      <c r="A591" s="5" t="str">
        <f t="shared" si="97"/>
        <v>Vĩnh Long</v>
      </c>
      <c r="B591" s="5">
        <f t="shared" si="97"/>
        <v>2022</v>
      </c>
      <c r="C591" s="9">
        <f t="shared" si="88"/>
        <v>-0.73844343180110694</v>
      </c>
      <c r="D591" s="9">
        <f t="shared" si="89"/>
        <v>-0.23174425980925065</v>
      </c>
      <c r="E591" s="9">
        <f t="shared" si="90"/>
        <v>-0.6260799769210067</v>
      </c>
      <c r="F591" s="9">
        <f t="shared" si="91"/>
        <v>-0.52801965486831992</v>
      </c>
      <c r="G591" s="9">
        <f t="shared" si="92"/>
        <v>-1.0706530469213136</v>
      </c>
      <c r="H591" s="9">
        <f t="shared" si="93"/>
        <v>-1.7266059650879642</v>
      </c>
      <c r="I591" s="9">
        <f t="shared" si="94"/>
        <v>-0.59811294066310938</v>
      </c>
      <c r="J591" s="9">
        <f t="shared" si="95"/>
        <v>-0.36768293532984836</v>
      </c>
      <c r="K591" s="9">
        <f t="shared" si="96"/>
        <v>7.9535428979976338E-3</v>
      </c>
      <c r="L591" s="5">
        <f t="shared" si="98"/>
        <v>0</v>
      </c>
      <c r="M591" s="5">
        <f t="shared" si="98"/>
        <v>0</v>
      </c>
      <c r="N591" s="5">
        <f t="shared" si="98"/>
        <v>1</v>
      </c>
      <c r="O591" s="5">
        <f t="shared" si="98"/>
        <v>0</v>
      </c>
      <c r="P591" s="5">
        <f t="shared" si="98"/>
        <v>0</v>
      </c>
    </row>
    <row r="592" spans="1:16" x14ac:dyDescent="0.25">
      <c r="A592" s="5" t="str">
        <f t="shared" si="97"/>
        <v>Vĩnh Phúc</v>
      </c>
      <c r="B592" s="5">
        <f t="shared" si="97"/>
        <v>2022</v>
      </c>
      <c r="C592" s="9">
        <f t="shared" si="88"/>
        <v>0.24502691091577147</v>
      </c>
      <c r="D592" s="9">
        <f t="shared" si="89"/>
        <v>1.2200781598147838</v>
      </c>
      <c r="E592" s="9">
        <f t="shared" si="90"/>
        <v>0.35189462671521266</v>
      </c>
      <c r="F592" s="9">
        <f t="shared" si="91"/>
        <v>-8.2530162682741617E-2</v>
      </c>
      <c r="G592" s="9">
        <f t="shared" si="92"/>
        <v>1.3038715651891357</v>
      </c>
      <c r="H592" s="9">
        <f t="shared" si="93"/>
        <v>0.52448870604898878</v>
      </c>
      <c r="I592" s="9">
        <f t="shared" si="94"/>
        <v>-0.46280901776726835</v>
      </c>
      <c r="J592" s="9">
        <f t="shared" si="95"/>
        <v>0.77671807830727746</v>
      </c>
      <c r="K592" s="9">
        <f t="shared" si="96"/>
        <v>1.4246615208773352</v>
      </c>
      <c r="L592" s="5">
        <f t="shared" ref="L592:P601" si="99">L216</f>
        <v>0</v>
      </c>
      <c r="M592" s="5">
        <f t="shared" si="99"/>
        <v>0</v>
      </c>
      <c r="N592" s="5">
        <f t="shared" si="99"/>
        <v>1</v>
      </c>
      <c r="O592" s="5">
        <f t="shared" si="99"/>
        <v>0</v>
      </c>
      <c r="P592" s="5">
        <f t="shared" si="99"/>
        <v>0</v>
      </c>
    </row>
    <row r="593" spans="1:16" x14ac:dyDescent="0.25">
      <c r="A593" s="5" t="str">
        <f t="shared" si="97"/>
        <v>Yên Bái</v>
      </c>
      <c r="B593" s="5">
        <f t="shared" si="97"/>
        <v>2022</v>
      </c>
      <c r="C593" s="9">
        <f t="shared" si="88"/>
        <v>-0.5202716760502667</v>
      </c>
      <c r="D593" s="9">
        <f t="shared" si="89"/>
        <v>-1.0862198265547194</v>
      </c>
      <c r="E593" s="9">
        <f t="shared" si="90"/>
        <v>-0.70997036557354098</v>
      </c>
      <c r="F593" s="9">
        <f t="shared" si="91"/>
        <v>-0.6354144431630574</v>
      </c>
      <c r="G593" s="9">
        <f t="shared" si="92"/>
        <v>-9.2907618405246306E-2</v>
      </c>
      <c r="H593" s="9">
        <f t="shared" si="93"/>
        <v>0.15029865390711153</v>
      </c>
      <c r="I593" s="9">
        <f t="shared" si="94"/>
        <v>-0.78229435873578179</v>
      </c>
      <c r="J593" s="9">
        <f t="shared" si="95"/>
        <v>-0.76000041516131667</v>
      </c>
      <c r="K593" s="9">
        <f t="shared" si="96"/>
        <v>-0.8844609314196954</v>
      </c>
      <c r="L593" s="5">
        <f t="shared" si="99"/>
        <v>0</v>
      </c>
      <c r="M593" s="5">
        <f t="shared" si="99"/>
        <v>0</v>
      </c>
      <c r="N593" s="5">
        <f t="shared" si="99"/>
        <v>1</v>
      </c>
      <c r="O593" s="5">
        <f t="shared" si="99"/>
        <v>0</v>
      </c>
      <c r="P593" s="5">
        <f t="shared" si="99"/>
        <v>0</v>
      </c>
    </row>
    <row r="594" spans="1:16" x14ac:dyDescent="0.25">
      <c r="A594" s="5" t="str">
        <f t="shared" si="97"/>
        <v>Đà Nẵng</v>
      </c>
      <c r="B594" s="5">
        <f t="shared" si="97"/>
        <v>2022</v>
      </c>
      <c r="C594" s="9">
        <f t="shared" si="88"/>
        <v>0.83887482097259036</v>
      </c>
      <c r="D594" s="9">
        <f t="shared" si="89"/>
        <v>0.71084298165036153</v>
      </c>
      <c r="E594" s="9">
        <f t="shared" si="90"/>
        <v>3.0463643185574134</v>
      </c>
      <c r="F594" s="9">
        <f t="shared" si="91"/>
        <v>3.1489733348419828</v>
      </c>
      <c r="G594" s="9">
        <f t="shared" si="92"/>
        <v>2.8868879732627688</v>
      </c>
      <c r="H594" s="9">
        <f t="shared" si="93"/>
        <v>0.95631648910492051</v>
      </c>
      <c r="I594" s="9">
        <f t="shared" si="94"/>
        <v>4.2698363454371133</v>
      </c>
      <c r="J594" s="9">
        <f t="shared" si="95"/>
        <v>0.70379731910820187</v>
      </c>
      <c r="K594" s="9">
        <f t="shared" si="96"/>
        <v>3.4549044499500874</v>
      </c>
      <c r="L594" s="5">
        <f t="shared" si="99"/>
        <v>0</v>
      </c>
      <c r="M594" s="5">
        <f t="shared" si="99"/>
        <v>0</v>
      </c>
      <c r="N594" s="5">
        <f t="shared" si="99"/>
        <v>1</v>
      </c>
      <c r="O594" s="5">
        <f t="shared" si="99"/>
        <v>0</v>
      </c>
      <c r="P594" s="5">
        <f t="shared" si="99"/>
        <v>0</v>
      </c>
    </row>
    <row r="595" spans="1:16" x14ac:dyDescent="0.25">
      <c r="A595" s="5" t="str">
        <f t="shared" si="97"/>
        <v>Đắk Lắk</v>
      </c>
      <c r="B595" s="5">
        <f t="shared" si="97"/>
        <v>2022</v>
      </c>
      <c r="C595" s="9">
        <f t="shared" si="88"/>
        <v>-0.14230659920256294</v>
      </c>
      <c r="D595" s="9">
        <f t="shared" si="89"/>
        <v>-0.67464338447820582</v>
      </c>
      <c r="E595" s="9">
        <f t="shared" si="90"/>
        <v>-0.41289250867051291</v>
      </c>
      <c r="F595" s="9">
        <f t="shared" si="91"/>
        <v>-0.40357807478076674</v>
      </c>
      <c r="G595" s="9">
        <f t="shared" si="92"/>
        <v>-0.66325911837295215</v>
      </c>
      <c r="H595" s="9">
        <f t="shared" si="93"/>
        <v>0.2025450897548044</v>
      </c>
      <c r="I595" s="9">
        <f t="shared" si="94"/>
        <v>-0.60599906061697528</v>
      </c>
      <c r="J595" s="9">
        <f t="shared" si="95"/>
        <v>-1.0663794322793962</v>
      </c>
      <c r="K595" s="9">
        <f t="shared" si="96"/>
        <v>0.88921283628671977</v>
      </c>
      <c r="L595" s="5">
        <f t="shared" si="99"/>
        <v>0</v>
      </c>
      <c r="M595" s="5">
        <f t="shared" si="99"/>
        <v>0</v>
      </c>
      <c r="N595" s="5">
        <f t="shared" si="99"/>
        <v>1</v>
      </c>
      <c r="O595" s="5">
        <f t="shared" si="99"/>
        <v>0</v>
      </c>
      <c r="P595" s="5">
        <f t="shared" si="99"/>
        <v>0</v>
      </c>
    </row>
    <row r="596" spans="1:16" x14ac:dyDescent="0.25">
      <c r="A596" s="5" t="str">
        <f t="shared" si="97"/>
        <v>Đắk Nông</v>
      </c>
      <c r="B596" s="5">
        <f t="shared" si="97"/>
        <v>2022</v>
      </c>
      <c r="C596" s="9">
        <f t="shared" si="88"/>
        <v>-0.73844343180110694</v>
      </c>
      <c r="D596" s="9">
        <f t="shared" si="89"/>
        <v>-0.53153937036677945</v>
      </c>
      <c r="E596" s="9">
        <f t="shared" si="90"/>
        <v>-0.41635400528967087</v>
      </c>
      <c r="F596" s="9">
        <f t="shared" si="91"/>
        <v>-0.86781903793844195</v>
      </c>
      <c r="G596" s="9">
        <f t="shared" si="92"/>
        <v>-1.0473733938614074</v>
      </c>
      <c r="H596" s="9">
        <f t="shared" si="93"/>
        <v>-1.3427335723694209</v>
      </c>
      <c r="I596" s="9">
        <f t="shared" si="94"/>
        <v>-0.70732382462905241</v>
      </c>
      <c r="J596" s="9">
        <f t="shared" si="95"/>
        <v>-0.85685285720181981</v>
      </c>
      <c r="K596" s="9">
        <f t="shared" si="96"/>
        <v>-0.103598266391714</v>
      </c>
      <c r="L596" s="5">
        <f t="shared" si="99"/>
        <v>0</v>
      </c>
      <c r="M596" s="5">
        <f t="shared" si="99"/>
        <v>0</v>
      </c>
      <c r="N596" s="5">
        <f t="shared" si="99"/>
        <v>1</v>
      </c>
      <c r="O596" s="5">
        <f t="shared" si="99"/>
        <v>0</v>
      </c>
      <c r="P596" s="5">
        <f t="shared" si="99"/>
        <v>0</v>
      </c>
    </row>
    <row r="597" spans="1:16" x14ac:dyDescent="0.25">
      <c r="A597" s="5" t="str">
        <f t="shared" si="97"/>
        <v>Đồng Nai</v>
      </c>
      <c r="B597" s="5">
        <f t="shared" si="97"/>
        <v>2022</v>
      </c>
      <c r="C597" s="9">
        <f t="shared" si="88"/>
        <v>0.69459566635300996</v>
      </c>
      <c r="D597" s="9">
        <f t="shared" si="89"/>
        <v>1.239955286704018</v>
      </c>
      <c r="E597" s="9">
        <f t="shared" si="90"/>
        <v>0.42112455909837199</v>
      </c>
      <c r="F597" s="9">
        <f t="shared" si="91"/>
        <v>0.74594391844809138</v>
      </c>
      <c r="G597" s="9">
        <f t="shared" si="92"/>
        <v>-0.16274657758496516</v>
      </c>
      <c r="H597" s="9">
        <f t="shared" si="93"/>
        <v>0.41812063889269391</v>
      </c>
      <c r="I597" s="9">
        <f t="shared" si="94"/>
        <v>-0.62250812640159314</v>
      </c>
      <c r="J597" s="9">
        <f t="shared" si="95"/>
        <v>1.2083175765212715</v>
      </c>
      <c r="K597" s="9">
        <f t="shared" si="96"/>
        <v>0.48762632284375773</v>
      </c>
      <c r="L597" s="5">
        <f t="shared" si="99"/>
        <v>0</v>
      </c>
      <c r="M597" s="5">
        <f t="shared" si="99"/>
        <v>0</v>
      </c>
      <c r="N597" s="5">
        <f t="shared" si="99"/>
        <v>1</v>
      </c>
      <c r="O597" s="5">
        <f t="shared" si="99"/>
        <v>0</v>
      </c>
      <c r="P597" s="5">
        <f t="shared" si="99"/>
        <v>0</v>
      </c>
    </row>
    <row r="598" spans="1:16" x14ac:dyDescent="0.25">
      <c r="A598" s="5" t="str">
        <f t="shared" si="97"/>
        <v>Đồng Tháp</v>
      </c>
      <c r="B598" s="5">
        <f t="shared" si="97"/>
        <v>2022</v>
      </c>
      <c r="C598" s="9">
        <f t="shared" si="88"/>
        <v>-0.43223479422765054</v>
      </c>
      <c r="D598" s="9">
        <f t="shared" si="89"/>
        <v>-0.45942025237295009</v>
      </c>
      <c r="E598" s="9">
        <f t="shared" si="90"/>
        <v>-0.68838691606585012</v>
      </c>
      <c r="F598" s="9">
        <f t="shared" si="91"/>
        <v>-0.67007625314178243</v>
      </c>
      <c r="G598" s="9">
        <f t="shared" si="92"/>
        <v>-1.0822928734512667</v>
      </c>
      <c r="H598" s="9">
        <f t="shared" si="93"/>
        <v>-1.7210295288502533</v>
      </c>
      <c r="I598" s="9">
        <f t="shared" si="94"/>
        <v>-0.5645737010742885</v>
      </c>
      <c r="J598" s="9">
        <f t="shared" si="95"/>
        <v>-1.6192520097690291</v>
      </c>
      <c r="K598" s="9">
        <f t="shared" si="96"/>
        <v>-0.82868502677483957</v>
      </c>
      <c r="L598" s="5">
        <f t="shared" si="99"/>
        <v>0</v>
      </c>
      <c r="M598" s="5">
        <f t="shared" si="99"/>
        <v>0</v>
      </c>
      <c r="N598" s="5">
        <f t="shared" si="99"/>
        <v>1</v>
      </c>
      <c r="O598" s="5">
        <f t="shared" si="99"/>
        <v>0</v>
      </c>
      <c r="P598" s="5">
        <f t="shared" si="99"/>
        <v>0</v>
      </c>
    </row>
    <row r="599" spans="1:16" x14ac:dyDescent="0.25">
      <c r="A599" s="5" t="str">
        <f t="shared" si="97"/>
        <v>An Giang</v>
      </c>
      <c r="B599" s="5">
        <f t="shared" si="97"/>
        <v>2023</v>
      </c>
      <c r="C599" s="9">
        <f t="shared" si="88"/>
        <v>-0.50022163487931659</v>
      </c>
      <c r="D599" s="9">
        <f t="shared" si="89"/>
        <v>-0.59405624506378152</v>
      </c>
      <c r="E599" s="9">
        <f t="shared" si="90"/>
        <v>-0.64542363449865414</v>
      </c>
      <c r="F599" s="9">
        <f t="shared" si="91"/>
        <v>0.28227118168351012</v>
      </c>
      <c r="G599" s="9">
        <f t="shared" si="92"/>
        <v>-0.95425478162178168</v>
      </c>
      <c r="H599" s="9">
        <f t="shared" si="93"/>
        <v>-0.54791821177747024</v>
      </c>
      <c r="I599" s="9">
        <f t="shared" si="94"/>
        <v>-0.64524628411291884</v>
      </c>
      <c r="J599" s="9">
        <f t="shared" si="95"/>
        <v>-1.6351937708582012</v>
      </c>
      <c r="K599" s="9">
        <f t="shared" si="96"/>
        <v>-0.46056405611879114</v>
      </c>
      <c r="L599" s="5">
        <f t="shared" si="99"/>
        <v>0</v>
      </c>
      <c r="M599" s="5">
        <f t="shared" si="99"/>
        <v>0</v>
      </c>
      <c r="N599" s="5">
        <f t="shared" si="99"/>
        <v>0</v>
      </c>
      <c r="O599" s="5">
        <f t="shared" si="99"/>
        <v>1</v>
      </c>
      <c r="P599" s="5">
        <f t="shared" si="99"/>
        <v>0</v>
      </c>
    </row>
    <row r="600" spans="1:16" x14ac:dyDescent="0.25">
      <c r="A600" s="5" t="str">
        <f t="shared" si="97"/>
        <v>Bà Rịa - Vũng Tàu</v>
      </c>
      <c r="B600" s="5">
        <f t="shared" si="97"/>
        <v>2023</v>
      </c>
      <c r="C600" s="9">
        <f t="shared" si="88"/>
        <v>0.22742515493353435</v>
      </c>
      <c r="D600" s="9">
        <f t="shared" si="89"/>
        <v>3.4824564036920944</v>
      </c>
      <c r="E600" s="9">
        <f t="shared" si="90"/>
        <v>0.92080177694623433</v>
      </c>
      <c r="F600" s="9">
        <f t="shared" si="91"/>
        <v>1.6414687139639992</v>
      </c>
      <c r="G600" s="9">
        <f t="shared" si="92"/>
        <v>0.59384214686199177</v>
      </c>
      <c r="H600" s="9">
        <f t="shared" si="93"/>
        <v>-0.23628539562719103</v>
      </c>
      <c r="I600" s="9">
        <f t="shared" si="94"/>
        <v>0.21933873877876289</v>
      </c>
      <c r="J600" s="9">
        <f t="shared" si="95"/>
        <v>1.8585345313527568</v>
      </c>
      <c r="K600" s="9">
        <f t="shared" si="96"/>
        <v>0.78881620792597906</v>
      </c>
      <c r="L600" s="5">
        <f t="shared" si="99"/>
        <v>0</v>
      </c>
      <c r="M600" s="5">
        <f t="shared" si="99"/>
        <v>0</v>
      </c>
      <c r="N600" s="5">
        <f t="shared" si="99"/>
        <v>0</v>
      </c>
      <c r="O600" s="5">
        <f t="shared" si="99"/>
        <v>1</v>
      </c>
      <c r="P600" s="5">
        <f t="shared" si="99"/>
        <v>0</v>
      </c>
    </row>
    <row r="601" spans="1:16" x14ac:dyDescent="0.25">
      <c r="A601" s="5" t="str">
        <f t="shared" si="97"/>
        <v>Bình Dương</v>
      </c>
      <c r="B601" s="5">
        <f t="shared" si="97"/>
        <v>2023</v>
      </c>
      <c r="C601" s="9">
        <f t="shared" si="88"/>
        <v>0.80418123255085883</v>
      </c>
      <c r="D601" s="9">
        <f t="shared" si="89"/>
        <v>1.8281825184736609</v>
      </c>
      <c r="E601" s="9">
        <f t="shared" si="90"/>
        <v>1.9254502662947881</v>
      </c>
      <c r="F601" s="9">
        <f t="shared" si="91"/>
        <v>2.9654362098726694</v>
      </c>
      <c r="G601" s="9">
        <f t="shared" si="92"/>
        <v>-4.6348312285433325E-2</v>
      </c>
      <c r="H601" s="9">
        <f t="shared" si="93"/>
        <v>1.0095691776091695</v>
      </c>
      <c r="I601" s="9">
        <f t="shared" si="94"/>
        <v>-0.44054015172304833</v>
      </c>
      <c r="J601" s="9">
        <f t="shared" si="95"/>
        <v>1.388466600072449</v>
      </c>
      <c r="K601" s="9">
        <f t="shared" si="96"/>
        <v>0.37607451355404609</v>
      </c>
      <c r="L601" s="5">
        <f t="shared" si="99"/>
        <v>0</v>
      </c>
      <c r="M601" s="5">
        <f t="shared" si="99"/>
        <v>0</v>
      </c>
      <c r="N601" s="5">
        <f t="shared" si="99"/>
        <v>0</v>
      </c>
      <c r="O601" s="5">
        <f t="shared" si="99"/>
        <v>1</v>
      </c>
      <c r="P601" s="5">
        <f t="shared" si="99"/>
        <v>0</v>
      </c>
    </row>
    <row r="602" spans="1:16" x14ac:dyDescent="0.25">
      <c r="A602" s="5" t="str">
        <f t="shared" ref="A602:B621" si="100">A226</f>
        <v>Bình Phước</v>
      </c>
      <c r="B602" s="5">
        <f t="shared" si="100"/>
        <v>2023</v>
      </c>
      <c r="C602" s="9">
        <f t="shared" si="88"/>
        <v>-0.61424798641617429</v>
      </c>
      <c r="D602" s="9">
        <f t="shared" si="89"/>
        <v>0.51533480442798651</v>
      </c>
      <c r="E602" s="9">
        <f t="shared" si="90"/>
        <v>0.16700998376253984</v>
      </c>
      <c r="F602" s="9">
        <f t="shared" si="91"/>
        <v>-0.14958087706781589</v>
      </c>
      <c r="G602" s="9">
        <f t="shared" si="92"/>
        <v>-0.43046258777388846</v>
      </c>
      <c r="H602" s="9">
        <f t="shared" si="93"/>
        <v>-1.1704218043157832</v>
      </c>
      <c r="I602" s="9">
        <f t="shared" si="94"/>
        <v>-0.29801797905186772</v>
      </c>
      <c r="J602" s="9">
        <f t="shared" si="95"/>
        <v>0.62680785331866773</v>
      </c>
      <c r="K602" s="9">
        <f t="shared" si="96"/>
        <v>5.2574266613882523E-2</v>
      </c>
      <c r="L602" s="5">
        <f t="shared" ref="L602:P611" si="101">L226</f>
        <v>0</v>
      </c>
      <c r="M602" s="5">
        <f t="shared" si="101"/>
        <v>0</v>
      </c>
      <c r="N602" s="5">
        <f t="shared" si="101"/>
        <v>0</v>
      </c>
      <c r="O602" s="5">
        <f t="shared" si="101"/>
        <v>1</v>
      </c>
      <c r="P602" s="5">
        <f t="shared" si="101"/>
        <v>0</v>
      </c>
    </row>
    <row r="603" spans="1:16" x14ac:dyDescent="0.25">
      <c r="A603" s="5" t="str">
        <f t="shared" si="100"/>
        <v>Bình Thuận</v>
      </c>
      <c r="B603" s="5">
        <f t="shared" si="100"/>
        <v>2023</v>
      </c>
      <c r="C603" s="9">
        <f t="shared" si="88"/>
        <v>-0.38562664272235225</v>
      </c>
      <c r="D603" s="9">
        <f t="shared" si="89"/>
        <v>0.1887085326296401</v>
      </c>
      <c r="E603" s="9">
        <f t="shared" si="90"/>
        <v>-0.23676341598982795</v>
      </c>
      <c r="F603" s="9">
        <f t="shared" si="91"/>
        <v>0.37318740457852617</v>
      </c>
      <c r="G603" s="9">
        <f t="shared" si="92"/>
        <v>-0.48866172042365441</v>
      </c>
      <c r="H603" s="9">
        <f t="shared" si="93"/>
        <v>-0.71070707821443413</v>
      </c>
      <c r="I603" s="9">
        <f t="shared" si="94"/>
        <v>-0.74764737072572707</v>
      </c>
      <c r="J603" s="9">
        <f t="shared" si="95"/>
        <v>0.37689117009665757</v>
      </c>
      <c r="K603" s="9">
        <f t="shared" si="96"/>
        <v>-0.24861561846833921</v>
      </c>
      <c r="L603" s="5">
        <f t="shared" si="101"/>
        <v>0</v>
      </c>
      <c r="M603" s="5">
        <f t="shared" si="101"/>
        <v>0</v>
      </c>
      <c r="N603" s="5">
        <f t="shared" si="101"/>
        <v>0</v>
      </c>
      <c r="O603" s="5">
        <f t="shared" si="101"/>
        <v>1</v>
      </c>
      <c r="P603" s="5">
        <f t="shared" si="101"/>
        <v>0</v>
      </c>
    </row>
    <row r="604" spans="1:16" x14ac:dyDescent="0.25">
      <c r="A604" s="5" t="str">
        <f t="shared" si="100"/>
        <v>Bình Định</v>
      </c>
      <c r="B604" s="5">
        <f t="shared" si="100"/>
        <v>2023</v>
      </c>
      <c r="C604" s="9">
        <f t="shared" si="88"/>
        <v>-0.26285323421992368</v>
      </c>
      <c r="D604" s="9">
        <f t="shared" si="89"/>
        <v>6.97643710167139E-2</v>
      </c>
      <c r="E604" s="9">
        <f t="shared" si="90"/>
        <v>-0.10237590018722439</v>
      </c>
      <c r="F604" s="9">
        <f t="shared" si="91"/>
        <v>0.52206271956911465</v>
      </c>
      <c r="G604" s="9">
        <f t="shared" si="92"/>
        <v>0.22136769790348998</v>
      </c>
      <c r="H604" s="9">
        <f t="shared" si="93"/>
        <v>0.7570664176278139</v>
      </c>
      <c r="I604" s="9">
        <f t="shared" si="94"/>
        <v>-0.42650990815175849</v>
      </c>
      <c r="J604" s="9">
        <f t="shared" si="95"/>
        <v>-0.47358021177936949</v>
      </c>
      <c r="K604" s="9">
        <f t="shared" si="96"/>
        <v>-0.15937417103656981</v>
      </c>
      <c r="L604" s="5">
        <f t="shared" si="101"/>
        <v>0</v>
      </c>
      <c r="M604" s="5">
        <f t="shared" si="101"/>
        <v>0</v>
      </c>
      <c r="N604" s="5">
        <f t="shared" si="101"/>
        <v>0</v>
      </c>
      <c r="O604" s="5">
        <f t="shared" si="101"/>
        <v>1</v>
      </c>
      <c r="P604" s="5">
        <f t="shared" si="101"/>
        <v>0</v>
      </c>
    </row>
    <row r="605" spans="1:16" x14ac:dyDescent="0.25">
      <c r="A605" s="5" t="str">
        <f t="shared" si="100"/>
        <v>Bạc Liêu</v>
      </c>
      <c r="B605" s="5">
        <f t="shared" si="100"/>
        <v>2023</v>
      </c>
      <c r="C605" s="9">
        <f t="shared" si="88"/>
        <v>-0.8748009562137139</v>
      </c>
      <c r="D605" s="9">
        <f t="shared" si="89"/>
        <v>-0.37500965021293786</v>
      </c>
      <c r="E605" s="9">
        <f t="shared" si="90"/>
        <v>-0.6843145671021349</v>
      </c>
      <c r="F605" s="9">
        <f t="shared" si="91"/>
        <v>-0.24277000553520711</v>
      </c>
      <c r="G605" s="9">
        <f t="shared" si="92"/>
        <v>-1.2336106183406581</v>
      </c>
      <c r="H605" s="9">
        <f t="shared" si="93"/>
        <v>-1.0454262503280616</v>
      </c>
      <c r="I605" s="9">
        <f t="shared" si="94"/>
        <v>6.2650491805161468E-2</v>
      </c>
      <c r="J605" s="9">
        <f t="shared" si="95"/>
        <v>0.70608369131885229</v>
      </c>
      <c r="K605" s="9">
        <f t="shared" si="96"/>
        <v>-0.89561611234866656</v>
      </c>
      <c r="L605" s="5">
        <f t="shared" si="101"/>
        <v>0</v>
      </c>
      <c r="M605" s="5">
        <f t="shared" si="101"/>
        <v>0</v>
      </c>
      <c r="N605" s="5">
        <f t="shared" si="101"/>
        <v>0</v>
      </c>
      <c r="O605" s="5">
        <f t="shared" si="101"/>
        <v>1</v>
      </c>
      <c r="P605" s="5">
        <f t="shared" si="101"/>
        <v>0</v>
      </c>
    </row>
    <row r="606" spans="1:16" x14ac:dyDescent="0.25">
      <c r="A606" s="5" t="str">
        <f t="shared" si="100"/>
        <v>Bắc Giang</v>
      </c>
      <c r="B606" s="5">
        <f t="shared" si="100"/>
        <v>2023</v>
      </c>
      <c r="C606" s="9">
        <f t="shared" si="88"/>
        <v>-7.468640868332016E-2</v>
      </c>
      <c r="D606" s="9">
        <f t="shared" si="89"/>
        <v>0.55432450121898269</v>
      </c>
      <c r="E606" s="9">
        <f t="shared" si="90"/>
        <v>-0.27300732176689374</v>
      </c>
      <c r="F606" s="9">
        <f t="shared" si="91"/>
        <v>-0.69905579918956862</v>
      </c>
      <c r="G606" s="9">
        <f t="shared" si="92"/>
        <v>1.0361555550002128</v>
      </c>
      <c r="H606" s="9">
        <f t="shared" si="93"/>
        <v>0.63004692007894914</v>
      </c>
      <c r="I606" s="9">
        <f t="shared" si="94"/>
        <v>-0.64884352251435429</v>
      </c>
      <c r="J606" s="9">
        <f t="shared" si="95"/>
        <v>0.86744637540804381</v>
      </c>
      <c r="K606" s="9">
        <f t="shared" si="96"/>
        <v>0.15297089497462282</v>
      </c>
      <c r="L606" s="5">
        <f t="shared" si="101"/>
        <v>0</v>
      </c>
      <c r="M606" s="5">
        <f t="shared" si="101"/>
        <v>0</v>
      </c>
      <c r="N606" s="5">
        <f t="shared" si="101"/>
        <v>0</v>
      </c>
      <c r="O606" s="5">
        <f t="shared" si="101"/>
        <v>1</v>
      </c>
      <c r="P606" s="5">
        <f t="shared" si="101"/>
        <v>0</v>
      </c>
    </row>
    <row r="607" spans="1:16" x14ac:dyDescent="0.25">
      <c r="A607" s="5" t="str">
        <f t="shared" si="100"/>
        <v>Bắc Kạn</v>
      </c>
      <c r="B607" s="5">
        <f t="shared" si="100"/>
        <v>2023</v>
      </c>
      <c r="C607" s="9">
        <f t="shared" si="88"/>
        <v>-0.86183850162111009</v>
      </c>
      <c r="D607" s="9">
        <f t="shared" si="89"/>
        <v>-0.8802762470655211</v>
      </c>
      <c r="E607" s="9">
        <f t="shared" si="90"/>
        <v>-0.73073934528848883</v>
      </c>
      <c r="F607" s="9">
        <f t="shared" si="91"/>
        <v>-0.45244554458683778</v>
      </c>
      <c r="G607" s="9">
        <f t="shared" si="92"/>
        <v>0.50072353462236618</v>
      </c>
      <c r="H607" s="9">
        <f t="shared" si="93"/>
        <v>0.36409380341271963</v>
      </c>
      <c r="I607" s="9">
        <f t="shared" si="94"/>
        <v>-0.3282818204284631</v>
      </c>
      <c r="J607" s="9">
        <f t="shared" si="95"/>
        <v>-1.8409340102256404</v>
      </c>
      <c r="K607" s="9">
        <f t="shared" si="96"/>
        <v>-0.59442622726644501</v>
      </c>
      <c r="L607" s="5">
        <f t="shared" si="101"/>
        <v>0</v>
      </c>
      <c r="M607" s="5">
        <f t="shared" si="101"/>
        <v>0</v>
      </c>
      <c r="N607" s="5">
        <f t="shared" si="101"/>
        <v>0</v>
      </c>
      <c r="O607" s="5">
        <f t="shared" si="101"/>
        <v>1</v>
      </c>
      <c r="P607" s="5">
        <f t="shared" si="101"/>
        <v>0</v>
      </c>
    </row>
    <row r="608" spans="1:16" x14ac:dyDescent="0.25">
      <c r="A608" s="5" t="str">
        <f t="shared" si="100"/>
        <v>Bắc Ninh</v>
      </c>
      <c r="B608" s="5">
        <f t="shared" si="100"/>
        <v>2023</v>
      </c>
      <c r="C608" s="9">
        <f t="shared" si="88"/>
        <v>9.756393049319409E-2</v>
      </c>
      <c r="D608" s="9">
        <f t="shared" si="89"/>
        <v>1.6885574596425614</v>
      </c>
      <c r="E608" s="9">
        <f t="shared" si="90"/>
        <v>1.0211851789018151</v>
      </c>
      <c r="F608" s="9">
        <f t="shared" si="91"/>
        <v>1.0658553777599291</v>
      </c>
      <c r="G608" s="9">
        <f t="shared" si="92"/>
        <v>1.2456724325393698</v>
      </c>
      <c r="H608" s="9">
        <f t="shared" si="93"/>
        <v>0.5389065700549116</v>
      </c>
      <c r="I608" s="9">
        <f t="shared" si="94"/>
        <v>0.41651642242723008</v>
      </c>
      <c r="J608" s="9">
        <f t="shared" si="95"/>
        <v>1.476208919435724</v>
      </c>
      <c r="K608" s="9">
        <f t="shared" si="96"/>
        <v>1.0230750074343737</v>
      </c>
      <c r="L608" s="5">
        <f t="shared" si="101"/>
        <v>0</v>
      </c>
      <c r="M608" s="5">
        <f t="shared" si="101"/>
        <v>0</v>
      </c>
      <c r="N608" s="5">
        <f t="shared" si="101"/>
        <v>0</v>
      </c>
      <c r="O608" s="5">
        <f t="shared" si="101"/>
        <v>1</v>
      </c>
      <c r="P608" s="5">
        <f t="shared" si="101"/>
        <v>0</v>
      </c>
    </row>
    <row r="609" spans="1:16" x14ac:dyDescent="0.25">
      <c r="A609" s="5" t="str">
        <f t="shared" si="100"/>
        <v>Bến Tre</v>
      </c>
      <c r="B609" s="5">
        <f t="shared" si="100"/>
        <v>2023</v>
      </c>
      <c r="C609" s="9">
        <f t="shared" si="88"/>
        <v>-0.45132350123130155</v>
      </c>
      <c r="D609" s="9">
        <f t="shared" si="89"/>
        <v>-0.88475977049425014</v>
      </c>
      <c r="E609" s="9">
        <f t="shared" si="90"/>
        <v>-0.59329756776309883</v>
      </c>
      <c r="F609" s="9">
        <f t="shared" si="91"/>
        <v>-1.0752216714176972</v>
      </c>
      <c r="G609" s="9">
        <f t="shared" si="92"/>
        <v>-1.280169924460471</v>
      </c>
      <c r="H609" s="9">
        <f t="shared" si="93"/>
        <v>-1.0082010920298055</v>
      </c>
      <c r="I609" s="9">
        <f t="shared" si="94"/>
        <v>-0.69572562880137589</v>
      </c>
      <c r="J609" s="9">
        <f t="shared" si="95"/>
        <v>-0.21958489974646</v>
      </c>
      <c r="K609" s="9">
        <f t="shared" si="96"/>
        <v>-0.91792647420660878</v>
      </c>
      <c r="L609" s="5">
        <f t="shared" si="101"/>
        <v>0</v>
      </c>
      <c r="M609" s="5">
        <f t="shared" si="101"/>
        <v>0</v>
      </c>
      <c r="N609" s="5">
        <f t="shared" si="101"/>
        <v>0</v>
      </c>
      <c r="O609" s="5">
        <f t="shared" si="101"/>
        <v>1</v>
      </c>
      <c r="P609" s="5">
        <f t="shared" si="101"/>
        <v>0</v>
      </c>
    </row>
    <row r="610" spans="1:16" x14ac:dyDescent="0.25">
      <c r="A610" s="5" t="str">
        <f t="shared" si="100"/>
        <v>Cà Mau</v>
      </c>
      <c r="B610" s="5">
        <f t="shared" si="100"/>
        <v>2023</v>
      </c>
      <c r="C610" s="9">
        <f t="shared" si="88"/>
        <v>-0.56125856675885655</v>
      </c>
      <c r="D610" s="9">
        <f t="shared" si="89"/>
        <v>-0.37861664267777023</v>
      </c>
      <c r="E610" s="9">
        <f t="shared" si="90"/>
        <v>-0.53954256144205748</v>
      </c>
      <c r="F610" s="9">
        <f t="shared" si="91"/>
        <v>-0.5098364102893167</v>
      </c>
      <c r="G610" s="9">
        <f t="shared" si="92"/>
        <v>-1.0008140877415945</v>
      </c>
      <c r="H610" s="9">
        <f t="shared" si="93"/>
        <v>-2.4216671086995545</v>
      </c>
      <c r="I610" s="9">
        <f t="shared" si="94"/>
        <v>-0.60088300457269539</v>
      </c>
      <c r="J610" s="9">
        <f t="shared" si="95"/>
        <v>-1.6985585446445031</v>
      </c>
      <c r="K610" s="9">
        <f t="shared" si="96"/>
        <v>-0.65020213191130083</v>
      </c>
      <c r="L610" s="5">
        <f t="shared" si="101"/>
        <v>0</v>
      </c>
      <c r="M610" s="5">
        <f t="shared" si="101"/>
        <v>0</v>
      </c>
      <c r="N610" s="5">
        <f t="shared" si="101"/>
        <v>0</v>
      </c>
      <c r="O610" s="5">
        <f t="shared" si="101"/>
        <v>1</v>
      </c>
      <c r="P610" s="5">
        <f t="shared" si="101"/>
        <v>0</v>
      </c>
    </row>
    <row r="611" spans="1:16" x14ac:dyDescent="0.25">
      <c r="A611" s="5" t="str">
        <f t="shared" si="100"/>
        <v>Cần Thơ</v>
      </c>
      <c r="B611" s="5">
        <f t="shared" si="100"/>
        <v>2023</v>
      </c>
      <c r="C611" s="9">
        <f t="shared" si="88"/>
        <v>0.1104663728624317</v>
      </c>
      <c r="D611" s="9">
        <f t="shared" si="89"/>
        <v>0.50795087177051645</v>
      </c>
      <c r="E611" s="9">
        <f t="shared" si="90"/>
        <v>0.50236792092449123</v>
      </c>
      <c r="F611" s="9">
        <f t="shared" si="91"/>
        <v>2.1869660513340947</v>
      </c>
      <c r="G611" s="9">
        <f t="shared" si="92"/>
        <v>-4.6348312285433325E-2</v>
      </c>
      <c r="H611" s="9">
        <f t="shared" si="93"/>
        <v>-1.3710084699147105</v>
      </c>
      <c r="I611" s="9">
        <f t="shared" si="94"/>
        <v>8.2522554759385164E-2</v>
      </c>
      <c r="J611" s="9">
        <f t="shared" si="95"/>
        <v>3.2156847205327126E-2</v>
      </c>
      <c r="K611" s="9">
        <f t="shared" si="96"/>
        <v>0.98960946464746014</v>
      </c>
      <c r="L611" s="5">
        <f t="shared" si="101"/>
        <v>0</v>
      </c>
      <c r="M611" s="5">
        <f t="shared" si="101"/>
        <v>0</v>
      </c>
      <c r="N611" s="5">
        <f t="shared" si="101"/>
        <v>0</v>
      </c>
      <c r="O611" s="5">
        <f t="shared" si="101"/>
        <v>1</v>
      </c>
      <c r="P611" s="5">
        <f t="shared" si="101"/>
        <v>0</v>
      </c>
    </row>
    <row r="612" spans="1:16" x14ac:dyDescent="0.25">
      <c r="A612" s="5" t="str">
        <f t="shared" si="100"/>
        <v>Gia Lai</v>
      </c>
      <c r="B612" s="5">
        <f t="shared" si="100"/>
        <v>2023</v>
      </c>
      <c r="C612" s="9">
        <f t="shared" si="88"/>
        <v>-0.54061442887447997</v>
      </c>
      <c r="D612" s="9">
        <f t="shared" si="89"/>
        <v>-0.6299751666591541</v>
      </c>
      <c r="E612" s="9">
        <f t="shared" si="90"/>
        <v>-0.50676015228414961</v>
      </c>
      <c r="F612" s="9">
        <f t="shared" si="91"/>
        <v>-0.14730797149544034</v>
      </c>
      <c r="G612" s="9">
        <f t="shared" si="92"/>
        <v>-0.97753443468168799</v>
      </c>
      <c r="H612" s="9">
        <f t="shared" si="93"/>
        <v>0.10954632934912222</v>
      </c>
      <c r="I612" s="9">
        <f t="shared" si="94"/>
        <v>-0.12051238018551527</v>
      </c>
      <c r="J612" s="9">
        <f t="shared" si="95"/>
        <v>-2.2164092562772892</v>
      </c>
      <c r="K612" s="9">
        <f t="shared" si="96"/>
        <v>-0.69482285562718549</v>
      </c>
      <c r="L612" s="5">
        <f t="shared" ref="L612:P621" si="102">L236</f>
        <v>0</v>
      </c>
      <c r="M612" s="5">
        <f t="shared" si="102"/>
        <v>0</v>
      </c>
      <c r="N612" s="5">
        <f t="shared" si="102"/>
        <v>0</v>
      </c>
      <c r="O612" s="5">
        <f t="shared" si="102"/>
        <v>1</v>
      </c>
      <c r="P612" s="5">
        <f t="shared" si="102"/>
        <v>0</v>
      </c>
    </row>
    <row r="613" spans="1:16" x14ac:dyDescent="0.25">
      <c r="A613" s="5" t="str">
        <f t="shared" si="100"/>
        <v>Hà Nam</v>
      </c>
      <c r="B613" s="5">
        <f t="shared" si="100"/>
        <v>2023</v>
      </c>
      <c r="C613" s="9">
        <f t="shared" si="88"/>
        <v>-0.16559606311480496</v>
      </c>
      <c r="D613" s="9">
        <f t="shared" si="89"/>
        <v>0.54463821146688784</v>
      </c>
      <c r="E613" s="9">
        <f t="shared" si="90"/>
        <v>5.0948038296655097E-2</v>
      </c>
      <c r="F613" s="9">
        <f t="shared" si="91"/>
        <v>-0.21776804423907783</v>
      </c>
      <c r="G613" s="9">
        <f t="shared" si="92"/>
        <v>0.67532093257166392</v>
      </c>
      <c r="H613" s="9">
        <f t="shared" si="93"/>
        <v>0.65869625049508451</v>
      </c>
      <c r="I613" s="9">
        <f t="shared" si="94"/>
        <v>-6.8735946365247963E-2</v>
      </c>
      <c r="J613" s="9">
        <f t="shared" si="95"/>
        <v>0.90309132159999861</v>
      </c>
      <c r="K613" s="9">
        <f t="shared" si="96"/>
        <v>-0.46056405611879114</v>
      </c>
      <c r="L613" s="5">
        <f t="shared" si="102"/>
        <v>0</v>
      </c>
      <c r="M613" s="5">
        <f t="shared" si="102"/>
        <v>0</v>
      </c>
      <c r="N613" s="5">
        <f t="shared" si="102"/>
        <v>0</v>
      </c>
      <c r="O613" s="5">
        <f t="shared" si="102"/>
        <v>1</v>
      </c>
      <c r="P613" s="5">
        <f t="shared" si="102"/>
        <v>0</v>
      </c>
    </row>
    <row r="614" spans="1:16" x14ac:dyDescent="0.25">
      <c r="A614" s="5" t="str">
        <f t="shared" si="100"/>
        <v>Hà Nội</v>
      </c>
      <c r="B614" s="5">
        <f t="shared" si="100"/>
        <v>2023</v>
      </c>
      <c r="C614" s="9">
        <f t="shared" si="88"/>
        <v>2.0244317204858593</v>
      </c>
      <c r="D614" s="9">
        <f t="shared" si="89"/>
        <v>1.5823187176004994</v>
      </c>
      <c r="E614" s="9">
        <f t="shared" si="90"/>
        <v>3.3619713632453463</v>
      </c>
      <c r="F614" s="9">
        <f t="shared" si="91"/>
        <v>0.96755221175469319</v>
      </c>
      <c r="G614" s="9">
        <f t="shared" si="92"/>
        <v>3.1546039834516919</v>
      </c>
      <c r="H614" s="9">
        <f t="shared" si="93"/>
        <v>0.88277740496560708</v>
      </c>
      <c r="I614" s="9">
        <f t="shared" si="94"/>
        <v>0.42162390588830062</v>
      </c>
      <c r="J614" s="9">
        <f t="shared" si="95"/>
        <v>0.67222014079344738</v>
      </c>
      <c r="K614" s="9">
        <f t="shared" si="96"/>
        <v>3.3545078215893471</v>
      </c>
      <c r="L614" s="5">
        <f t="shared" si="102"/>
        <v>0</v>
      </c>
      <c r="M614" s="5">
        <f t="shared" si="102"/>
        <v>0</v>
      </c>
      <c r="N614" s="5">
        <f t="shared" si="102"/>
        <v>0</v>
      </c>
      <c r="O614" s="5">
        <f t="shared" si="102"/>
        <v>1</v>
      </c>
      <c r="P614" s="5">
        <f t="shared" si="102"/>
        <v>0</v>
      </c>
    </row>
    <row r="615" spans="1:16" x14ac:dyDescent="0.25">
      <c r="A615" s="5" t="str">
        <f t="shared" si="100"/>
        <v>Hà Tĩnh</v>
      </c>
      <c r="B615" s="5">
        <f t="shared" si="100"/>
        <v>2023</v>
      </c>
      <c r="C615" s="9">
        <f t="shared" si="88"/>
        <v>-0.57169647189595851</v>
      </c>
      <c r="D615" s="9">
        <f t="shared" si="89"/>
        <v>2.1644543217051948E-2</v>
      </c>
      <c r="E615" s="9">
        <f t="shared" si="90"/>
        <v>-0.30517887858024434</v>
      </c>
      <c r="F615" s="9">
        <f t="shared" si="91"/>
        <v>-0.54108886190947825</v>
      </c>
      <c r="G615" s="9">
        <f t="shared" si="92"/>
        <v>0.91975728970068105</v>
      </c>
      <c r="H615" s="9">
        <f t="shared" si="93"/>
        <v>1.240371646022844</v>
      </c>
      <c r="I615" s="9">
        <f t="shared" si="94"/>
        <v>-0.76330393788061335</v>
      </c>
      <c r="J615" s="9">
        <f t="shared" si="95"/>
        <v>1.0938085276299359</v>
      </c>
      <c r="K615" s="9">
        <f t="shared" si="96"/>
        <v>-0.65020213191130083</v>
      </c>
      <c r="L615" s="5">
        <f t="shared" si="102"/>
        <v>0</v>
      </c>
      <c r="M615" s="5">
        <f t="shared" si="102"/>
        <v>0</v>
      </c>
      <c r="N615" s="5">
        <f t="shared" si="102"/>
        <v>0</v>
      </c>
      <c r="O615" s="5">
        <f t="shared" si="102"/>
        <v>1</v>
      </c>
      <c r="P615" s="5">
        <f t="shared" si="102"/>
        <v>0</v>
      </c>
    </row>
    <row r="616" spans="1:16" x14ac:dyDescent="0.25">
      <c r="A616" s="5" t="str">
        <f t="shared" si="100"/>
        <v>Hòa Bình</v>
      </c>
      <c r="B616" s="5">
        <f t="shared" si="100"/>
        <v>2023</v>
      </c>
      <c r="C616" s="9">
        <f t="shared" si="88"/>
        <v>-0.69199066962635525</v>
      </c>
      <c r="D616" s="9">
        <f t="shared" si="89"/>
        <v>-0.19143042567010649</v>
      </c>
      <c r="E616" s="9">
        <f t="shared" si="90"/>
        <v>-0.5081854744214499</v>
      </c>
      <c r="F616" s="9">
        <f t="shared" si="91"/>
        <v>-0.360961095298728</v>
      </c>
      <c r="G616" s="9">
        <f t="shared" si="92"/>
        <v>1.1850820364332592E-2</v>
      </c>
      <c r="H616" s="9">
        <f t="shared" si="93"/>
        <v>-7.2426048038507204E-2</v>
      </c>
      <c r="I616" s="9">
        <f t="shared" si="94"/>
        <v>-0.2452256217326263</v>
      </c>
      <c r="J616" s="9">
        <f t="shared" si="95"/>
        <v>-0.43499144137543488</v>
      </c>
      <c r="K616" s="9">
        <f t="shared" si="96"/>
        <v>-0.41594333240290665</v>
      </c>
      <c r="L616" s="5">
        <f t="shared" si="102"/>
        <v>0</v>
      </c>
      <c r="M616" s="5">
        <f t="shared" si="102"/>
        <v>0</v>
      </c>
      <c r="N616" s="5">
        <f t="shared" si="102"/>
        <v>0</v>
      </c>
      <c r="O616" s="5">
        <f t="shared" si="102"/>
        <v>1</v>
      </c>
      <c r="P616" s="5">
        <f t="shared" si="102"/>
        <v>0</v>
      </c>
    </row>
    <row r="617" spans="1:16" x14ac:dyDescent="0.25">
      <c r="A617" s="5" t="str">
        <f t="shared" si="100"/>
        <v>Hưng Yên</v>
      </c>
      <c r="B617" s="5">
        <f t="shared" si="100"/>
        <v>2023</v>
      </c>
      <c r="C617" s="9">
        <f t="shared" si="88"/>
        <v>3.1196443678896912E-2</v>
      </c>
      <c r="D617" s="9">
        <f t="shared" si="89"/>
        <v>0.86383937740070382</v>
      </c>
      <c r="E617" s="9">
        <f t="shared" si="90"/>
        <v>0.33112564700026476</v>
      </c>
      <c r="F617" s="9">
        <f t="shared" si="91"/>
        <v>-0.85474983089728362</v>
      </c>
      <c r="G617" s="9">
        <f t="shared" si="92"/>
        <v>0.5240031876822725</v>
      </c>
      <c r="H617" s="9">
        <f t="shared" si="93"/>
        <v>1.0104738563675142</v>
      </c>
      <c r="I617" s="9">
        <f t="shared" si="94"/>
        <v>0.41609289249367326</v>
      </c>
      <c r="J617" s="9">
        <f t="shared" si="95"/>
        <v>0.79498620744493798</v>
      </c>
      <c r="K617" s="9">
        <f t="shared" si="96"/>
        <v>0.57686777027552716</v>
      </c>
      <c r="L617" s="5">
        <f t="shared" si="102"/>
        <v>0</v>
      </c>
      <c r="M617" s="5">
        <f t="shared" si="102"/>
        <v>0</v>
      </c>
      <c r="N617" s="5">
        <f t="shared" si="102"/>
        <v>0</v>
      </c>
      <c r="O617" s="5">
        <f t="shared" si="102"/>
        <v>1</v>
      </c>
      <c r="P617" s="5">
        <f t="shared" si="102"/>
        <v>0</v>
      </c>
    </row>
    <row r="618" spans="1:16" x14ac:dyDescent="0.25">
      <c r="A618" s="5" t="str">
        <f t="shared" si="100"/>
        <v>Hải Dương</v>
      </c>
      <c r="B618" s="5">
        <f t="shared" si="100"/>
        <v>2023</v>
      </c>
      <c r="C618" s="9">
        <f t="shared" si="88"/>
        <v>-9.6863860680065167E-2</v>
      </c>
      <c r="D618" s="9">
        <f t="shared" si="89"/>
        <v>0.52269535784003063</v>
      </c>
      <c r="E618" s="9">
        <f t="shared" si="90"/>
        <v>-2.7444679254863762E-2</v>
      </c>
      <c r="F618" s="9">
        <f t="shared" si="91"/>
        <v>-2.002525944241805E-2</v>
      </c>
      <c r="G618" s="9">
        <f t="shared" si="92"/>
        <v>0.6404014529818044</v>
      </c>
      <c r="H618" s="9">
        <f t="shared" si="93"/>
        <v>0.98870462026088546</v>
      </c>
      <c r="I618" s="9">
        <f t="shared" si="94"/>
        <v>-0.61506836050770819</v>
      </c>
      <c r="J618" s="9">
        <f t="shared" si="95"/>
        <v>0.73954188961523593</v>
      </c>
      <c r="K618" s="9">
        <f t="shared" si="96"/>
        <v>0.56571258934655577</v>
      </c>
      <c r="L618" s="5">
        <f t="shared" si="102"/>
        <v>0</v>
      </c>
      <c r="M618" s="5">
        <f t="shared" si="102"/>
        <v>0</v>
      </c>
      <c r="N618" s="5">
        <f t="shared" si="102"/>
        <v>0</v>
      </c>
      <c r="O618" s="5">
        <f t="shared" si="102"/>
        <v>1</v>
      </c>
      <c r="P618" s="5">
        <f t="shared" si="102"/>
        <v>0</v>
      </c>
    </row>
    <row r="619" spans="1:16" x14ac:dyDescent="0.25">
      <c r="A619" s="5" t="str">
        <f t="shared" si="100"/>
        <v>Hải Phòng</v>
      </c>
      <c r="B619" s="5">
        <f t="shared" si="100"/>
        <v>2023</v>
      </c>
      <c r="C619" s="9">
        <f t="shared" si="88"/>
        <v>0.49519124910342033</v>
      </c>
      <c r="D619" s="9">
        <f t="shared" si="89"/>
        <v>2.0757676578711433</v>
      </c>
      <c r="E619" s="9">
        <f t="shared" si="90"/>
        <v>0.83955841512011475</v>
      </c>
      <c r="F619" s="9">
        <f t="shared" si="91"/>
        <v>0.77265055892350265</v>
      </c>
      <c r="G619" s="9">
        <f t="shared" si="92"/>
        <v>1.4901087896683869</v>
      </c>
      <c r="H619" s="9">
        <f t="shared" si="93"/>
        <v>1.8647432195628721</v>
      </c>
      <c r="I619" s="9">
        <f t="shared" si="94"/>
        <v>0.42252188419558628</v>
      </c>
      <c r="J619" s="9">
        <f t="shared" si="95"/>
        <v>1.3600644516070362</v>
      </c>
      <c r="K619" s="9">
        <f t="shared" si="96"/>
        <v>0.6884195795652388</v>
      </c>
      <c r="L619" s="5">
        <f t="shared" si="102"/>
        <v>0</v>
      </c>
      <c r="M619" s="5">
        <f t="shared" si="102"/>
        <v>0</v>
      </c>
      <c r="N619" s="5">
        <f t="shared" si="102"/>
        <v>0</v>
      </c>
      <c r="O619" s="5">
        <f t="shared" si="102"/>
        <v>1</v>
      </c>
      <c r="P619" s="5">
        <f t="shared" si="102"/>
        <v>0</v>
      </c>
    </row>
    <row r="620" spans="1:16" x14ac:dyDescent="0.25">
      <c r="A620" s="5" t="str">
        <f t="shared" si="100"/>
        <v>Hậu Giang</v>
      </c>
      <c r="B620" s="5">
        <f t="shared" si="100"/>
        <v>2023</v>
      </c>
      <c r="C620" s="9">
        <f t="shared" si="88"/>
        <v>-0.73844343180110694</v>
      </c>
      <c r="D620" s="9">
        <f t="shared" si="89"/>
        <v>0.11106734387148193</v>
      </c>
      <c r="E620" s="9">
        <f t="shared" si="90"/>
        <v>-0.43488319307457535</v>
      </c>
      <c r="F620" s="9">
        <f t="shared" si="91"/>
        <v>-0.22288208177692248</v>
      </c>
      <c r="G620" s="9">
        <f t="shared" si="92"/>
        <v>-1.1637716591609391</v>
      </c>
      <c r="H620" s="9">
        <f t="shared" si="93"/>
        <v>-0.93485706849522632</v>
      </c>
      <c r="I620" s="9">
        <f t="shared" si="94"/>
        <v>-0.51504373673330506</v>
      </c>
      <c r="J620" s="9">
        <f t="shared" si="95"/>
        <v>-0.31576409290595586</v>
      </c>
      <c r="K620" s="9">
        <f t="shared" si="96"/>
        <v>-0.8175298458458683</v>
      </c>
      <c r="L620" s="5">
        <f t="shared" si="102"/>
        <v>0</v>
      </c>
      <c r="M620" s="5">
        <f t="shared" si="102"/>
        <v>0</v>
      </c>
      <c r="N620" s="5">
        <f t="shared" si="102"/>
        <v>0</v>
      </c>
      <c r="O620" s="5">
        <f t="shared" si="102"/>
        <v>1</v>
      </c>
      <c r="P620" s="5">
        <f t="shared" si="102"/>
        <v>0</v>
      </c>
    </row>
    <row r="621" spans="1:16" x14ac:dyDescent="0.25">
      <c r="A621" s="5" t="str">
        <f t="shared" si="100"/>
        <v>Khánh Hòa</v>
      </c>
      <c r="B621" s="5">
        <f t="shared" si="100"/>
        <v>2023</v>
      </c>
      <c r="C621" s="9">
        <f t="shared" si="88"/>
        <v>0.20959821046814589</v>
      </c>
      <c r="D621" s="9">
        <f t="shared" si="89"/>
        <v>0.3603816907619759</v>
      </c>
      <c r="E621" s="9">
        <f t="shared" si="90"/>
        <v>0.65385930237469914</v>
      </c>
      <c r="F621" s="9">
        <f t="shared" si="91"/>
        <v>0.58854520756109518</v>
      </c>
      <c r="G621" s="9">
        <f t="shared" si="92"/>
        <v>0.18644821831363034</v>
      </c>
      <c r="H621" s="9">
        <f t="shared" si="93"/>
        <v>0.7821562895326758</v>
      </c>
      <c r="I621" s="9">
        <f t="shared" si="94"/>
        <v>0.39984765548513357</v>
      </c>
      <c r="J621" s="9">
        <f t="shared" si="95"/>
        <v>0.46486132108457046</v>
      </c>
      <c r="K621" s="9">
        <f t="shared" si="96"/>
        <v>1.0007646455764314</v>
      </c>
      <c r="L621" s="5">
        <f t="shared" si="102"/>
        <v>0</v>
      </c>
      <c r="M621" s="5">
        <f t="shared" si="102"/>
        <v>0</v>
      </c>
      <c r="N621" s="5">
        <f t="shared" si="102"/>
        <v>0</v>
      </c>
      <c r="O621" s="5">
        <f t="shared" si="102"/>
        <v>1</v>
      </c>
      <c r="P621" s="5">
        <f t="shared" si="102"/>
        <v>0</v>
      </c>
    </row>
    <row r="622" spans="1:16" x14ac:dyDescent="0.25">
      <c r="A622" s="5" t="str">
        <f t="shared" ref="A622:B641" si="103">A246</f>
        <v>Kiên Giang</v>
      </c>
      <c r="B622" s="5">
        <f t="shared" si="103"/>
        <v>2023</v>
      </c>
      <c r="C622" s="9">
        <f t="shared" si="88"/>
        <v>-0.58221315442066335</v>
      </c>
      <c r="D622" s="9">
        <f t="shared" si="89"/>
        <v>-0.10320189338048628</v>
      </c>
      <c r="E622" s="9">
        <f t="shared" si="90"/>
        <v>-0.17221668491494108</v>
      </c>
      <c r="F622" s="9">
        <f t="shared" si="91"/>
        <v>-0.10866857676505856</v>
      </c>
      <c r="G622" s="9">
        <f t="shared" si="92"/>
        <v>-0.80293703673239025</v>
      </c>
      <c r="H622" s="9">
        <f t="shared" si="93"/>
        <v>-1.8587311495990937</v>
      </c>
      <c r="I622" s="9">
        <f t="shared" si="94"/>
        <v>3.3299359495006873</v>
      </c>
      <c r="J622" s="9">
        <f t="shared" si="95"/>
        <v>0.30487895027287454</v>
      </c>
      <c r="K622" s="9">
        <f t="shared" si="96"/>
        <v>-0.65020213191130083</v>
      </c>
      <c r="L622" s="5">
        <f t="shared" ref="L622:P631" si="104">L246</f>
        <v>0</v>
      </c>
      <c r="M622" s="5">
        <f t="shared" si="104"/>
        <v>0</v>
      </c>
      <c r="N622" s="5">
        <f t="shared" si="104"/>
        <v>0</v>
      </c>
      <c r="O622" s="5">
        <f t="shared" si="104"/>
        <v>1</v>
      </c>
      <c r="P622" s="5">
        <f t="shared" si="104"/>
        <v>0</v>
      </c>
    </row>
    <row r="623" spans="1:16" x14ac:dyDescent="0.25">
      <c r="A623" s="5" t="str">
        <f t="shared" si="103"/>
        <v>Kon Tum</v>
      </c>
      <c r="B623" s="5">
        <f t="shared" si="103"/>
        <v>2023</v>
      </c>
      <c r="C623" s="9">
        <f t="shared" si="88"/>
        <v>-0.94148611174481689</v>
      </c>
      <c r="D623" s="9">
        <f t="shared" si="89"/>
        <v>-0.58220555069763624</v>
      </c>
      <c r="E623" s="9">
        <f t="shared" si="90"/>
        <v>-0.45504132044496581</v>
      </c>
      <c r="F623" s="9">
        <f t="shared" si="91"/>
        <v>2.3159946432714427E-2</v>
      </c>
      <c r="G623" s="9">
        <f t="shared" si="92"/>
        <v>-0.68653877143285846</v>
      </c>
      <c r="H623" s="9">
        <f t="shared" si="93"/>
        <v>0.3292281072643809</v>
      </c>
      <c r="I623" s="9">
        <f t="shared" si="94"/>
        <v>-0.38716435448637782</v>
      </c>
      <c r="J623" s="9">
        <f t="shared" si="95"/>
        <v>-0.93678826368352297</v>
      </c>
      <c r="K623" s="9">
        <f t="shared" si="96"/>
        <v>0.10835017125873835</v>
      </c>
      <c r="L623" s="5">
        <f t="shared" si="104"/>
        <v>0</v>
      </c>
      <c r="M623" s="5">
        <f t="shared" si="104"/>
        <v>0</v>
      </c>
      <c r="N623" s="5">
        <f t="shared" si="104"/>
        <v>0</v>
      </c>
      <c r="O623" s="5">
        <f t="shared" si="104"/>
        <v>1</v>
      </c>
      <c r="P623" s="5">
        <f t="shared" si="104"/>
        <v>0</v>
      </c>
    </row>
    <row r="624" spans="1:16" x14ac:dyDescent="0.25">
      <c r="A624" s="5" t="str">
        <f t="shared" si="103"/>
        <v>Long An</v>
      </c>
      <c r="B624" s="5">
        <f t="shared" si="103"/>
        <v>2023</v>
      </c>
      <c r="C624" s="9">
        <f t="shared" si="88"/>
        <v>-0.1813414715503264</v>
      </c>
      <c r="D624" s="9">
        <f t="shared" si="89"/>
        <v>0.49062993667482946</v>
      </c>
      <c r="E624" s="9">
        <f t="shared" si="90"/>
        <v>0.23094586249286941</v>
      </c>
      <c r="F624" s="9">
        <f t="shared" si="91"/>
        <v>-0.77462990947105081</v>
      </c>
      <c r="G624" s="9">
        <f t="shared" si="92"/>
        <v>-0.90769547550196894</v>
      </c>
      <c r="H624" s="9">
        <f t="shared" si="93"/>
        <v>-0.85978125180612697</v>
      </c>
      <c r="I624" s="9">
        <f t="shared" si="94"/>
        <v>-0.69806805330539534</v>
      </c>
      <c r="J624" s="9">
        <f t="shared" si="95"/>
        <v>0.98965467073425484</v>
      </c>
      <c r="K624" s="9">
        <f t="shared" si="96"/>
        <v>-5.8977542675829109E-2</v>
      </c>
      <c r="L624" s="5">
        <f t="shared" si="104"/>
        <v>0</v>
      </c>
      <c r="M624" s="5">
        <f t="shared" si="104"/>
        <v>0</v>
      </c>
      <c r="N624" s="5">
        <f t="shared" si="104"/>
        <v>0</v>
      </c>
      <c r="O624" s="5">
        <f t="shared" si="104"/>
        <v>1</v>
      </c>
      <c r="P624" s="5">
        <f t="shared" si="104"/>
        <v>0</v>
      </c>
    </row>
    <row r="625" spans="1:16" x14ac:dyDescent="0.25">
      <c r="A625" s="5" t="str">
        <f t="shared" si="103"/>
        <v>Lào Cai</v>
      </c>
      <c r="B625" s="5">
        <f t="shared" si="103"/>
        <v>2023</v>
      </c>
      <c r="C625" s="9">
        <f t="shared" si="88"/>
        <v>-0.15002658471174171</v>
      </c>
      <c r="D625" s="9">
        <f t="shared" si="89"/>
        <v>0.27476718497128938</v>
      </c>
      <c r="E625" s="9">
        <f t="shared" si="90"/>
        <v>-0.25834686549751879</v>
      </c>
      <c r="F625" s="9">
        <f t="shared" si="91"/>
        <v>-0.28311407944487049</v>
      </c>
      <c r="G625" s="9">
        <f t="shared" si="92"/>
        <v>-0.10454744493519924</v>
      </c>
      <c r="H625" s="9">
        <f t="shared" si="93"/>
        <v>-4.8449421367460208E-2</v>
      </c>
      <c r="I625" s="9">
        <f t="shared" si="94"/>
        <v>-0.13922696624285524</v>
      </c>
      <c r="J625" s="9">
        <f t="shared" si="95"/>
        <v>-0.46920464372938669</v>
      </c>
      <c r="K625" s="9">
        <f t="shared" si="96"/>
        <v>-0.82868502677483957</v>
      </c>
      <c r="L625" s="5">
        <f t="shared" si="104"/>
        <v>0</v>
      </c>
      <c r="M625" s="5">
        <f t="shared" si="104"/>
        <v>0</v>
      </c>
      <c r="N625" s="5">
        <f t="shared" si="104"/>
        <v>0</v>
      </c>
      <c r="O625" s="5">
        <f t="shared" si="104"/>
        <v>1</v>
      </c>
      <c r="P625" s="5">
        <f t="shared" si="104"/>
        <v>0</v>
      </c>
    </row>
    <row r="626" spans="1:16" x14ac:dyDescent="0.25">
      <c r="A626" s="5" t="str">
        <f t="shared" si="103"/>
        <v>Lâm Đồng</v>
      </c>
      <c r="B626" s="5">
        <f t="shared" si="103"/>
        <v>2023</v>
      </c>
      <c r="C626" s="9">
        <f t="shared" si="88"/>
        <v>-1.721625055635841E-2</v>
      </c>
      <c r="D626" s="9">
        <f t="shared" si="89"/>
        <v>0.2665767848001685</v>
      </c>
      <c r="E626" s="9">
        <f t="shared" si="90"/>
        <v>5.3187830226698332E-2</v>
      </c>
      <c r="F626" s="9">
        <f t="shared" si="91"/>
        <v>0.41750906323984655</v>
      </c>
      <c r="G626" s="9">
        <f t="shared" si="92"/>
        <v>-0.11618727146515259</v>
      </c>
      <c r="H626" s="9">
        <f t="shared" si="93"/>
        <v>0.74106915474073964</v>
      </c>
      <c r="I626" s="9">
        <f t="shared" si="94"/>
        <v>-0.58879372695405841</v>
      </c>
      <c r="J626" s="9">
        <f t="shared" si="95"/>
        <v>-0.93266977502563919</v>
      </c>
      <c r="K626" s="9">
        <f t="shared" si="96"/>
        <v>1.2350234450848261</v>
      </c>
      <c r="L626" s="5">
        <f t="shared" si="104"/>
        <v>0</v>
      </c>
      <c r="M626" s="5">
        <f t="shared" si="104"/>
        <v>0</v>
      </c>
      <c r="N626" s="5">
        <f t="shared" si="104"/>
        <v>0</v>
      </c>
      <c r="O626" s="5">
        <f t="shared" si="104"/>
        <v>1</v>
      </c>
      <c r="P626" s="5">
        <f t="shared" si="104"/>
        <v>0</v>
      </c>
    </row>
    <row r="627" spans="1:16" x14ac:dyDescent="0.25">
      <c r="A627" s="5" t="str">
        <f t="shared" si="103"/>
        <v>Lạng Sơn</v>
      </c>
      <c r="B627" s="5">
        <f t="shared" si="103"/>
        <v>2023</v>
      </c>
      <c r="C627" s="9">
        <f t="shared" si="88"/>
        <v>-0.72668425804808678</v>
      </c>
      <c r="D627" s="9">
        <f t="shared" si="89"/>
        <v>-0.6299751666591541</v>
      </c>
      <c r="E627" s="9">
        <f t="shared" si="90"/>
        <v>-0.50472397780229206</v>
      </c>
      <c r="F627" s="9">
        <f t="shared" si="91"/>
        <v>-0.50301769357219051</v>
      </c>
      <c r="G627" s="9">
        <f t="shared" si="92"/>
        <v>0.45416422850255367</v>
      </c>
      <c r="H627" s="9">
        <f t="shared" si="93"/>
        <v>-0.22867246335832031</v>
      </c>
      <c r="I627" s="9">
        <f t="shared" si="94"/>
        <v>-0.2702999627121313</v>
      </c>
      <c r="J627" s="9">
        <f t="shared" si="95"/>
        <v>-0.65010155512520973</v>
      </c>
      <c r="K627" s="9">
        <f t="shared" si="96"/>
        <v>-0.71713321748512793</v>
      </c>
      <c r="L627" s="5">
        <f t="shared" si="104"/>
        <v>0</v>
      </c>
      <c r="M627" s="5">
        <f t="shared" si="104"/>
        <v>0</v>
      </c>
      <c r="N627" s="5">
        <f t="shared" si="104"/>
        <v>0</v>
      </c>
      <c r="O627" s="5">
        <f t="shared" si="104"/>
        <v>1</v>
      </c>
      <c r="P627" s="5">
        <f t="shared" si="104"/>
        <v>0</v>
      </c>
    </row>
    <row r="628" spans="1:16" x14ac:dyDescent="0.25">
      <c r="A628" s="5" t="str">
        <f t="shared" si="103"/>
        <v>Nam Định</v>
      </c>
      <c r="B628" s="5">
        <f t="shared" si="103"/>
        <v>2023</v>
      </c>
      <c r="C628" s="9">
        <f t="shared" si="88"/>
        <v>-6.0095135880436808E-2</v>
      </c>
      <c r="D628" s="9">
        <f t="shared" si="89"/>
        <v>-0.89375284235624985</v>
      </c>
      <c r="E628" s="9">
        <f t="shared" si="90"/>
        <v>-0.42734934749170211</v>
      </c>
      <c r="F628" s="9">
        <f t="shared" si="91"/>
        <v>-0.65984817806609286</v>
      </c>
      <c r="G628" s="9">
        <f t="shared" si="92"/>
        <v>-0.23258553676468444</v>
      </c>
      <c r="H628" s="9">
        <f t="shared" si="93"/>
        <v>-0.11330417503787996</v>
      </c>
      <c r="I628" s="9">
        <f t="shared" si="94"/>
        <v>-0.172329934401905</v>
      </c>
      <c r="J628" s="9">
        <f t="shared" si="95"/>
        <v>0.14612870600443778</v>
      </c>
      <c r="K628" s="9">
        <f t="shared" si="96"/>
        <v>-0.18168453289451206</v>
      </c>
      <c r="L628" s="5">
        <f t="shared" si="104"/>
        <v>0</v>
      </c>
      <c r="M628" s="5">
        <f t="shared" si="104"/>
        <v>0</v>
      </c>
      <c r="N628" s="5">
        <f t="shared" si="104"/>
        <v>0</v>
      </c>
      <c r="O628" s="5">
        <f t="shared" si="104"/>
        <v>1</v>
      </c>
      <c r="P628" s="5">
        <f t="shared" si="104"/>
        <v>0</v>
      </c>
    </row>
    <row r="629" spans="1:16" x14ac:dyDescent="0.25">
      <c r="A629" s="5" t="str">
        <f t="shared" si="103"/>
        <v>Nghệ An</v>
      </c>
      <c r="B629" s="5">
        <f t="shared" si="103"/>
        <v>2023</v>
      </c>
      <c r="C629" s="9">
        <f t="shared" si="88"/>
        <v>-3.1363111357313594E-2</v>
      </c>
      <c r="D629" s="9">
        <f t="shared" si="89"/>
        <v>-0.74964041015882399</v>
      </c>
      <c r="E629" s="9">
        <f t="shared" si="90"/>
        <v>-0.38805117999184985</v>
      </c>
      <c r="F629" s="9">
        <f t="shared" si="91"/>
        <v>-0.92861926199948408</v>
      </c>
      <c r="G629" s="9">
        <f t="shared" si="92"/>
        <v>0.23300752443344291</v>
      </c>
      <c r="H629" s="9">
        <f t="shared" si="93"/>
        <v>1.5720323955174671</v>
      </c>
      <c r="I629" s="9">
        <f t="shared" si="94"/>
        <v>1.3154365909571855</v>
      </c>
      <c r="J629" s="9">
        <f t="shared" si="95"/>
        <v>-0.22460644946540045</v>
      </c>
      <c r="K629" s="9">
        <f t="shared" si="96"/>
        <v>-0.44940887518981981</v>
      </c>
      <c r="L629" s="5">
        <f t="shared" si="104"/>
        <v>0</v>
      </c>
      <c r="M629" s="5">
        <f t="shared" si="104"/>
        <v>0</v>
      </c>
      <c r="N629" s="5">
        <f t="shared" si="104"/>
        <v>0</v>
      </c>
      <c r="O629" s="5">
        <f t="shared" si="104"/>
        <v>1</v>
      </c>
      <c r="P629" s="5">
        <f t="shared" si="104"/>
        <v>0</v>
      </c>
    </row>
    <row r="630" spans="1:16" x14ac:dyDescent="0.25">
      <c r="A630" s="5" t="str">
        <f t="shared" si="103"/>
        <v>Ninh Bình</v>
      </c>
      <c r="B630" s="5">
        <f t="shared" si="103"/>
        <v>2023</v>
      </c>
      <c r="C630" s="9">
        <f t="shared" si="88"/>
        <v>-0.15002658471174171</v>
      </c>
      <c r="D630" s="9">
        <f t="shared" si="89"/>
        <v>0.21681898611463096</v>
      </c>
      <c r="E630" s="9">
        <f t="shared" si="90"/>
        <v>-7.834904130130449E-2</v>
      </c>
      <c r="F630" s="9">
        <f t="shared" si="91"/>
        <v>-0.58768342614317404</v>
      </c>
      <c r="G630" s="9">
        <f t="shared" si="92"/>
        <v>1.1525538202997447</v>
      </c>
      <c r="H630" s="9">
        <f t="shared" si="93"/>
        <v>1.6621368063616946</v>
      </c>
      <c r="I630" s="9">
        <f t="shared" si="94"/>
        <v>1.6995332469692013</v>
      </c>
      <c r="J630" s="9">
        <f t="shared" si="95"/>
        <v>2.1750731807184572E-4</v>
      </c>
      <c r="K630" s="9">
        <f t="shared" si="96"/>
        <v>0.2645227042643345</v>
      </c>
      <c r="L630" s="5">
        <f t="shared" si="104"/>
        <v>0</v>
      </c>
      <c r="M630" s="5">
        <f t="shared" si="104"/>
        <v>0</v>
      </c>
      <c r="N630" s="5">
        <f t="shared" si="104"/>
        <v>0</v>
      </c>
      <c r="O630" s="5">
        <f t="shared" si="104"/>
        <v>1</v>
      </c>
      <c r="P630" s="5">
        <f t="shared" si="104"/>
        <v>0</v>
      </c>
    </row>
    <row r="631" spans="1:16" x14ac:dyDescent="0.25">
      <c r="A631" s="5" t="str">
        <f t="shared" si="103"/>
        <v>Ninh Thuận</v>
      </c>
      <c r="B631" s="5">
        <f t="shared" si="103"/>
        <v>2023</v>
      </c>
      <c r="C631" s="9">
        <f t="shared" si="88"/>
        <v>-0.53040593032100469</v>
      </c>
      <c r="D631" s="9">
        <f t="shared" si="89"/>
        <v>0.28021146422119614</v>
      </c>
      <c r="E631" s="9">
        <f t="shared" si="90"/>
        <v>-0.14472832940986313</v>
      </c>
      <c r="F631" s="9">
        <f t="shared" si="91"/>
        <v>0.19703722271943261</v>
      </c>
      <c r="G631" s="9">
        <f t="shared" si="92"/>
        <v>-0.59342015919323288</v>
      </c>
      <c r="H631" s="9">
        <f t="shared" si="93"/>
        <v>0.31686885038884827</v>
      </c>
      <c r="I631" s="9">
        <f t="shared" si="94"/>
        <v>-0.26463495730458886</v>
      </c>
      <c r="J631" s="9">
        <f t="shared" si="95"/>
        <v>0.33511466162005477</v>
      </c>
      <c r="K631" s="9">
        <f t="shared" si="96"/>
        <v>-0.41594333240290665</v>
      </c>
      <c r="L631" s="5">
        <f t="shared" si="104"/>
        <v>0</v>
      </c>
      <c r="M631" s="5">
        <f t="shared" si="104"/>
        <v>0</v>
      </c>
      <c r="N631" s="5">
        <f t="shared" si="104"/>
        <v>0</v>
      </c>
      <c r="O631" s="5">
        <f t="shared" si="104"/>
        <v>1</v>
      </c>
      <c r="P631" s="5">
        <f t="shared" si="104"/>
        <v>0</v>
      </c>
    </row>
    <row r="632" spans="1:16" x14ac:dyDescent="0.25">
      <c r="A632" s="5" t="str">
        <f t="shared" si="103"/>
        <v>Phú Thọ</v>
      </c>
      <c r="B632" s="5">
        <f t="shared" si="103"/>
        <v>2023</v>
      </c>
      <c r="C632" s="9">
        <f t="shared" si="88"/>
        <v>-0.16559606311480496</v>
      </c>
      <c r="D632" s="9">
        <f t="shared" si="89"/>
        <v>-0.35348443922906886</v>
      </c>
      <c r="E632" s="9">
        <f t="shared" si="90"/>
        <v>-0.32431891870970614</v>
      </c>
      <c r="F632" s="9">
        <f t="shared" si="91"/>
        <v>-0.71667081737547789</v>
      </c>
      <c r="G632" s="9">
        <f t="shared" si="92"/>
        <v>1.2107529529495107</v>
      </c>
      <c r="H632" s="9">
        <f t="shared" si="93"/>
        <v>0.81783874851083749</v>
      </c>
      <c r="I632" s="9">
        <f t="shared" si="94"/>
        <v>-1.6614954558757222E-2</v>
      </c>
      <c r="J632" s="9">
        <f t="shared" si="95"/>
        <v>0.15355037795660281</v>
      </c>
      <c r="K632" s="9">
        <f t="shared" si="96"/>
        <v>0.21990198054844998</v>
      </c>
      <c r="L632" s="5">
        <f t="shared" ref="L632:P641" si="105">L256</f>
        <v>0</v>
      </c>
      <c r="M632" s="5">
        <f t="shared" si="105"/>
        <v>0</v>
      </c>
      <c r="N632" s="5">
        <f t="shared" si="105"/>
        <v>0</v>
      </c>
      <c r="O632" s="5">
        <f t="shared" si="105"/>
        <v>1</v>
      </c>
      <c r="P632" s="5">
        <f t="shared" si="105"/>
        <v>0</v>
      </c>
    </row>
    <row r="633" spans="1:16" x14ac:dyDescent="0.25">
      <c r="A633" s="5" t="str">
        <f t="shared" si="103"/>
        <v>Phú Yên</v>
      </c>
      <c r="B633" s="5">
        <f t="shared" si="103"/>
        <v>2023</v>
      </c>
      <c r="C633" s="9">
        <f t="shared" si="88"/>
        <v>-0.63602114534056942</v>
      </c>
      <c r="D633" s="9">
        <f t="shared" si="89"/>
        <v>-0.42602405857387465</v>
      </c>
      <c r="E633" s="9">
        <f t="shared" si="90"/>
        <v>-0.40719122012131154</v>
      </c>
      <c r="F633" s="9">
        <f t="shared" si="91"/>
        <v>3.8502059046248552E-2</v>
      </c>
      <c r="G633" s="9">
        <f t="shared" si="92"/>
        <v>-6.9627965345339604E-2</v>
      </c>
      <c r="H633" s="9">
        <f t="shared" si="93"/>
        <v>0.23628344725207134</v>
      </c>
      <c r="I633" s="9">
        <f t="shared" si="94"/>
        <v>-0.70058994391458851</v>
      </c>
      <c r="J633" s="9">
        <f t="shared" si="95"/>
        <v>0.19636996611344629</v>
      </c>
      <c r="K633" s="9">
        <f t="shared" si="96"/>
        <v>-0.12590862824965623</v>
      </c>
      <c r="L633" s="5">
        <f t="shared" si="105"/>
        <v>0</v>
      </c>
      <c r="M633" s="5">
        <f t="shared" si="105"/>
        <v>0</v>
      </c>
      <c r="N633" s="5">
        <f t="shared" si="105"/>
        <v>0</v>
      </c>
      <c r="O633" s="5">
        <f t="shared" si="105"/>
        <v>1</v>
      </c>
      <c r="P633" s="5">
        <f t="shared" si="105"/>
        <v>0</v>
      </c>
    </row>
    <row r="634" spans="1:16" x14ac:dyDescent="0.25">
      <c r="A634" s="5" t="str">
        <f t="shared" si="103"/>
        <v>Quảng Bình</v>
      </c>
      <c r="B634" s="5">
        <f t="shared" si="103"/>
        <v>2023</v>
      </c>
      <c r="C634" s="9">
        <f t="shared" si="88"/>
        <v>-0.62509203974474181</v>
      </c>
      <c r="D634" s="9">
        <f t="shared" si="89"/>
        <v>-0.57041496154858295</v>
      </c>
      <c r="E634" s="9">
        <f t="shared" si="90"/>
        <v>-4.821365896981146E-2</v>
      </c>
      <c r="F634" s="9">
        <f t="shared" si="91"/>
        <v>-0.49108493931721958</v>
      </c>
      <c r="G634" s="9">
        <f t="shared" si="92"/>
        <v>0.4658040550325066</v>
      </c>
      <c r="H634" s="9">
        <f t="shared" si="93"/>
        <v>1.1872006449480439</v>
      </c>
      <c r="I634" s="9">
        <f t="shared" si="94"/>
        <v>-0.36690386190684315</v>
      </c>
      <c r="J634" s="9">
        <f t="shared" si="95"/>
        <v>-0.2281014281153555</v>
      </c>
      <c r="K634" s="9">
        <f t="shared" si="96"/>
        <v>-0.18168453289451206</v>
      </c>
      <c r="L634" s="5">
        <f t="shared" si="105"/>
        <v>0</v>
      </c>
      <c r="M634" s="5">
        <f t="shared" si="105"/>
        <v>0</v>
      </c>
      <c r="N634" s="5">
        <f t="shared" si="105"/>
        <v>0</v>
      </c>
      <c r="O634" s="5">
        <f t="shared" si="105"/>
        <v>1</v>
      </c>
      <c r="P634" s="5">
        <f t="shared" si="105"/>
        <v>0</v>
      </c>
    </row>
    <row r="635" spans="1:16" x14ac:dyDescent="0.25">
      <c r="A635" s="5" t="str">
        <f t="shared" si="103"/>
        <v>Quảng Nam</v>
      </c>
      <c r="B635" s="5">
        <f t="shared" si="103"/>
        <v>2023</v>
      </c>
      <c r="C635" s="9">
        <f t="shared" si="88"/>
        <v>-0.26285323421992368</v>
      </c>
      <c r="D635" s="9">
        <f t="shared" si="89"/>
        <v>9.4573269577238935E-3</v>
      </c>
      <c r="E635" s="9">
        <f t="shared" si="90"/>
        <v>-8.4864799643248903E-2</v>
      </c>
      <c r="F635" s="9">
        <f t="shared" si="91"/>
        <v>-7.3438540393240007E-2</v>
      </c>
      <c r="G635" s="9">
        <f t="shared" si="92"/>
        <v>0.44252440197260029</v>
      </c>
      <c r="H635" s="9">
        <f t="shared" si="93"/>
        <v>0.27661962056801098</v>
      </c>
      <c r="I635" s="9">
        <f t="shared" si="94"/>
        <v>-0.9089388404606481</v>
      </c>
      <c r="J635" s="9">
        <f t="shared" si="95"/>
        <v>0.5818186540304906</v>
      </c>
      <c r="K635" s="9">
        <f t="shared" si="96"/>
        <v>-0.72828839841409909</v>
      </c>
      <c r="L635" s="5">
        <f t="shared" si="105"/>
        <v>0</v>
      </c>
      <c r="M635" s="5">
        <f t="shared" si="105"/>
        <v>0</v>
      </c>
      <c r="N635" s="5">
        <f t="shared" si="105"/>
        <v>0</v>
      </c>
      <c r="O635" s="5">
        <f t="shared" si="105"/>
        <v>1</v>
      </c>
      <c r="P635" s="5">
        <f t="shared" si="105"/>
        <v>0</v>
      </c>
    </row>
    <row r="636" spans="1:16" x14ac:dyDescent="0.25">
      <c r="A636" s="5" t="str">
        <f t="shared" si="103"/>
        <v>Quảng Ngãi</v>
      </c>
      <c r="B636" s="5">
        <f t="shared" si="103"/>
        <v>2023</v>
      </c>
      <c r="C636" s="9">
        <f t="shared" si="88"/>
        <v>-0.55089826758207805</v>
      </c>
      <c r="D636" s="9">
        <f t="shared" si="89"/>
        <v>0.6652143102285859</v>
      </c>
      <c r="E636" s="9">
        <f t="shared" si="90"/>
        <v>-0.26038303997937656</v>
      </c>
      <c r="F636" s="9">
        <f t="shared" si="91"/>
        <v>-0.57745535106748469</v>
      </c>
      <c r="G636" s="9">
        <f t="shared" si="92"/>
        <v>0.27956683055325587</v>
      </c>
      <c r="H636" s="9">
        <f t="shared" si="93"/>
        <v>0.20656012228421497</v>
      </c>
      <c r="I636" s="9">
        <f t="shared" si="94"/>
        <v>-0.48725462693938948</v>
      </c>
      <c r="J636" s="9">
        <f t="shared" si="95"/>
        <v>4.158586821828731E-2</v>
      </c>
      <c r="K636" s="9">
        <f t="shared" si="96"/>
        <v>-4.782236174685818E-2</v>
      </c>
      <c r="L636" s="5">
        <f t="shared" si="105"/>
        <v>0</v>
      </c>
      <c r="M636" s="5">
        <f t="shared" si="105"/>
        <v>0</v>
      </c>
      <c r="N636" s="5">
        <f t="shared" si="105"/>
        <v>0</v>
      </c>
      <c r="O636" s="5">
        <f t="shared" si="105"/>
        <v>1</v>
      </c>
      <c r="P636" s="5">
        <f t="shared" si="105"/>
        <v>0</v>
      </c>
    </row>
    <row r="637" spans="1:16" x14ac:dyDescent="0.25">
      <c r="A637" s="5" t="str">
        <f t="shared" si="103"/>
        <v>Quảng Ninh</v>
      </c>
      <c r="B637" s="5">
        <f t="shared" si="103"/>
        <v>2023</v>
      </c>
      <c r="C637" s="9">
        <f t="shared" si="88"/>
        <v>3.7977254238299507E-2</v>
      </c>
      <c r="D637" s="9">
        <f t="shared" si="89"/>
        <v>2.4043287796371078</v>
      </c>
      <c r="E637" s="9">
        <f t="shared" si="90"/>
        <v>0.3213520094873481</v>
      </c>
      <c r="F637" s="9">
        <f t="shared" si="91"/>
        <v>2.0074065111164385</v>
      </c>
      <c r="G637" s="9">
        <f t="shared" si="92"/>
        <v>2.1186594222858588</v>
      </c>
      <c r="H637" s="9">
        <f t="shared" si="93"/>
        <v>1.7245886374315214</v>
      </c>
      <c r="I637" s="9">
        <f t="shared" si="94"/>
        <v>0.85383628809748569</v>
      </c>
      <c r="J637" s="9">
        <f t="shared" si="95"/>
        <v>1.1154292255833389</v>
      </c>
      <c r="K637" s="9">
        <f t="shared" si="96"/>
        <v>-0.57211586540850279</v>
      </c>
      <c r="L637" s="5">
        <f t="shared" si="105"/>
        <v>0</v>
      </c>
      <c r="M637" s="5">
        <f t="shared" si="105"/>
        <v>0</v>
      </c>
      <c r="N637" s="5">
        <f t="shared" si="105"/>
        <v>0</v>
      </c>
      <c r="O637" s="5">
        <f t="shared" si="105"/>
        <v>1</v>
      </c>
      <c r="P637" s="5">
        <f t="shared" si="105"/>
        <v>0</v>
      </c>
    </row>
    <row r="638" spans="1:16" x14ac:dyDescent="0.25">
      <c r="A638" s="5" t="str">
        <f t="shared" si="103"/>
        <v>Quảng Trị</v>
      </c>
      <c r="B638" s="5">
        <f t="shared" si="103"/>
        <v>2023</v>
      </c>
      <c r="C638" s="9">
        <f t="shared" ref="C638:C701" si="106">STANDARDIZE(C262,AVERAGE($C$6:$C$336),_xlfn.STDEV.S($C$6:$C$336))</f>
        <v>-0.54061442887447997</v>
      </c>
      <c r="D638" s="9">
        <f t="shared" ref="D638:D701" si="107">STANDARDIZE(D262,AVERAGE($D$6:$D$336),_xlfn.STDEV.S($D$6:$D$336))</f>
        <v>-0.15508033474318222</v>
      </c>
      <c r="E638" s="9">
        <f t="shared" ref="E638:E701" si="108">STANDARDIZE(E262,AVERAGE($E$6:$E$336),_xlfn.STDEV.S($E$6:$E$336))</f>
        <v>-0.14981876561450727</v>
      </c>
      <c r="F638" s="9">
        <f t="shared" ref="F638:F701" si="109">STANDARDIZE(F262,AVERAGE($F$6:$F$336),_xlfn.STDEV.S($F$6:$F$336))</f>
        <v>4.1343191011717642E-2</v>
      </c>
      <c r="G638" s="9">
        <f t="shared" ref="G638:G701" si="110">STANDARDIZE(G262,AVERAGE($G$6:$G$336),_xlfn.STDEV.S($G$6:$G$336))</f>
        <v>0.50072353462236618</v>
      </c>
      <c r="H638" s="9">
        <f t="shared" ref="H638:H701" si="111">STANDARDIZE(H262,AVERAGE($H$6:$H$336),_xlfn.STDEV.S($H$6:$H$336))</f>
        <v>0.68712364269910486</v>
      </c>
      <c r="I638" s="9">
        <f t="shared" ref="I638:I701" si="112">STANDARDIZE(I262,AVERAGE($I$6:$I$336),_xlfn.STDEV.S($I$6:$I$336))</f>
        <v>3.8486334147111858</v>
      </c>
      <c r="J638" s="9">
        <f t="shared" ref="J638:J701" si="113">STANDARDIZE(J262,AVERAGE($J$6:$J$336),_xlfn.STDEV.S($J$6:$J$336))</f>
        <v>0.52928150729728474</v>
      </c>
      <c r="K638" s="9">
        <f t="shared" ref="K638:K701" si="114">STANDARDIZE(K262,AVERAGE($K$6:$K$336),_xlfn.STDEV.S($K$6:$K$336))</f>
        <v>0.6549540367783252</v>
      </c>
      <c r="L638" s="5">
        <f t="shared" si="105"/>
        <v>0</v>
      </c>
      <c r="M638" s="5">
        <f t="shared" si="105"/>
        <v>0</v>
      </c>
      <c r="N638" s="5">
        <f t="shared" si="105"/>
        <v>0</v>
      </c>
      <c r="O638" s="5">
        <f t="shared" si="105"/>
        <v>1</v>
      </c>
      <c r="P638" s="5">
        <f t="shared" si="105"/>
        <v>0</v>
      </c>
    </row>
    <row r="639" spans="1:16" x14ac:dyDescent="0.25">
      <c r="A639" s="5" t="str">
        <f t="shared" si="103"/>
        <v>Sóc Trăng</v>
      </c>
      <c r="B639" s="5">
        <f t="shared" si="103"/>
        <v>2023</v>
      </c>
      <c r="C639" s="9">
        <f t="shared" si="106"/>
        <v>-0.84899551835538845</v>
      </c>
      <c r="D639" s="9">
        <f t="shared" si="107"/>
        <v>-0.5470116815724716</v>
      </c>
      <c r="E639" s="9">
        <f t="shared" si="108"/>
        <v>-0.70935951322898372</v>
      </c>
      <c r="F639" s="9">
        <f t="shared" si="109"/>
        <v>0.10441632064513494</v>
      </c>
      <c r="G639" s="9">
        <f t="shared" si="110"/>
        <v>-1.3383690571102369</v>
      </c>
      <c r="H639" s="9">
        <f t="shared" si="111"/>
        <v>-0.64559883225844328</v>
      </c>
      <c r="I639" s="9">
        <f t="shared" si="112"/>
        <v>2.0849710278115712</v>
      </c>
      <c r="J639" s="9">
        <f t="shared" si="113"/>
        <v>-1.0238361754648471</v>
      </c>
      <c r="K639" s="9">
        <f t="shared" si="114"/>
        <v>-0.79521948398792608</v>
      </c>
      <c r="L639" s="5">
        <f t="shared" si="105"/>
        <v>0</v>
      </c>
      <c r="M639" s="5">
        <f t="shared" si="105"/>
        <v>0</v>
      </c>
      <c r="N639" s="5">
        <f t="shared" si="105"/>
        <v>0</v>
      </c>
      <c r="O639" s="5">
        <f t="shared" si="105"/>
        <v>1</v>
      </c>
      <c r="P639" s="5">
        <f t="shared" si="105"/>
        <v>0</v>
      </c>
    </row>
    <row r="640" spans="1:16" x14ac:dyDescent="0.25">
      <c r="A640" s="5" t="str">
        <f t="shared" si="103"/>
        <v>TP. Hồ Chí Minh</v>
      </c>
      <c r="B640" s="5">
        <f t="shared" si="103"/>
        <v>2023</v>
      </c>
      <c r="C640" s="9">
        <f t="shared" si="106"/>
        <v>2.080209188176481</v>
      </c>
      <c r="D640" s="9">
        <f t="shared" si="107"/>
        <v>1.8628492237682726</v>
      </c>
      <c r="E640" s="9">
        <f t="shared" si="108"/>
        <v>4.6842630717636906</v>
      </c>
      <c r="F640" s="9">
        <f t="shared" si="109"/>
        <v>2.5926796960031036</v>
      </c>
      <c r="G640" s="9">
        <f t="shared" si="110"/>
        <v>1.4319096570186209</v>
      </c>
      <c r="H640" s="9">
        <f t="shared" si="111"/>
        <v>0.21936615994778746</v>
      </c>
      <c r="I640" s="9">
        <f t="shared" si="112"/>
        <v>1.610950570910056</v>
      </c>
      <c r="J640" s="9">
        <f t="shared" si="113"/>
        <v>0.82786951889379357</v>
      </c>
      <c r="K640" s="9">
        <f t="shared" si="114"/>
        <v>3.376818183447289</v>
      </c>
      <c r="L640" s="5">
        <f t="shared" si="105"/>
        <v>0</v>
      </c>
      <c r="M640" s="5">
        <f t="shared" si="105"/>
        <v>0</v>
      </c>
      <c r="N640" s="5">
        <f t="shared" si="105"/>
        <v>0</v>
      </c>
      <c r="O640" s="5">
        <f t="shared" si="105"/>
        <v>1</v>
      </c>
      <c r="P640" s="5">
        <f t="shared" si="105"/>
        <v>0</v>
      </c>
    </row>
    <row r="641" spans="1:16" x14ac:dyDescent="0.25">
      <c r="A641" s="5" t="str">
        <f t="shared" si="103"/>
        <v>Thanh Hóa</v>
      </c>
      <c r="B641" s="5">
        <f t="shared" si="103"/>
        <v>2023</v>
      </c>
      <c r="C641" s="9">
        <f t="shared" si="106"/>
        <v>-0.11184737945886203</v>
      </c>
      <c r="D641" s="9">
        <f t="shared" si="107"/>
        <v>-9.9997611443535361E-2</v>
      </c>
      <c r="E641" s="9">
        <f t="shared" si="108"/>
        <v>-0.29072203975905525</v>
      </c>
      <c r="F641" s="9">
        <f t="shared" si="109"/>
        <v>-0.2456111375006764</v>
      </c>
      <c r="G641" s="9">
        <f t="shared" si="110"/>
        <v>0.45416422850255367</v>
      </c>
      <c r="H641" s="9">
        <f t="shared" si="111"/>
        <v>0.53137254202048345</v>
      </c>
      <c r="I641" s="9">
        <f t="shared" si="112"/>
        <v>-0.44351285805475743</v>
      </c>
      <c r="J641" s="9">
        <f t="shared" si="113"/>
        <v>0.55836263363719307</v>
      </c>
      <c r="K641" s="9">
        <f t="shared" si="114"/>
        <v>-0.66135731284027222</v>
      </c>
      <c r="L641" s="5">
        <f t="shared" si="105"/>
        <v>0</v>
      </c>
      <c r="M641" s="5">
        <f t="shared" si="105"/>
        <v>0</v>
      </c>
      <c r="N641" s="5">
        <f t="shared" si="105"/>
        <v>0</v>
      </c>
      <c r="O641" s="5">
        <f t="shared" si="105"/>
        <v>1</v>
      </c>
      <c r="P641" s="5">
        <f t="shared" si="105"/>
        <v>0</v>
      </c>
    </row>
    <row r="642" spans="1:16" x14ac:dyDescent="0.25">
      <c r="A642" s="5" t="str">
        <f t="shared" ref="A642:B661" si="115">A266</f>
        <v>Thái Bình</v>
      </c>
      <c r="B642" s="5">
        <f t="shared" si="115"/>
        <v>2023</v>
      </c>
      <c r="C642" s="9">
        <f t="shared" si="106"/>
        <v>-0.3674113007239333</v>
      </c>
      <c r="D642" s="9">
        <f t="shared" si="107"/>
        <v>-0.44451823866972651</v>
      </c>
      <c r="E642" s="9">
        <f t="shared" si="108"/>
        <v>-0.4949503402893754</v>
      </c>
      <c r="F642" s="9">
        <f t="shared" si="109"/>
        <v>-1.1507957816991792</v>
      </c>
      <c r="G642" s="9">
        <f t="shared" si="110"/>
        <v>-9.2907618405246306E-2</v>
      </c>
      <c r="H642" s="9">
        <f t="shared" si="111"/>
        <v>-0.37763009306090228</v>
      </c>
      <c r="I642" s="9">
        <f t="shared" si="112"/>
        <v>-0.34089234501331606</v>
      </c>
      <c r="J642" s="9">
        <f t="shared" si="113"/>
        <v>0.24678086891243428</v>
      </c>
      <c r="K642" s="9">
        <f t="shared" si="114"/>
        <v>-1.4356818959944614E-2</v>
      </c>
      <c r="L642" s="5">
        <f t="shared" ref="L642:P651" si="116">L266</f>
        <v>0</v>
      </c>
      <c r="M642" s="5">
        <f t="shared" si="116"/>
        <v>0</v>
      </c>
      <c r="N642" s="5">
        <f t="shared" si="116"/>
        <v>0</v>
      </c>
      <c r="O642" s="5">
        <f t="shared" si="116"/>
        <v>1</v>
      </c>
      <c r="P642" s="5">
        <f t="shared" si="116"/>
        <v>0</v>
      </c>
    </row>
    <row r="643" spans="1:16" x14ac:dyDescent="0.25">
      <c r="A643" s="5" t="str">
        <f t="shared" si="115"/>
        <v>Thái Nguyên</v>
      </c>
      <c r="B643" s="5">
        <f t="shared" si="115"/>
        <v>2023</v>
      </c>
      <c r="C643" s="9">
        <f t="shared" si="106"/>
        <v>-0.22150142172838364</v>
      </c>
      <c r="D643" s="9">
        <f t="shared" si="107"/>
        <v>0.87439185206668391</v>
      </c>
      <c r="E643" s="9">
        <f t="shared" si="108"/>
        <v>-0.32920573746616444</v>
      </c>
      <c r="F643" s="9">
        <f t="shared" si="109"/>
        <v>0.48967381516276526</v>
      </c>
      <c r="G643" s="9">
        <f t="shared" si="110"/>
        <v>1.5017486161983402</v>
      </c>
      <c r="H643" s="9">
        <f t="shared" si="111"/>
        <v>1.417911258608596</v>
      </c>
      <c r="I643" s="9">
        <f t="shared" si="112"/>
        <v>-5.4824140031848545E-2</v>
      </c>
      <c r="J643" s="9">
        <f t="shared" si="113"/>
        <v>1.0120220401134234</v>
      </c>
      <c r="K643" s="9">
        <f t="shared" si="114"/>
        <v>0.67726439863626742</v>
      </c>
      <c r="L643" s="5">
        <f t="shared" si="116"/>
        <v>0</v>
      </c>
      <c r="M643" s="5">
        <f t="shared" si="116"/>
        <v>0</v>
      </c>
      <c r="N643" s="5">
        <f t="shared" si="116"/>
        <v>0</v>
      </c>
      <c r="O643" s="5">
        <f t="shared" si="116"/>
        <v>1</v>
      </c>
      <c r="P643" s="5">
        <f t="shared" si="116"/>
        <v>0</v>
      </c>
    </row>
    <row r="644" spans="1:16" x14ac:dyDescent="0.25">
      <c r="A644" s="5" t="str">
        <f t="shared" si="115"/>
        <v>Tiền Giang</v>
      </c>
      <c r="B644" s="5">
        <f t="shared" si="115"/>
        <v>2023</v>
      </c>
      <c r="C644" s="9">
        <f t="shared" si="106"/>
        <v>-0.66933238469860268</v>
      </c>
      <c r="D644" s="9">
        <f t="shared" si="107"/>
        <v>-0.21486178781085008</v>
      </c>
      <c r="E644" s="9">
        <f t="shared" si="108"/>
        <v>-0.52854721924002623</v>
      </c>
      <c r="F644" s="9">
        <f t="shared" si="109"/>
        <v>-0.95191654411633175</v>
      </c>
      <c r="G644" s="9">
        <f t="shared" si="110"/>
        <v>-1.1055725265111731</v>
      </c>
      <c r="H644" s="9">
        <f t="shared" si="111"/>
        <v>-1.9014246364825356</v>
      </c>
      <c r="I644" s="9">
        <f t="shared" si="112"/>
        <v>-0.30375072296703653</v>
      </c>
      <c r="J644" s="9">
        <f t="shared" si="113"/>
        <v>-7.8371295779648534E-2</v>
      </c>
      <c r="K644" s="9">
        <f t="shared" si="114"/>
        <v>-0.82868502677483957</v>
      </c>
      <c r="L644" s="5">
        <f t="shared" si="116"/>
        <v>0</v>
      </c>
      <c r="M644" s="5">
        <f t="shared" si="116"/>
        <v>0</v>
      </c>
      <c r="N644" s="5">
        <f t="shared" si="116"/>
        <v>0</v>
      </c>
      <c r="O644" s="5">
        <f t="shared" si="116"/>
        <v>1</v>
      </c>
      <c r="P644" s="5">
        <f t="shared" si="116"/>
        <v>0</v>
      </c>
    </row>
    <row r="645" spans="1:16" x14ac:dyDescent="0.25">
      <c r="A645" s="5" t="str">
        <f t="shared" si="115"/>
        <v>Trà Vinh</v>
      </c>
      <c r="B645" s="5">
        <f t="shared" si="115"/>
        <v>2023</v>
      </c>
      <c r="C645" s="9">
        <f t="shared" si="106"/>
        <v>-0.81116186891834863</v>
      </c>
      <c r="D645" s="9">
        <f t="shared" si="107"/>
        <v>0.19435788213452504</v>
      </c>
      <c r="E645" s="9">
        <f t="shared" si="108"/>
        <v>-0.63687170167485219</v>
      </c>
      <c r="F645" s="9">
        <f t="shared" si="109"/>
        <v>-0.7786074942227077</v>
      </c>
      <c r="G645" s="9">
        <f t="shared" si="110"/>
        <v>-0.80293703673239025</v>
      </c>
      <c r="H645" s="9">
        <f t="shared" si="111"/>
        <v>-0.54091140271508475</v>
      </c>
      <c r="I645" s="9">
        <f t="shared" si="112"/>
        <v>-0.35754287604045171</v>
      </c>
      <c r="J645" s="9">
        <f t="shared" si="113"/>
        <v>0.39360274916273502</v>
      </c>
      <c r="K645" s="9">
        <f t="shared" si="114"/>
        <v>-1.6430132345897344</v>
      </c>
      <c r="L645" s="5">
        <f t="shared" si="116"/>
        <v>0</v>
      </c>
      <c r="M645" s="5">
        <f t="shared" si="116"/>
        <v>0</v>
      </c>
      <c r="N645" s="5">
        <f t="shared" si="116"/>
        <v>0</v>
      </c>
      <c r="O645" s="5">
        <f t="shared" si="116"/>
        <v>1</v>
      </c>
      <c r="P645" s="5">
        <f t="shared" si="116"/>
        <v>0</v>
      </c>
    </row>
    <row r="646" spans="1:16" x14ac:dyDescent="0.25">
      <c r="A646" s="5" t="str">
        <f t="shared" si="115"/>
        <v>Tuyên Quang</v>
      </c>
      <c r="B646" s="5">
        <f t="shared" si="115"/>
        <v>2023</v>
      </c>
      <c r="C646" s="9">
        <f t="shared" si="106"/>
        <v>-0.63602114534056942</v>
      </c>
      <c r="D646" s="9">
        <f t="shared" si="107"/>
        <v>-0.79669218735379899</v>
      </c>
      <c r="E646" s="9">
        <f t="shared" si="108"/>
        <v>-0.72401996949835867</v>
      </c>
      <c r="F646" s="9">
        <f t="shared" si="109"/>
        <v>-0.96100816640583364</v>
      </c>
      <c r="G646" s="9">
        <f t="shared" si="110"/>
        <v>-0.22094571023473109</v>
      </c>
      <c r="H646" s="9">
        <f t="shared" si="111"/>
        <v>1.0394105051245546</v>
      </c>
      <c r="I646" s="9">
        <f t="shared" si="112"/>
        <v>-0.47307439634657256</v>
      </c>
      <c r="J646" s="9">
        <f t="shared" si="113"/>
        <v>-1.1798245161487184</v>
      </c>
      <c r="K646" s="9">
        <f t="shared" si="114"/>
        <v>-1.062943826283234</v>
      </c>
      <c r="L646" s="5">
        <f t="shared" si="116"/>
        <v>0</v>
      </c>
      <c r="M646" s="5">
        <f t="shared" si="116"/>
        <v>0</v>
      </c>
      <c r="N646" s="5">
        <f t="shared" si="116"/>
        <v>0</v>
      </c>
      <c r="O646" s="5">
        <f t="shared" si="116"/>
        <v>1</v>
      </c>
      <c r="P646" s="5">
        <f t="shared" si="116"/>
        <v>0</v>
      </c>
    </row>
    <row r="647" spans="1:16" x14ac:dyDescent="0.25">
      <c r="A647" s="5" t="str">
        <f t="shared" si="115"/>
        <v>Tây Ninh</v>
      </c>
      <c r="B647" s="5">
        <f t="shared" si="115"/>
        <v>2023</v>
      </c>
      <c r="C647" s="9">
        <f t="shared" si="106"/>
        <v>-0.44174646133177259</v>
      </c>
      <c r="D647" s="9">
        <f t="shared" si="107"/>
        <v>0.48067400635209129</v>
      </c>
      <c r="E647" s="9">
        <f t="shared" si="108"/>
        <v>-0.31922848250506197</v>
      </c>
      <c r="F647" s="9">
        <f t="shared" si="109"/>
        <v>3.0546889542934622E-2</v>
      </c>
      <c r="G647" s="9">
        <f t="shared" si="110"/>
        <v>-0.63997946531304584</v>
      </c>
      <c r="H647" s="9">
        <f t="shared" si="111"/>
        <v>0.41263457681990523</v>
      </c>
      <c r="I647" s="9">
        <f t="shared" si="112"/>
        <v>-5.7753978280672608E-2</v>
      </c>
      <c r="J647" s="9">
        <f t="shared" si="113"/>
        <v>1.0168753665891435</v>
      </c>
      <c r="K647" s="9">
        <f t="shared" si="114"/>
        <v>-0.53865032262158918</v>
      </c>
      <c r="L647" s="5">
        <f t="shared" si="116"/>
        <v>0</v>
      </c>
      <c r="M647" s="5">
        <f t="shared" si="116"/>
        <v>0</v>
      </c>
      <c r="N647" s="5">
        <f t="shared" si="116"/>
        <v>0</v>
      </c>
      <c r="O647" s="5">
        <f t="shared" si="116"/>
        <v>1</v>
      </c>
      <c r="P647" s="5">
        <f t="shared" si="116"/>
        <v>0</v>
      </c>
    </row>
    <row r="648" spans="1:16" x14ac:dyDescent="0.25">
      <c r="A648" s="5" t="str">
        <f t="shared" si="115"/>
        <v>Vĩnh Long</v>
      </c>
      <c r="B648" s="5">
        <f t="shared" si="115"/>
        <v>2023</v>
      </c>
      <c r="C648" s="9">
        <f t="shared" si="106"/>
        <v>-0.8748009562137139</v>
      </c>
      <c r="D648" s="9">
        <f t="shared" si="107"/>
        <v>-8.0864119259406245E-2</v>
      </c>
      <c r="E648" s="9">
        <f t="shared" si="108"/>
        <v>-0.59105777583305541</v>
      </c>
      <c r="F648" s="9">
        <f t="shared" si="109"/>
        <v>-0.52063271175809978</v>
      </c>
      <c r="G648" s="9">
        <f t="shared" si="110"/>
        <v>-0.90769547550196894</v>
      </c>
      <c r="H648" s="9">
        <f t="shared" si="111"/>
        <v>-1.8006687031087016</v>
      </c>
      <c r="I648" s="9">
        <f t="shared" si="112"/>
        <v>-0.5203936882817175</v>
      </c>
      <c r="J648" s="9">
        <f t="shared" si="113"/>
        <v>-0.31601063970127163</v>
      </c>
      <c r="K648" s="9">
        <f t="shared" si="114"/>
        <v>-0.14821899010759848</v>
      </c>
      <c r="L648" s="5">
        <f t="shared" si="116"/>
        <v>0</v>
      </c>
      <c r="M648" s="5">
        <f t="shared" si="116"/>
        <v>0</v>
      </c>
      <c r="N648" s="5">
        <f t="shared" si="116"/>
        <v>0</v>
      </c>
      <c r="O648" s="5">
        <f t="shared" si="116"/>
        <v>1</v>
      </c>
      <c r="P648" s="5">
        <f t="shared" si="116"/>
        <v>0</v>
      </c>
    </row>
    <row r="649" spans="1:16" x14ac:dyDescent="0.25">
      <c r="A649" s="5" t="str">
        <f t="shared" si="115"/>
        <v>Vĩnh Phúc</v>
      </c>
      <c r="B649" s="5">
        <f t="shared" si="115"/>
        <v>2023</v>
      </c>
      <c r="C649" s="9">
        <f t="shared" si="106"/>
        <v>-3.1363111357313594E-2</v>
      </c>
      <c r="D649" s="9">
        <f t="shared" si="107"/>
        <v>1.2489344642527849</v>
      </c>
      <c r="E649" s="9">
        <f t="shared" si="108"/>
        <v>0.44800206225889261</v>
      </c>
      <c r="F649" s="9">
        <f t="shared" si="109"/>
        <v>0.10782567900369817</v>
      </c>
      <c r="G649" s="9">
        <f t="shared" si="110"/>
        <v>1.4086300039587143</v>
      </c>
      <c r="H649" s="9">
        <f t="shared" si="111"/>
        <v>0.78335226638515343</v>
      </c>
      <c r="I649" s="9">
        <f t="shared" si="112"/>
        <v>-0.46964227420423316</v>
      </c>
      <c r="J649" s="9">
        <f t="shared" si="113"/>
        <v>0.79879122369515931</v>
      </c>
      <c r="K649" s="9">
        <f t="shared" si="114"/>
        <v>1.3131097115876236</v>
      </c>
      <c r="L649" s="5">
        <f t="shared" si="116"/>
        <v>0</v>
      </c>
      <c r="M649" s="5">
        <f t="shared" si="116"/>
        <v>0</v>
      </c>
      <c r="N649" s="5">
        <f t="shared" si="116"/>
        <v>0</v>
      </c>
      <c r="O649" s="5">
        <f t="shared" si="116"/>
        <v>1</v>
      </c>
      <c r="P649" s="5">
        <f t="shared" si="116"/>
        <v>0</v>
      </c>
    </row>
    <row r="650" spans="1:16" x14ac:dyDescent="0.25">
      <c r="A650" s="5" t="str">
        <f t="shared" si="115"/>
        <v>Yên Bái</v>
      </c>
      <c r="B650" s="5">
        <f t="shared" si="115"/>
        <v>2023</v>
      </c>
      <c r="C650" s="9">
        <f t="shared" si="106"/>
        <v>-0.57169647189595851</v>
      </c>
      <c r="D650" s="9">
        <f t="shared" si="107"/>
        <v>-0.96233321911086722</v>
      </c>
      <c r="E650" s="9">
        <f t="shared" si="108"/>
        <v>-0.67413369469284667</v>
      </c>
      <c r="F650" s="9">
        <f t="shared" si="109"/>
        <v>-0.62973217923211899</v>
      </c>
      <c r="G650" s="9">
        <f t="shared" si="110"/>
        <v>-5.7988138815386676E-2</v>
      </c>
      <c r="H650" s="9">
        <f t="shared" si="111"/>
        <v>0.42631022887360687</v>
      </c>
      <c r="I650" s="9">
        <f t="shared" si="112"/>
        <v>-0.87903043605304365</v>
      </c>
      <c r="J650" s="9">
        <f t="shared" si="113"/>
        <v>-1.1413785052029612</v>
      </c>
      <c r="K650" s="9">
        <f t="shared" si="114"/>
        <v>-0.43825369426084892</v>
      </c>
      <c r="L650" s="5">
        <f t="shared" si="116"/>
        <v>0</v>
      </c>
      <c r="M650" s="5">
        <f t="shared" si="116"/>
        <v>0</v>
      </c>
      <c r="N650" s="5">
        <f t="shared" si="116"/>
        <v>0</v>
      </c>
      <c r="O650" s="5">
        <f t="shared" si="116"/>
        <v>1</v>
      </c>
      <c r="P650" s="5">
        <f t="shared" si="116"/>
        <v>0</v>
      </c>
    </row>
    <row r="651" spans="1:16" x14ac:dyDescent="0.25">
      <c r="A651" s="5" t="str">
        <f t="shared" si="115"/>
        <v>Đà Nẵng</v>
      </c>
      <c r="B651" s="5">
        <f t="shared" si="115"/>
        <v>2023</v>
      </c>
      <c r="C651" s="9">
        <f t="shared" si="106"/>
        <v>0.94512906294794186</v>
      </c>
      <c r="D651" s="9">
        <f t="shared" si="107"/>
        <v>0.82974591680874432</v>
      </c>
      <c r="E651" s="9">
        <f t="shared" si="108"/>
        <v>3.0229483120160503</v>
      </c>
      <c r="F651" s="9">
        <f t="shared" si="109"/>
        <v>3.1597696363107661</v>
      </c>
      <c r="G651" s="9">
        <f t="shared" si="110"/>
        <v>3.0265658916222073</v>
      </c>
      <c r="H651" s="9">
        <f t="shared" si="111"/>
        <v>1.3175032602708268</v>
      </c>
      <c r="I651" s="9">
        <f t="shared" si="112"/>
        <v>4.0981248060236704</v>
      </c>
      <c r="J651" s="9">
        <f t="shared" si="113"/>
        <v>0.72716446396726675</v>
      </c>
      <c r="K651" s="9">
        <f t="shared" si="114"/>
        <v>3.4883699927370007</v>
      </c>
      <c r="L651" s="5">
        <f t="shared" si="116"/>
        <v>0</v>
      </c>
      <c r="M651" s="5">
        <f t="shared" si="116"/>
        <v>0</v>
      </c>
      <c r="N651" s="5">
        <f t="shared" si="116"/>
        <v>0</v>
      </c>
      <c r="O651" s="5">
        <f t="shared" si="116"/>
        <v>1</v>
      </c>
      <c r="P651" s="5">
        <f t="shared" si="116"/>
        <v>0</v>
      </c>
    </row>
    <row r="652" spans="1:16" x14ac:dyDescent="0.25">
      <c r="A652" s="5" t="str">
        <f t="shared" si="115"/>
        <v>Đắk Lắk</v>
      </c>
      <c r="B652" s="5">
        <f t="shared" si="115"/>
        <v>2023</v>
      </c>
      <c r="C652" s="9">
        <f t="shared" si="106"/>
        <v>-8.9432089356074204E-2</v>
      </c>
      <c r="D652" s="9">
        <f t="shared" si="107"/>
        <v>-0.52384166075983452</v>
      </c>
      <c r="E652" s="9">
        <f t="shared" si="108"/>
        <v>-0.37766669013437593</v>
      </c>
      <c r="F652" s="9">
        <f t="shared" si="109"/>
        <v>-0.34220962432663082</v>
      </c>
      <c r="G652" s="9">
        <f t="shared" si="110"/>
        <v>-0.62833963878309251</v>
      </c>
      <c r="H652" s="9">
        <f t="shared" si="111"/>
        <v>0.21075740685670316</v>
      </c>
      <c r="I652" s="9">
        <f t="shared" si="112"/>
        <v>-0.60912555929710599</v>
      </c>
      <c r="J652" s="9">
        <f t="shared" si="113"/>
        <v>-1.0137521383797252</v>
      </c>
      <c r="K652" s="9">
        <f t="shared" si="114"/>
        <v>-0.3824777896159931</v>
      </c>
      <c r="L652" s="5">
        <f t="shared" ref="L652:P661" si="117">L276</f>
        <v>0</v>
      </c>
      <c r="M652" s="5">
        <f t="shared" si="117"/>
        <v>0</v>
      </c>
      <c r="N652" s="5">
        <f t="shared" si="117"/>
        <v>0</v>
      </c>
      <c r="O652" s="5">
        <f t="shared" si="117"/>
        <v>1</v>
      </c>
      <c r="P652" s="5">
        <f t="shared" si="117"/>
        <v>0</v>
      </c>
    </row>
    <row r="653" spans="1:16" x14ac:dyDescent="0.25">
      <c r="A653" s="5" t="str">
        <f t="shared" si="115"/>
        <v>Đắk Nông</v>
      </c>
      <c r="B653" s="5">
        <f t="shared" si="115"/>
        <v>2023</v>
      </c>
      <c r="C653" s="9">
        <f t="shared" si="106"/>
        <v>-0.88788512577518808</v>
      </c>
      <c r="D653" s="9">
        <f t="shared" si="107"/>
        <v>-0.34279611613779415</v>
      </c>
      <c r="E653" s="9">
        <f t="shared" si="108"/>
        <v>-0.40474781074308241</v>
      </c>
      <c r="F653" s="9">
        <f t="shared" si="109"/>
        <v>-0.85759096286275271</v>
      </c>
      <c r="G653" s="9">
        <f t="shared" si="110"/>
        <v>-0.81457686326234358</v>
      </c>
      <c r="H653" s="9">
        <f t="shared" si="111"/>
        <v>-1.164653893783399</v>
      </c>
      <c r="I653" s="9">
        <f t="shared" si="112"/>
        <v>-0.71328378820756877</v>
      </c>
      <c r="J653" s="9">
        <f t="shared" si="113"/>
        <v>-0.86777435927389313</v>
      </c>
      <c r="K653" s="9">
        <f t="shared" si="114"/>
        <v>-0.11475344732068492</v>
      </c>
      <c r="L653" s="5">
        <f t="shared" si="117"/>
        <v>0</v>
      </c>
      <c r="M653" s="5">
        <f t="shared" si="117"/>
        <v>0</v>
      </c>
      <c r="N653" s="5">
        <f t="shared" si="117"/>
        <v>0</v>
      </c>
      <c r="O653" s="5">
        <f t="shared" si="117"/>
        <v>1</v>
      </c>
      <c r="P653" s="5">
        <f t="shared" si="117"/>
        <v>0</v>
      </c>
    </row>
    <row r="654" spans="1:16" x14ac:dyDescent="0.25">
      <c r="A654" s="5" t="str">
        <f t="shared" si="115"/>
        <v>Đồng Nai</v>
      </c>
      <c r="B654" s="5">
        <f t="shared" si="115"/>
        <v>2023</v>
      </c>
      <c r="C654" s="9">
        <f t="shared" si="106"/>
        <v>0.35701114406314033</v>
      </c>
      <c r="D654" s="9">
        <f t="shared" si="107"/>
        <v>1.3055942359192396</v>
      </c>
      <c r="E654" s="9">
        <f t="shared" si="108"/>
        <v>0.44331886095062017</v>
      </c>
      <c r="F654" s="9">
        <f t="shared" si="109"/>
        <v>0.75162618237903001</v>
      </c>
      <c r="G654" s="9">
        <f t="shared" si="110"/>
        <v>-0.10454744493519924</v>
      </c>
      <c r="H654" s="9">
        <f t="shared" si="111"/>
        <v>0.58383234986188492</v>
      </c>
      <c r="I654" s="9">
        <f t="shared" si="112"/>
        <v>-0.62990500461678423</v>
      </c>
      <c r="J654" s="9">
        <f t="shared" si="113"/>
        <v>1.2067604329568415</v>
      </c>
      <c r="K654" s="9">
        <f t="shared" si="114"/>
        <v>0.69957476049420964</v>
      </c>
      <c r="L654" s="5">
        <f t="shared" si="117"/>
        <v>0</v>
      </c>
      <c r="M654" s="5">
        <f t="shared" si="117"/>
        <v>0</v>
      </c>
      <c r="N654" s="5">
        <f t="shared" si="117"/>
        <v>0</v>
      </c>
      <c r="O654" s="5">
        <f t="shared" si="117"/>
        <v>1</v>
      </c>
      <c r="P654" s="5">
        <f t="shared" si="117"/>
        <v>0</v>
      </c>
    </row>
    <row r="655" spans="1:16" x14ac:dyDescent="0.25">
      <c r="A655" s="5" t="str">
        <f t="shared" si="115"/>
        <v>Đồng Tháp</v>
      </c>
      <c r="B655" s="5">
        <f t="shared" si="115"/>
        <v>2023</v>
      </c>
      <c r="C655" s="9">
        <f t="shared" si="106"/>
        <v>-0.34052711339008451</v>
      </c>
      <c r="D655" s="9">
        <f t="shared" si="107"/>
        <v>-0.22497655145683512</v>
      </c>
      <c r="E655" s="9">
        <f t="shared" si="108"/>
        <v>-0.66497090952448745</v>
      </c>
      <c r="F655" s="9">
        <f t="shared" si="109"/>
        <v>-0.66325753642465612</v>
      </c>
      <c r="G655" s="9">
        <f t="shared" si="110"/>
        <v>-1.0590132203913605</v>
      </c>
      <c r="H655" s="9">
        <f t="shared" si="111"/>
        <v>-1.5703703795157107</v>
      </c>
      <c r="I655" s="9">
        <f t="shared" si="112"/>
        <v>-0.51433320938969485</v>
      </c>
      <c r="J655" s="9">
        <f t="shared" si="113"/>
        <v>-1.6192520097690291</v>
      </c>
      <c r="K655" s="9">
        <f t="shared" si="114"/>
        <v>-0.83984020770381074</v>
      </c>
      <c r="L655" s="5">
        <f t="shared" si="117"/>
        <v>0</v>
      </c>
      <c r="M655" s="5">
        <f t="shared" si="117"/>
        <v>0</v>
      </c>
      <c r="N655" s="5">
        <f t="shared" si="117"/>
        <v>0</v>
      </c>
      <c r="O655" s="5">
        <f t="shared" si="117"/>
        <v>1</v>
      </c>
      <c r="P655" s="5">
        <f t="shared" si="117"/>
        <v>0</v>
      </c>
    </row>
    <row r="656" spans="1:16" x14ac:dyDescent="0.25">
      <c r="A656" s="5" t="str">
        <f t="shared" si="115"/>
        <v>An Giang</v>
      </c>
      <c r="B656" s="5">
        <f t="shared" si="115"/>
        <v>2024</v>
      </c>
      <c r="C656" s="9">
        <f t="shared" si="106"/>
        <v>-0.31415180570570972</v>
      </c>
      <c r="D656" s="9">
        <f t="shared" si="107"/>
        <v>-0.32156577518504398</v>
      </c>
      <c r="E656" s="9">
        <f t="shared" si="108"/>
        <v>-0.63035594333290768</v>
      </c>
      <c r="F656" s="9">
        <f t="shared" si="109"/>
        <v>0.27886182332494686</v>
      </c>
      <c r="G656" s="9">
        <f t="shared" si="110"/>
        <v>-0.87277599591210953</v>
      </c>
      <c r="H656" s="9">
        <f t="shared" si="111"/>
        <v>-0.40183028299611528</v>
      </c>
      <c r="I656" s="9">
        <f t="shared" si="112"/>
        <v>-0.64663544740005996</v>
      </c>
      <c r="J656" s="9">
        <f t="shared" si="113"/>
        <v>-1.6375031411843346</v>
      </c>
      <c r="K656" s="9">
        <f t="shared" si="114"/>
        <v>-0.95139201699352238</v>
      </c>
      <c r="L656" s="5">
        <f t="shared" si="117"/>
        <v>0</v>
      </c>
      <c r="M656" s="5">
        <f t="shared" si="117"/>
        <v>0</v>
      </c>
      <c r="N656" s="5">
        <f t="shared" si="117"/>
        <v>0</v>
      </c>
      <c r="O656" s="5">
        <f t="shared" si="117"/>
        <v>0</v>
      </c>
      <c r="P656" s="5">
        <f t="shared" si="117"/>
        <v>1</v>
      </c>
    </row>
    <row r="657" spans="1:16" x14ac:dyDescent="0.25">
      <c r="A657" s="5" t="str">
        <f t="shared" si="115"/>
        <v>Bà Rịa - Vũng Tàu</v>
      </c>
      <c r="B657" s="5">
        <f t="shared" si="115"/>
        <v>2024</v>
      </c>
      <c r="C657" s="9">
        <f t="shared" si="106"/>
        <v>0.46564695185532473</v>
      </c>
      <c r="D657" s="9">
        <f t="shared" si="107"/>
        <v>3.4824564036920944</v>
      </c>
      <c r="E657" s="9">
        <f t="shared" si="108"/>
        <v>0.94442140093578275</v>
      </c>
      <c r="F657" s="9">
        <f t="shared" si="109"/>
        <v>1.7085194283490734</v>
      </c>
      <c r="G657" s="9">
        <f t="shared" si="110"/>
        <v>0.7451598917513832</v>
      </c>
      <c r="H657" s="9">
        <f t="shared" si="111"/>
        <v>-0.18522400365747763</v>
      </c>
      <c r="I657" s="9">
        <f t="shared" si="112"/>
        <v>0.14439508565114742</v>
      </c>
      <c r="J657" s="9">
        <f t="shared" si="113"/>
        <v>1.8854081955370194</v>
      </c>
      <c r="K657" s="9">
        <f t="shared" si="114"/>
        <v>7.9535428979976338E-3</v>
      </c>
      <c r="L657" s="5">
        <f t="shared" si="117"/>
        <v>0</v>
      </c>
      <c r="M657" s="5">
        <f t="shared" si="117"/>
        <v>0</v>
      </c>
      <c r="N657" s="5">
        <f t="shared" si="117"/>
        <v>0</v>
      </c>
      <c r="O657" s="5">
        <f t="shared" si="117"/>
        <v>0</v>
      </c>
      <c r="P657" s="5">
        <f t="shared" si="117"/>
        <v>1</v>
      </c>
    </row>
    <row r="658" spans="1:16" x14ac:dyDescent="0.25">
      <c r="A658" s="5" t="str">
        <f t="shared" si="115"/>
        <v>Bình Dương</v>
      </c>
      <c r="B658" s="5">
        <f t="shared" si="115"/>
        <v>2024</v>
      </c>
      <c r="C658" s="9">
        <f t="shared" si="106"/>
        <v>1.3011912957634979</v>
      </c>
      <c r="D658" s="9">
        <f t="shared" si="107"/>
        <v>1.9743705268186553</v>
      </c>
      <c r="E658" s="9">
        <f t="shared" si="108"/>
        <v>2.0250191984576262</v>
      </c>
      <c r="F658" s="9">
        <f t="shared" si="109"/>
        <v>3.0580571119469666</v>
      </c>
      <c r="G658" s="9">
        <f t="shared" si="110"/>
        <v>1.1850820364332592E-2</v>
      </c>
      <c r="H658" s="9">
        <f t="shared" si="111"/>
        <v>1.062785302265749</v>
      </c>
      <c r="I658" s="9">
        <f t="shared" si="112"/>
        <v>-0.4228341184236753</v>
      </c>
      <c r="J658" s="9">
        <f t="shared" si="113"/>
        <v>1.4103246694139724</v>
      </c>
      <c r="K658" s="9">
        <f t="shared" si="114"/>
        <v>-0.24861561846833921</v>
      </c>
      <c r="L658" s="5">
        <f t="shared" si="117"/>
        <v>0</v>
      </c>
      <c r="M658" s="5">
        <f t="shared" si="117"/>
        <v>0</v>
      </c>
      <c r="N658" s="5">
        <f t="shared" si="117"/>
        <v>0</v>
      </c>
      <c r="O658" s="5">
        <f t="shared" si="117"/>
        <v>0</v>
      </c>
      <c r="P658" s="5">
        <f t="shared" si="117"/>
        <v>1</v>
      </c>
    </row>
    <row r="659" spans="1:16" x14ac:dyDescent="0.25">
      <c r="A659" s="5" t="str">
        <f t="shared" si="115"/>
        <v>Bình Phước</v>
      </c>
      <c r="B659" s="5">
        <f t="shared" si="115"/>
        <v>2024</v>
      </c>
      <c r="C659" s="9">
        <f t="shared" si="106"/>
        <v>-0.31415180570570972</v>
      </c>
      <c r="D659" s="9">
        <f t="shared" si="107"/>
        <v>0.81467134500523097</v>
      </c>
      <c r="E659" s="9">
        <f t="shared" si="108"/>
        <v>0.16721360121072568</v>
      </c>
      <c r="F659" s="9">
        <f t="shared" si="109"/>
        <v>-0.14673974510234661</v>
      </c>
      <c r="G659" s="9">
        <f t="shared" si="110"/>
        <v>-0.24422536329463737</v>
      </c>
      <c r="H659" s="9">
        <f t="shared" si="111"/>
        <v>-1.0214259369118168</v>
      </c>
      <c r="I659" s="9">
        <f t="shared" si="112"/>
        <v>-0.23449892034839581</v>
      </c>
      <c r="J659" s="9">
        <f t="shared" si="113"/>
        <v>0.70352398013178641</v>
      </c>
      <c r="K659" s="9">
        <f t="shared" si="114"/>
        <v>-0.17052935196554075</v>
      </c>
      <c r="L659" s="5">
        <f t="shared" si="117"/>
        <v>0</v>
      </c>
      <c r="M659" s="5">
        <f t="shared" si="117"/>
        <v>0</v>
      </c>
      <c r="N659" s="5">
        <f t="shared" si="117"/>
        <v>0</v>
      </c>
      <c r="O659" s="5">
        <f t="shared" si="117"/>
        <v>0</v>
      </c>
      <c r="P659" s="5">
        <f t="shared" si="117"/>
        <v>1</v>
      </c>
    </row>
    <row r="660" spans="1:16" x14ac:dyDescent="0.25">
      <c r="A660" s="5" t="str">
        <f t="shared" si="115"/>
        <v>Bình Thuận</v>
      </c>
      <c r="B660" s="5">
        <f t="shared" si="115"/>
        <v>2024</v>
      </c>
      <c r="C660" s="9">
        <f t="shared" si="106"/>
        <v>-3.2115716666776205E-3</v>
      </c>
      <c r="D660" s="9">
        <f t="shared" si="107"/>
        <v>0.4505478027503827</v>
      </c>
      <c r="E660" s="9">
        <f t="shared" si="108"/>
        <v>-0.2398176777126145</v>
      </c>
      <c r="F660" s="9">
        <f t="shared" si="109"/>
        <v>0.37318740457852617</v>
      </c>
      <c r="G660" s="9">
        <f t="shared" si="110"/>
        <v>-0.26750501635454405</v>
      </c>
      <c r="H660" s="9">
        <f t="shared" si="111"/>
        <v>-0.60511622304956358</v>
      </c>
      <c r="I660" s="9">
        <f t="shared" si="112"/>
        <v>-0.74951362505303665</v>
      </c>
      <c r="J660" s="9">
        <f t="shared" si="113"/>
        <v>0.39046225349942354</v>
      </c>
      <c r="K660" s="9">
        <f t="shared" si="114"/>
        <v>-1.141030092786032</v>
      </c>
      <c r="L660" s="5">
        <f t="shared" si="117"/>
        <v>0</v>
      </c>
      <c r="M660" s="5">
        <f t="shared" si="117"/>
        <v>0</v>
      </c>
      <c r="N660" s="5">
        <f t="shared" si="117"/>
        <v>0</v>
      </c>
      <c r="O660" s="5">
        <f t="shared" si="117"/>
        <v>0</v>
      </c>
      <c r="P660" s="5">
        <f t="shared" si="117"/>
        <v>1</v>
      </c>
    </row>
    <row r="661" spans="1:16" x14ac:dyDescent="0.25">
      <c r="A661" s="5" t="str">
        <f t="shared" si="115"/>
        <v>Bình Định</v>
      </c>
      <c r="B661" s="5">
        <f t="shared" si="115"/>
        <v>2024</v>
      </c>
      <c r="C661" s="9">
        <f t="shared" si="106"/>
        <v>6.4775268984988393E-2</v>
      </c>
      <c r="D661" s="9">
        <f t="shared" si="107"/>
        <v>0.27476718497128938</v>
      </c>
      <c r="E661" s="9">
        <f t="shared" si="108"/>
        <v>-6.6131994410158615E-2</v>
      </c>
      <c r="F661" s="9">
        <f t="shared" si="109"/>
        <v>0.52888143628624118</v>
      </c>
      <c r="G661" s="9">
        <f t="shared" si="110"/>
        <v>0.27956683055325587</v>
      </c>
      <c r="H661" s="9">
        <f t="shared" si="111"/>
        <v>0.8543963495453013</v>
      </c>
      <c r="I661" s="9">
        <f t="shared" si="112"/>
        <v>-0.37871200460581755</v>
      </c>
      <c r="J661" s="9">
        <f t="shared" si="113"/>
        <v>-0.46702776189834633</v>
      </c>
      <c r="K661" s="9">
        <f t="shared" si="114"/>
        <v>-0.41594333240290665</v>
      </c>
      <c r="L661" s="5">
        <f t="shared" si="117"/>
        <v>0</v>
      </c>
      <c r="M661" s="5">
        <f t="shared" si="117"/>
        <v>0</v>
      </c>
      <c r="N661" s="5">
        <f t="shared" si="117"/>
        <v>0</v>
      </c>
      <c r="O661" s="5">
        <f t="shared" si="117"/>
        <v>0</v>
      </c>
      <c r="P661" s="5">
        <f t="shared" si="117"/>
        <v>1</v>
      </c>
    </row>
    <row r="662" spans="1:16" x14ac:dyDescent="0.25">
      <c r="A662" s="5" t="str">
        <f t="shared" ref="A662:B681" si="118">A286</f>
        <v>Bạc Liêu</v>
      </c>
      <c r="B662" s="5">
        <f t="shared" si="118"/>
        <v>2024</v>
      </c>
      <c r="C662" s="9">
        <f t="shared" si="106"/>
        <v>-0.50022163487931659</v>
      </c>
      <c r="D662" s="9">
        <f t="shared" si="107"/>
        <v>-0.15836150138133706</v>
      </c>
      <c r="E662" s="9">
        <f t="shared" si="108"/>
        <v>-0.69388458716686574</v>
      </c>
      <c r="F662" s="9">
        <f t="shared" si="109"/>
        <v>-0.24220177914211335</v>
      </c>
      <c r="G662" s="9">
        <f t="shared" si="110"/>
        <v>-1.0939326999812198</v>
      </c>
      <c r="H662" s="9">
        <f t="shared" si="111"/>
        <v>-0.98076829271015242</v>
      </c>
      <c r="I662" s="9">
        <f t="shared" si="112"/>
        <v>0.14496031511693924</v>
      </c>
      <c r="J662" s="9">
        <f t="shared" si="113"/>
        <v>0.70655037772665163</v>
      </c>
      <c r="K662" s="9">
        <f t="shared" si="114"/>
        <v>-1.0964093690701473</v>
      </c>
      <c r="L662" s="5">
        <f t="shared" ref="L662:P671" si="119">L286</f>
        <v>0</v>
      </c>
      <c r="M662" s="5">
        <f t="shared" si="119"/>
        <v>0</v>
      </c>
      <c r="N662" s="5">
        <f t="shared" si="119"/>
        <v>0</v>
      </c>
      <c r="O662" s="5">
        <f t="shared" si="119"/>
        <v>0</v>
      </c>
      <c r="P662" s="5">
        <f t="shared" si="119"/>
        <v>1</v>
      </c>
    </row>
    <row r="663" spans="1:16" x14ac:dyDescent="0.25">
      <c r="A663" s="5" t="str">
        <f t="shared" si="118"/>
        <v>Bắc Giang</v>
      </c>
      <c r="B663" s="5">
        <f t="shared" si="118"/>
        <v>2024</v>
      </c>
      <c r="C663" s="9">
        <f t="shared" si="106"/>
        <v>0.12959876248870567</v>
      </c>
      <c r="D663" s="9">
        <f t="shared" si="107"/>
        <v>0.84898497428940523</v>
      </c>
      <c r="E663" s="9">
        <f t="shared" si="108"/>
        <v>-0.21355102689665101</v>
      </c>
      <c r="F663" s="9">
        <f t="shared" si="109"/>
        <v>-0.44335392229733617</v>
      </c>
      <c r="G663" s="9">
        <f t="shared" si="110"/>
        <v>1.1641936468296981</v>
      </c>
      <c r="H663" s="9">
        <f t="shared" si="111"/>
        <v>0.69762489838823838</v>
      </c>
      <c r="I663" s="9">
        <f t="shared" si="112"/>
        <v>-0.57541741465708374</v>
      </c>
      <c r="J663" s="9">
        <f t="shared" si="113"/>
        <v>0.9090274294998294</v>
      </c>
      <c r="K663" s="9">
        <f t="shared" si="114"/>
        <v>-0.31554670404216595</v>
      </c>
      <c r="L663" s="5">
        <f t="shared" si="119"/>
        <v>0</v>
      </c>
      <c r="M663" s="5">
        <f t="shared" si="119"/>
        <v>0</v>
      </c>
      <c r="N663" s="5">
        <f t="shared" si="119"/>
        <v>0</v>
      </c>
      <c r="O663" s="5">
        <f t="shared" si="119"/>
        <v>0</v>
      </c>
      <c r="P663" s="5">
        <f t="shared" si="119"/>
        <v>1</v>
      </c>
    </row>
    <row r="664" spans="1:16" x14ac:dyDescent="0.25">
      <c r="A664" s="5" t="str">
        <f t="shared" si="118"/>
        <v>Bắc Kạn</v>
      </c>
      <c r="B664" s="5">
        <f t="shared" si="118"/>
        <v>2024</v>
      </c>
      <c r="C664" s="9">
        <f t="shared" si="106"/>
        <v>-0.83626982424593566</v>
      </c>
      <c r="D664" s="9">
        <f t="shared" si="107"/>
        <v>-0.66237577723841812</v>
      </c>
      <c r="E664" s="9">
        <f t="shared" si="108"/>
        <v>-0.7230018822574299</v>
      </c>
      <c r="F664" s="9">
        <f t="shared" si="109"/>
        <v>-0.42403422493214527</v>
      </c>
      <c r="G664" s="9">
        <f t="shared" si="110"/>
        <v>0.61712179992189808</v>
      </c>
      <c r="H664" s="9">
        <f t="shared" si="111"/>
        <v>0.49168287979190561</v>
      </c>
      <c r="I664" s="9">
        <f t="shared" si="112"/>
        <v>-0.33456287427898534</v>
      </c>
      <c r="J664" s="9">
        <f t="shared" si="113"/>
        <v>-1.8759265004027381</v>
      </c>
      <c r="K664" s="9">
        <f t="shared" si="114"/>
        <v>-0.22630525661039655</v>
      </c>
      <c r="L664" s="5">
        <f t="shared" si="119"/>
        <v>0</v>
      </c>
      <c r="M664" s="5">
        <f t="shared" si="119"/>
        <v>0</v>
      </c>
      <c r="N664" s="5">
        <f t="shared" si="119"/>
        <v>0</v>
      </c>
      <c r="O664" s="5">
        <f t="shared" si="119"/>
        <v>0</v>
      </c>
      <c r="P664" s="5">
        <f t="shared" si="119"/>
        <v>1</v>
      </c>
    </row>
    <row r="665" spans="1:16" x14ac:dyDescent="0.25">
      <c r="A665" s="5" t="str">
        <f t="shared" si="118"/>
        <v>Bắc Ninh</v>
      </c>
      <c r="B665" s="5">
        <f t="shared" si="118"/>
        <v>2024</v>
      </c>
      <c r="C665" s="9">
        <f t="shared" si="106"/>
        <v>0.56178533219762739</v>
      </c>
      <c r="D665" s="9">
        <f t="shared" si="107"/>
        <v>1.7238924960065465</v>
      </c>
      <c r="E665" s="9">
        <f t="shared" si="108"/>
        <v>1.1901876608959985</v>
      </c>
      <c r="F665" s="9">
        <f t="shared" si="109"/>
        <v>1.0743787736563368</v>
      </c>
      <c r="G665" s="9">
        <f t="shared" si="110"/>
        <v>1.4202698304886676</v>
      </c>
      <c r="H665" s="9">
        <f t="shared" si="111"/>
        <v>0.57108036288731689</v>
      </c>
      <c r="I665" s="9">
        <f t="shared" si="112"/>
        <v>0.44048951153594701</v>
      </c>
      <c r="J665" s="9">
        <f t="shared" si="113"/>
        <v>1.6084989285158211</v>
      </c>
      <c r="K665" s="9">
        <f t="shared" si="114"/>
        <v>0.40954005634095969</v>
      </c>
      <c r="L665" s="5">
        <f t="shared" si="119"/>
        <v>0</v>
      </c>
      <c r="M665" s="5">
        <f t="shared" si="119"/>
        <v>0</v>
      </c>
      <c r="N665" s="5">
        <f t="shared" si="119"/>
        <v>0</v>
      </c>
      <c r="O665" s="5">
        <f t="shared" si="119"/>
        <v>0</v>
      </c>
      <c r="P665" s="5">
        <f t="shared" si="119"/>
        <v>1</v>
      </c>
    </row>
    <row r="666" spans="1:16" x14ac:dyDescent="0.25">
      <c r="A666" s="5" t="str">
        <f t="shared" si="118"/>
        <v>Bến Tre</v>
      </c>
      <c r="B666" s="5">
        <f t="shared" si="118"/>
        <v>2024</v>
      </c>
      <c r="C666" s="9">
        <f t="shared" si="106"/>
        <v>-7.468640868332016E-2</v>
      </c>
      <c r="D666" s="9">
        <f t="shared" si="107"/>
        <v>-0.68697607216696221</v>
      </c>
      <c r="E666" s="9">
        <f t="shared" si="108"/>
        <v>-0.57497199742638017</v>
      </c>
      <c r="F666" s="9">
        <f t="shared" si="109"/>
        <v>-1.0604477851972574</v>
      </c>
      <c r="G666" s="9">
        <f t="shared" si="110"/>
        <v>-1.1637716591609391</v>
      </c>
      <c r="H666" s="9">
        <f t="shared" si="111"/>
        <v>-0.89516133245208052</v>
      </c>
      <c r="I666" s="9">
        <f t="shared" si="112"/>
        <v>-0.69771504235402992</v>
      </c>
      <c r="J666" s="9">
        <f t="shared" si="113"/>
        <v>-0.22166364241312633</v>
      </c>
      <c r="K666" s="9">
        <f t="shared" si="114"/>
        <v>-0.47171923704776247</v>
      </c>
      <c r="L666" s="5">
        <f t="shared" si="119"/>
        <v>0</v>
      </c>
      <c r="M666" s="5">
        <f t="shared" si="119"/>
        <v>0</v>
      </c>
      <c r="N666" s="5">
        <f t="shared" si="119"/>
        <v>0</v>
      </c>
      <c r="O666" s="5">
        <f t="shared" si="119"/>
        <v>0</v>
      </c>
      <c r="P666" s="5">
        <f t="shared" si="119"/>
        <v>1</v>
      </c>
    </row>
    <row r="667" spans="1:16" x14ac:dyDescent="0.25">
      <c r="A667" s="5" t="str">
        <f t="shared" si="118"/>
        <v>Cà Mau</v>
      </c>
      <c r="B667" s="5">
        <f t="shared" si="118"/>
        <v>2024</v>
      </c>
      <c r="C667" s="9">
        <f t="shared" si="106"/>
        <v>-0.31415180570570972</v>
      </c>
      <c r="D667" s="9">
        <f t="shared" si="107"/>
        <v>-0.13874361131168317</v>
      </c>
      <c r="E667" s="9">
        <f t="shared" si="108"/>
        <v>-0.56194048074249137</v>
      </c>
      <c r="F667" s="9">
        <f t="shared" si="109"/>
        <v>-0.48426622260009328</v>
      </c>
      <c r="G667" s="9">
        <f t="shared" si="110"/>
        <v>-0.84949634285220321</v>
      </c>
      <c r="H667" s="9">
        <f t="shared" si="111"/>
        <v>-2.307262165777141</v>
      </c>
      <c r="I667" s="9">
        <f t="shared" si="112"/>
        <v>-0.60265201432632454</v>
      </c>
      <c r="J667" s="9">
        <f t="shared" si="113"/>
        <v>-1.6707186873258875</v>
      </c>
      <c r="K667" s="9">
        <f t="shared" si="114"/>
        <v>-1.0964093690701473</v>
      </c>
      <c r="L667" s="5">
        <f t="shared" si="119"/>
        <v>0</v>
      </c>
      <c r="M667" s="5">
        <f t="shared" si="119"/>
        <v>0</v>
      </c>
      <c r="N667" s="5">
        <f t="shared" si="119"/>
        <v>0</v>
      </c>
      <c r="O667" s="5">
        <f t="shared" si="119"/>
        <v>0</v>
      </c>
      <c r="P667" s="5">
        <f t="shared" si="119"/>
        <v>1</v>
      </c>
    </row>
    <row r="668" spans="1:16" x14ac:dyDescent="0.25">
      <c r="A668" s="5" t="str">
        <f t="shared" si="118"/>
        <v>Cần Thơ</v>
      </c>
      <c r="B668" s="5">
        <f t="shared" si="118"/>
        <v>2024</v>
      </c>
      <c r="C668" s="9">
        <f t="shared" si="106"/>
        <v>0.46564695185532473</v>
      </c>
      <c r="D668" s="9">
        <f t="shared" si="107"/>
        <v>0.74225840807423882</v>
      </c>
      <c r="E668" s="9">
        <f t="shared" si="108"/>
        <v>0.54410949780257267</v>
      </c>
      <c r="F668" s="9">
        <f t="shared" si="109"/>
        <v>2.1954894472305027</v>
      </c>
      <c r="G668" s="9">
        <f t="shared" si="110"/>
        <v>0.17480839178367699</v>
      </c>
      <c r="H668" s="9">
        <f t="shared" si="111"/>
        <v>-1.2557306235814918</v>
      </c>
      <c r="I668" s="9">
        <f t="shared" si="112"/>
        <v>7.0952518579233334E-2</v>
      </c>
      <c r="J668" s="9">
        <f t="shared" si="113"/>
        <v>9.3635141172751409E-3</v>
      </c>
      <c r="K668" s="9">
        <f t="shared" si="114"/>
        <v>-0.14821899010759848</v>
      </c>
      <c r="L668" s="5">
        <f t="shared" si="119"/>
        <v>0</v>
      </c>
      <c r="M668" s="5">
        <f t="shared" si="119"/>
        <v>0</v>
      </c>
      <c r="N668" s="5">
        <f t="shared" si="119"/>
        <v>0</v>
      </c>
      <c r="O668" s="5">
        <f t="shared" si="119"/>
        <v>0</v>
      </c>
      <c r="P668" s="5">
        <f t="shared" si="119"/>
        <v>1</v>
      </c>
    </row>
    <row r="669" spans="1:16" x14ac:dyDescent="0.25">
      <c r="A669" s="5" t="str">
        <f t="shared" si="118"/>
        <v>Gia Lai</v>
      </c>
      <c r="B669" s="5">
        <f t="shared" si="118"/>
        <v>2024</v>
      </c>
      <c r="C669" s="9">
        <f t="shared" si="106"/>
        <v>-0.40408325453701399</v>
      </c>
      <c r="D669" s="9">
        <f t="shared" si="107"/>
        <v>-0.2970396347462797</v>
      </c>
      <c r="E669" s="9">
        <f t="shared" si="108"/>
        <v>-0.50513121269866346</v>
      </c>
      <c r="F669" s="9">
        <f t="shared" si="109"/>
        <v>-0.14219393395759569</v>
      </c>
      <c r="G669" s="9">
        <f t="shared" si="110"/>
        <v>-0.87277599591210953</v>
      </c>
      <c r="H669" s="9">
        <f t="shared" si="111"/>
        <v>9.8950641760958413E-2</v>
      </c>
      <c r="I669" s="9">
        <f t="shared" si="112"/>
        <v>0.45742035364029182</v>
      </c>
      <c r="J669" s="9">
        <f t="shared" si="113"/>
        <v>-2.2242881612314416</v>
      </c>
      <c r="K669" s="9">
        <f t="shared" si="114"/>
        <v>-1.1856508165019168</v>
      </c>
      <c r="L669" s="5">
        <f t="shared" si="119"/>
        <v>0</v>
      </c>
      <c r="M669" s="5">
        <f t="shared" si="119"/>
        <v>0</v>
      </c>
      <c r="N669" s="5">
        <f t="shared" si="119"/>
        <v>0</v>
      </c>
      <c r="O669" s="5">
        <f t="shared" si="119"/>
        <v>0</v>
      </c>
      <c r="P669" s="5">
        <f t="shared" si="119"/>
        <v>1</v>
      </c>
    </row>
    <row r="670" spans="1:16" x14ac:dyDescent="0.25">
      <c r="A670" s="5" t="str">
        <f t="shared" si="118"/>
        <v>Hà Nam</v>
      </c>
      <c r="B670" s="5">
        <f t="shared" si="118"/>
        <v>2024</v>
      </c>
      <c r="C670" s="9">
        <f t="shared" si="106"/>
        <v>0.19154024085910173</v>
      </c>
      <c r="D670" s="9">
        <f t="shared" si="107"/>
        <v>0.81250983282979083</v>
      </c>
      <c r="E670" s="9">
        <f t="shared" si="108"/>
        <v>0.12934075584817378</v>
      </c>
      <c r="F670" s="9">
        <f t="shared" si="109"/>
        <v>-0.18708381901200999</v>
      </c>
      <c r="G670" s="9">
        <f t="shared" si="110"/>
        <v>1.0012360754103529</v>
      </c>
      <c r="H670" s="9">
        <f t="shared" si="111"/>
        <v>0.71378792258270374</v>
      </c>
      <c r="I670" s="9">
        <f t="shared" si="112"/>
        <v>-0.16790866943345759</v>
      </c>
      <c r="J670" s="9">
        <f t="shared" si="113"/>
        <v>0.95577499713756398</v>
      </c>
      <c r="K670" s="9">
        <f t="shared" si="114"/>
        <v>-0.91792647420660878</v>
      </c>
      <c r="L670" s="5">
        <f t="shared" si="119"/>
        <v>0</v>
      </c>
      <c r="M670" s="5">
        <f t="shared" si="119"/>
        <v>0</v>
      </c>
      <c r="N670" s="5">
        <f t="shared" si="119"/>
        <v>0</v>
      </c>
      <c r="O670" s="5">
        <f t="shared" si="119"/>
        <v>0</v>
      </c>
      <c r="P670" s="5">
        <f t="shared" si="119"/>
        <v>1</v>
      </c>
    </row>
    <row r="671" spans="1:16" x14ac:dyDescent="0.25">
      <c r="A671" s="5" t="str">
        <f t="shared" si="118"/>
        <v>Hà Nội</v>
      </c>
      <c r="B671" s="5">
        <f t="shared" si="118"/>
        <v>2024</v>
      </c>
      <c r="C671" s="9">
        <f t="shared" si="106"/>
        <v>1.9965124424542704</v>
      </c>
      <c r="D671" s="9">
        <f t="shared" si="107"/>
        <v>1.7787638848509915</v>
      </c>
      <c r="E671" s="9">
        <f t="shared" si="108"/>
        <v>3.4020840005379411</v>
      </c>
      <c r="F671" s="9">
        <f t="shared" si="109"/>
        <v>0.97039334372016228</v>
      </c>
      <c r="G671" s="9">
        <f t="shared" si="110"/>
        <v>3.5154386058802407</v>
      </c>
      <c r="H671" s="9">
        <f t="shared" si="111"/>
        <v>1.0147296330313178</v>
      </c>
      <c r="I671" s="9">
        <f t="shared" si="112"/>
        <v>0.41778420691500068</v>
      </c>
      <c r="J671" s="9">
        <f t="shared" si="113"/>
        <v>0.67989047437600536</v>
      </c>
      <c r="K671" s="9">
        <f t="shared" si="114"/>
        <v>2.4286278044847398</v>
      </c>
      <c r="L671" s="5">
        <f t="shared" si="119"/>
        <v>0</v>
      </c>
      <c r="M671" s="5">
        <f t="shared" si="119"/>
        <v>0</v>
      </c>
      <c r="N671" s="5">
        <f t="shared" si="119"/>
        <v>0</v>
      </c>
      <c r="O671" s="5">
        <f t="shared" si="119"/>
        <v>0</v>
      </c>
      <c r="P671" s="5">
        <f t="shared" si="119"/>
        <v>1</v>
      </c>
    </row>
    <row r="672" spans="1:16" x14ac:dyDescent="0.25">
      <c r="A672" s="5" t="str">
        <f t="shared" si="118"/>
        <v>Hà Tĩnh</v>
      </c>
      <c r="B672" s="5">
        <f t="shared" si="118"/>
        <v>2024</v>
      </c>
      <c r="C672" s="9">
        <f t="shared" si="106"/>
        <v>-0.15002658471174171</v>
      </c>
      <c r="D672" s="9">
        <f t="shared" si="107"/>
        <v>0.20561556116726612</v>
      </c>
      <c r="E672" s="9">
        <f t="shared" si="108"/>
        <v>-0.28237372438343888</v>
      </c>
      <c r="F672" s="9">
        <f t="shared" si="109"/>
        <v>-0.53654305076472764</v>
      </c>
      <c r="G672" s="9">
        <f t="shared" si="110"/>
        <v>1.0012360754103529</v>
      </c>
      <c r="H672" s="9">
        <f t="shared" si="111"/>
        <v>1.2836923081467408</v>
      </c>
      <c r="I672" s="9">
        <f t="shared" si="112"/>
        <v>-0.76469694100006114</v>
      </c>
      <c r="J672" s="9">
        <f t="shared" si="113"/>
        <v>1.0907937365704927</v>
      </c>
      <c r="K672" s="9">
        <f t="shared" si="114"/>
        <v>-0.11475344732068492</v>
      </c>
      <c r="L672" s="5">
        <f t="shared" ref="L672:P681" si="120">L296</f>
        <v>0</v>
      </c>
      <c r="M672" s="5">
        <f t="shared" si="120"/>
        <v>0</v>
      </c>
      <c r="N672" s="5">
        <f t="shared" si="120"/>
        <v>0</v>
      </c>
      <c r="O672" s="5">
        <f t="shared" si="120"/>
        <v>0</v>
      </c>
      <c r="P672" s="5">
        <f t="shared" si="120"/>
        <v>1</v>
      </c>
    </row>
    <row r="673" spans="1:16" x14ac:dyDescent="0.25">
      <c r="A673" s="5" t="str">
        <f t="shared" si="118"/>
        <v>Hòa Bình</v>
      </c>
      <c r="B673" s="5">
        <f t="shared" si="118"/>
        <v>2024</v>
      </c>
      <c r="C673" s="9">
        <f t="shared" si="106"/>
        <v>-0.50022163487931659</v>
      </c>
      <c r="D673" s="9">
        <f t="shared" si="107"/>
        <v>0.10814134452081517</v>
      </c>
      <c r="E673" s="9">
        <f t="shared" si="108"/>
        <v>-0.48497308532827299</v>
      </c>
      <c r="F673" s="9">
        <f t="shared" si="109"/>
        <v>-0.33311800203712921</v>
      </c>
      <c r="G673" s="9">
        <f t="shared" si="110"/>
        <v>0.22136769790348998</v>
      </c>
      <c r="H673" s="9">
        <f t="shared" si="111"/>
        <v>1.7402438411786379E-2</v>
      </c>
      <c r="I673" s="9">
        <f t="shared" si="112"/>
        <v>-0.16821020211601331</v>
      </c>
      <c r="J673" s="9">
        <f t="shared" si="113"/>
        <v>-0.43204147213440164</v>
      </c>
      <c r="K673" s="9">
        <f t="shared" si="114"/>
        <v>-0.8844609314196954</v>
      </c>
      <c r="L673" s="5">
        <f t="shared" si="120"/>
        <v>0</v>
      </c>
      <c r="M673" s="5">
        <f t="shared" si="120"/>
        <v>0</v>
      </c>
      <c r="N673" s="5">
        <f t="shared" si="120"/>
        <v>0</v>
      </c>
      <c r="O673" s="5">
        <f t="shared" si="120"/>
        <v>0</v>
      </c>
      <c r="P673" s="5">
        <f t="shared" si="120"/>
        <v>1</v>
      </c>
    </row>
    <row r="674" spans="1:16" x14ac:dyDescent="0.25">
      <c r="A674" s="5" t="str">
        <f t="shared" si="118"/>
        <v>Hưng Yên</v>
      </c>
      <c r="B674" s="5">
        <f t="shared" si="118"/>
        <v>2024</v>
      </c>
      <c r="C674" s="9">
        <f t="shared" si="106"/>
        <v>0.41497031915256327</v>
      </c>
      <c r="D674" s="9">
        <f t="shared" si="107"/>
        <v>1.0232401859060176</v>
      </c>
      <c r="E674" s="9">
        <f t="shared" si="108"/>
        <v>0.48058085396861472</v>
      </c>
      <c r="F674" s="9">
        <f t="shared" si="109"/>
        <v>-0.849067566966345</v>
      </c>
      <c r="G674" s="9">
        <f t="shared" si="110"/>
        <v>0.65204127951175772</v>
      </c>
      <c r="H674" s="9">
        <f t="shared" si="111"/>
        <v>1.0489247191760958</v>
      </c>
      <c r="I674" s="9">
        <f t="shared" si="112"/>
        <v>0.45784565174229586</v>
      </c>
      <c r="J674" s="9">
        <f t="shared" si="113"/>
        <v>0.90162051282892985</v>
      </c>
      <c r="K674" s="9">
        <f t="shared" si="114"/>
        <v>0.16412607590359415</v>
      </c>
      <c r="L674" s="5">
        <f t="shared" si="120"/>
        <v>0</v>
      </c>
      <c r="M674" s="5">
        <f t="shared" si="120"/>
        <v>0</v>
      </c>
      <c r="N674" s="5">
        <f t="shared" si="120"/>
        <v>0</v>
      </c>
      <c r="O674" s="5">
        <f t="shared" si="120"/>
        <v>0</v>
      </c>
      <c r="P674" s="5">
        <f t="shared" si="120"/>
        <v>1</v>
      </c>
    </row>
    <row r="675" spans="1:16" x14ac:dyDescent="0.25">
      <c r="A675" s="5" t="str">
        <f t="shared" si="118"/>
        <v>Hải Dương</v>
      </c>
      <c r="B675" s="5">
        <f t="shared" si="118"/>
        <v>2024</v>
      </c>
      <c r="C675" s="9">
        <f t="shared" si="106"/>
        <v>6.4775268984988393E-2</v>
      </c>
      <c r="D675" s="9">
        <f t="shared" si="107"/>
        <v>0.78422574007827717</v>
      </c>
      <c r="E675" s="9">
        <f t="shared" si="108"/>
        <v>3.4658642441794049E-2</v>
      </c>
      <c r="F675" s="9">
        <f t="shared" si="109"/>
        <v>-9.2289579736348302E-3</v>
      </c>
      <c r="G675" s="9">
        <f t="shared" si="110"/>
        <v>0.6636811060417106</v>
      </c>
      <c r="H675" s="9">
        <f t="shared" si="111"/>
        <v>1.0999618668845543</v>
      </c>
      <c r="I675" s="9">
        <f t="shared" si="112"/>
        <v>-0.70121503833111321</v>
      </c>
      <c r="J675" s="9">
        <f t="shared" si="113"/>
        <v>0.77984275713713747</v>
      </c>
      <c r="K675" s="9">
        <f t="shared" si="114"/>
        <v>0.10835017125873835</v>
      </c>
      <c r="L675" s="5">
        <f t="shared" si="120"/>
        <v>0</v>
      </c>
      <c r="M675" s="5">
        <f t="shared" si="120"/>
        <v>0</v>
      </c>
      <c r="N675" s="5">
        <f t="shared" si="120"/>
        <v>0</v>
      </c>
      <c r="O675" s="5">
        <f t="shared" si="120"/>
        <v>0</v>
      </c>
      <c r="P675" s="5">
        <f t="shared" si="120"/>
        <v>1</v>
      </c>
    </row>
    <row r="676" spans="1:16" x14ac:dyDescent="0.25">
      <c r="A676" s="5" t="str">
        <f t="shared" si="118"/>
        <v>Hải Phòng</v>
      </c>
      <c r="B676" s="5">
        <f t="shared" si="118"/>
        <v>2024</v>
      </c>
      <c r="C676" s="9">
        <f t="shared" si="106"/>
        <v>0.81584200202289958</v>
      </c>
      <c r="D676" s="9">
        <f t="shared" si="107"/>
        <v>2.3267205080047781</v>
      </c>
      <c r="E676" s="9">
        <f t="shared" si="108"/>
        <v>0.94218160900573911</v>
      </c>
      <c r="F676" s="9">
        <f t="shared" si="109"/>
        <v>0.77492346449587801</v>
      </c>
      <c r="G676" s="9">
        <f t="shared" si="110"/>
        <v>1.6647061876176845</v>
      </c>
      <c r="H676" s="9">
        <f t="shared" si="111"/>
        <v>1.9479229208805975</v>
      </c>
      <c r="I676" s="9">
        <f t="shared" si="112"/>
        <v>0.40885030980572595</v>
      </c>
      <c r="J676" s="9">
        <f t="shared" si="113"/>
        <v>1.4337425001129069</v>
      </c>
      <c r="K676" s="9">
        <f t="shared" si="114"/>
        <v>0.44300559912787324</v>
      </c>
      <c r="L676" s="5">
        <f t="shared" si="120"/>
        <v>0</v>
      </c>
      <c r="M676" s="5">
        <f t="shared" si="120"/>
        <v>0</v>
      </c>
      <c r="N676" s="5">
        <f t="shared" si="120"/>
        <v>0</v>
      </c>
      <c r="O676" s="5">
        <f t="shared" si="120"/>
        <v>0</v>
      </c>
      <c r="P676" s="5">
        <f t="shared" si="120"/>
        <v>1</v>
      </c>
    </row>
    <row r="677" spans="1:16" x14ac:dyDescent="0.25">
      <c r="A677" s="5" t="str">
        <f t="shared" si="118"/>
        <v>Hậu Giang</v>
      </c>
      <c r="B677" s="5">
        <f t="shared" si="118"/>
        <v>2024</v>
      </c>
      <c r="C677" s="9">
        <f t="shared" si="106"/>
        <v>-0.40408325453701399</v>
      </c>
      <c r="D677" s="9">
        <f t="shared" si="107"/>
        <v>0.40461358473450759</v>
      </c>
      <c r="E677" s="9">
        <f t="shared" si="108"/>
        <v>-0.38479330082087765</v>
      </c>
      <c r="F677" s="9">
        <f t="shared" si="109"/>
        <v>-0.22288208177692248</v>
      </c>
      <c r="G677" s="9">
        <f t="shared" si="110"/>
        <v>-1.1172123530411264</v>
      </c>
      <c r="H677" s="9">
        <f t="shared" si="111"/>
        <v>-1.108261491816205</v>
      </c>
      <c r="I677" s="9">
        <f t="shared" si="112"/>
        <v>-0.51632906453880889</v>
      </c>
      <c r="J677" s="9">
        <f t="shared" si="113"/>
        <v>-0.31712124904259598</v>
      </c>
      <c r="K677" s="9">
        <f t="shared" si="114"/>
        <v>-0.12590862824965623</v>
      </c>
      <c r="L677" s="5">
        <f t="shared" si="120"/>
        <v>0</v>
      </c>
      <c r="M677" s="5">
        <f t="shared" si="120"/>
        <v>0</v>
      </c>
      <c r="N677" s="5">
        <f t="shared" si="120"/>
        <v>0</v>
      </c>
      <c r="O677" s="5">
        <f t="shared" si="120"/>
        <v>0</v>
      </c>
      <c r="P677" s="5">
        <f t="shared" si="120"/>
        <v>1</v>
      </c>
    </row>
    <row r="678" spans="1:16" x14ac:dyDescent="0.25">
      <c r="A678" s="5" t="str">
        <f t="shared" si="118"/>
        <v>Khánh Hòa</v>
      </c>
      <c r="B678" s="5">
        <f t="shared" si="118"/>
        <v>2024</v>
      </c>
      <c r="C678" s="9">
        <f t="shared" si="106"/>
        <v>0.30772866237235447</v>
      </c>
      <c r="D678" s="9">
        <f t="shared" si="107"/>
        <v>0.74225840807423882</v>
      </c>
      <c r="E678" s="9">
        <f t="shared" si="108"/>
        <v>0.64449289975815383</v>
      </c>
      <c r="F678" s="9">
        <f t="shared" si="109"/>
        <v>0.58854520756109518</v>
      </c>
      <c r="G678" s="9">
        <f t="shared" si="110"/>
        <v>0.29120665708320881</v>
      </c>
      <c r="H678" s="9">
        <f t="shared" si="111"/>
        <v>0.84193499884212086</v>
      </c>
      <c r="I678" s="9">
        <f t="shared" si="112"/>
        <v>0.32645584632078056</v>
      </c>
      <c r="J678" s="9">
        <f t="shared" si="113"/>
        <v>0.46383005878753891</v>
      </c>
      <c r="K678" s="9">
        <f t="shared" si="114"/>
        <v>0.25336752333536317</v>
      </c>
      <c r="L678" s="5">
        <f t="shared" si="120"/>
        <v>0</v>
      </c>
      <c r="M678" s="5">
        <f t="shared" si="120"/>
        <v>0</v>
      </c>
      <c r="N678" s="5">
        <f t="shared" si="120"/>
        <v>0</v>
      </c>
      <c r="O678" s="5">
        <f t="shared" si="120"/>
        <v>0</v>
      </c>
      <c r="P678" s="5">
        <f t="shared" si="120"/>
        <v>1</v>
      </c>
    </row>
    <row r="679" spans="1:16" x14ac:dyDescent="0.25">
      <c r="A679" s="5" t="str">
        <f t="shared" si="118"/>
        <v>Kiên Giang</v>
      </c>
      <c r="B679" s="5">
        <f t="shared" si="118"/>
        <v>2024</v>
      </c>
      <c r="C679" s="9">
        <f t="shared" si="106"/>
        <v>-0.22967419483544785</v>
      </c>
      <c r="D679" s="9">
        <f t="shared" si="107"/>
        <v>0.15738929842324406</v>
      </c>
      <c r="E679" s="9">
        <f t="shared" si="108"/>
        <v>-0.19257842973351746</v>
      </c>
      <c r="F679" s="9">
        <f t="shared" si="109"/>
        <v>-0.12401068937859248</v>
      </c>
      <c r="G679" s="9">
        <f t="shared" si="110"/>
        <v>-0.73309807755267142</v>
      </c>
      <c r="H679" s="9">
        <f t="shared" si="111"/>
        <v>-1.8317922035329377</v>
      </c>
      <c r="I679" s="9">
        <f t="shared" si="112"/>
        <v>2.8010017734667514</v>
      </c>
      <c r="J679" s="9">
        <f t="shared" si="113"/>
        <v>0.30351447619512351</v>
      </c>
      <c r="K679" s="9">
        <f t="shared" si="114"/>
        <v>-0.30439152311319501</v>
      </c>
      <c r="L679" s="5">
        <f t="shared" si="120"/>
        <v>0</v>
      </c>
      <c r="M679" s="5">
        <f t="shared" si="120"/>
        <v>0</v>
      </c>
      <c r="N679" s="5">
        <f t="shared" si="120"/>
        <v>0</v>
      </c>
      <c r="O679" s="5">
        <f t="shared" si="120"/>
        <v>0</v>
      </c>
      <c r="P679" s="5">
        <f t="shared" si="120"/>
        <v>1</v>
      </c>
    </row>
    <row r="680" spans="1:16" x14ac:dyDescent="0.25">
      <c r="A680" s="5" t="str">
        <f t="shared" si="118"/>
        <v>Kon Tum</v>
      </c>
      <c r="B680" s="5">
        <f t="shared" si="118"/>
        <v>2024</v>
      </c>
      <c r="C680" s="9">
        <f t="shared" si="106"/>
        <v>-0.60348767178660367</v>
      </c>
      <c r="D680" s="9">
        <f t="shared" si="107"/>
        <v>-0.26244515442279537</v>
      </c>
      <c r="E680" s="9">
        <f t="shared" si="108"/>
        <v>-0.46114984389053876</v>
      </c>
      <c r="F680" s="9">
        <f t="shared" si="109"/>
        <v>1.9182361681057462E-2</v>
      </c>
      <c r="G680" s="9">
        <f t="shared" si="110"/>
        <v>-0.58178033266327989</v>
      </c>
      <c r="H680" s="9">
        <f t="shared" si="111"/>
        <v>0.42355881790294592</v>
      </c>
      <c r="I680" s="9">
        <f t="shared" si="112"/>
        <v>-0.39902552059813501</v>
      </c>
      <c r="J680" s="9">
        <f t="shared" si="113"/>
        <v>-0.94816850261307617</v>
      </c>
      <c r="K680" s="9">
        <f t="shared" si="114"/>
        <v>-4.782236174685818E-2</v>
      </c>
      <c r="L680" s="5">
        <f t="shared" si="120"/>
        <v>0</v>
      </c>
      <c r="M680" s="5">
        <f t="shared" si="120"/>
        <v>0</v>
      </c>
      <c r="N680" s="5">
        <f t="shared" si="120"/>
        <v>0</v>
      </c>
      <c r="O680" s="5">
        <f t="shared" si="120"/>
        <v>0</v>
      </c>
      <c r="P680" s="5">
        <f t="shared" si="120"/>
        <v>1</v>
      </c>
    </row>
    <row r="681" spans="1:16" x14ac:dyDescent="0.25">
      <c r="A681" s="5" t="str">
        <f t="shared" si="118"/>
        <v>Long An</v>
      </c>
      <c r="B681" s="5">
        <f t="shared" si="118"/>
        <v>2024</v>
      </c>
      <c r="C681" s="9">
        <f t="shared" si="106"/>
        <v>0.12959876248870567</v>
      </c>
      <c r="D681" s="9">
        <f t="shared" si="107"/>
        <v>0.72435875331057908</v>
      </c>
      <c r="E681" s="9">
        <f t="shared" si="108"/>
        <v>0.37856851242754763</v>
      </c>
      <c r="F681" s="9">
        <f t="shared" si="109"/>
        <v>-0.76269715521607984</v>
      </c>
      <c r="G681" s="9">
        <f t="shared" si="110"/>
        <v>-0.75637773061257774</v>
      </c>
      <c r="H681" s="9">
        <f t="shared" si="111"/>
        <v>-0.77571272459947949</v>
      </c>
      <c r="I681" s="9">
        <f t="shared" si="112"/>
        <v>-0.70075684457465259</v>
      </c>
      <c r="J681" s="9">
        <f t="shared" si="113"/>
        <v>1.0166815987702662</v>
      </c>
      <c r="K681" s="9">
        <f t="shared" si="114"/>
        <v>-0.3490122468290795</v>
      </c>
      <c r="L681" s="5">
        <f t="shared" si="120"/>
        <v>0</v>
      </c>
      <c r="M681" s="5">
        <f t="shared" si="120"/>
        <v>0</v>
      </c>
      <c r="N681" s="5">
        <f t="shared" si="120"/>
        <v>0</v>
      </c>
      <c r="O681" s="5">
        <f t="shared" si="120"/>
        <v>0</v>
      </c>
      <c r="P681" s="5">
        <f t="shared" si="120"/>
        <v>1</v>
      </c>
    </row>
    <row r="682" spans="1:16" x14ac:dyDescent="0.25">
      <c r="A682" s="5" t="str">
        <f t="shared" ref="A682:B701" si="121">A306</f>
        <v>Lào Cai</v>
      </c>
      <c r="B682" s="5">
        <f t="shared" si="121"/>
        <v>2024</v>
      </c>
      <c r="C682" s="9">
        <f t="shared" si="106"/>
        <v>-3.2115716666776205E-3</v>
      </c>
      <c r="D682" s="9">
        <f t="shared" si="107"/>
        <v>0.47568000619908407</v>
      </c>
      <c r="E682" s="9">
        <f t="shared" si="108"/>
        <v>-0.23004404019969787</v>
      </c>
      <c r="F682" s="9">
        <f t="shared" si="109"/>
        <v>-0.27800004190702587</v>
      </c>
      <c r="G682" s="9">
        <f t="shared" si="110"/>
        <v>3.5130473424238876E-2</v>
      </c>
      <c r="H682" s="9">
        <f t="shared" si="111"/>
        <v>4.5090522806865707E-2</v>
      </c>
      <c r="I682" s="9">
        <f t="shared" si="112"/>
        <v>-0.15363159299826012</v>
      </c>
      <c r="J682" s="9">
        <f t="shared" si="113"/>
        <v>-0.47948646958613589</v>
      </c>
      <c r="K682" s="9">
        <f t="shared" si="114"/>
        <v>-0.89561611234866656</v>
      </c>
      <c r="L682" s="5">
        <f t="shared" ref="L682:P691" si="122">L306</f>
        <v>0</v>
      </c>
      <c r="M682" s="5">
        <f t="shared" si="122"/>
        <v>0</v>
      </c>
      <c r="N682" s="5">
        <f t="shared" si="122"/>
        <v>0</v>
      </c>
      <c r="O682" s="5">
        <f t="shared" si="122"/>
        <v>0</v>
      </c>
      <c r="P682" s="5">
        <f t="shared" si="122"/>
        <v>1</v>
      </c>
    </row>
    <row r="683" spans="1:16" x14ac:dyDescent="0.25">
      <c r="A683" s="5" t="str">
        <f t="shared" si="121"/>
        <v>Lâm Đồng</v>
      </c>
      <c r="B683" s="5">
        <f t="shared" si="121"/>
        <v>2024</v>
      </c>
      <c r="C683" s="9">
        <f t="shared" si="106"/>
        <v>0.36238091494803765</v>
      </c>
      <c r="D683" s="9">
        <f t="shared" si="107"/>
        <v>0.64205967481040149</v>
      </c>
      <c r="E683" s="9">
        <f t="shared" si="108"/>
        <v>2.5088622377063073E-2</v>
      </c>
      <c r="F683" s="9">
        <f t="shared" si="109"/>
        <v>0.43341940224647396</v>
      </c>
      <c r="G683" s="9">
        <f t="shared" si="110"/>
        <v>-8.1267791875292955E-2</v>
      </c>
      <c r="H683" s="9">
        <f t="shared" si="111"/>
        <v>0.73899591071802784</v>
      </c>
      <c r="I683" s="9">
        <f t="shared" si="112"/>
        <v>-0.71294631791132912</v>
      </c>
      <c r="J683" s="9">
        <f t="shared" si="113"/>
        <v>-0.94494276642471131</v>
      </c>
      <c r="K683" s="9">
        <f t="shared" si="114"/>
        <v>0.88921283628671977</v>
      </c>
      <c r="L683" s="5">
        <f t="shared" si="122"/>
        <v>0</v>
      </c>
      <c r="M683" s="5">
        <f t="shared" si="122"/>
        <v>0</v>
      </c>
      <c r="N683" s="5">
        <f t="shared" si="122"/>
        <v>0</v>
      </c>
      <c r="O683" s="5">
        <f t="shared" si="122"/>
        <v>0</v>
      </c>
      <c r="P683" s="5">
        <f t="shared" si="122"/>
        <v>1</v>
      </c>
    </row>
    <row r="684" spans="1:16" x14ac:dyDescent="0.25">
      <c r="A684" s="5" t="str">
        <f t="shared" si="121"/>
        <v>Lạng Sơn</v>
      </c>
      <c r="B684" s="5">
        <f t="shared" si="121"/>
        <v>2024</v>
      </c>
      <c r="C684" s="9">
        <f t="shared" si="106"/>
        <v>-0.60348767178660367</v>
      </c>
      <c r="D684" s="9">
        <f t="shared" si="107"/>
        <v>-0.45195730478478474</v>
      </c>
      <c r="E684" s="9">
        <f t="shared" si="108"/>
        <v>-0.4949503402893754</v>
      </c>
      <c r="F684" s="9">
        <f t="shared" si="109"/>
        <v>-0.47801573227606098</v>
      </c>
      <c r="G684" s="9">
        <f t="shared" si="110"/>
        <v>0.61712179992189808</v>
      </c>
      <c r="H684" s="9">
        <f t="shared" si="111"/>
        <v>-5.5402989276404642E-2</v>
      </c>
      <c r="I684" s="9">
        <f t="shared" si="112"/>
        <v>-0.27685739144664517</v>
      </c>
      <c r="J684" s="9">
        <f t="shared" si="113"/>
        <v>-0.65545955084188867</v>
      </c>
      <c r="K684" s="9">
        <f t="shared" si="114"/>
        <v>-1.1187197309280899</v>
      </c>
      <c r="L684" s="5">
        <f t="shared" si="122"/>
        <v>0</v>
      </c>
      <c r="M684" s="5">
        <f t="shared" si="122"/>
        <v>0</v>
      </c>
      <c r="N684" s="5">
        <f t="shared" si="122"/>
        <v>0</v>
      </c>
      <c r="O684" s="5">
        <f t="shared" si="122"/>
        <v>0</v>
      </c>
      <c r="P684" s="5">
        <f t="shared" si="122"/>
        <v>1</v>
      </c>
    </row>
    <row r="685" spans="1:16" x14ac:dyDescent="0.25">
      <c r="A685" s="5" t="str">
        <f t="shared" si="121"/>
        <v>Nam Định</v>
      </c>
      <c r="B685" s="5">
        <f t="shared" si="121"/>
        <v>2024</v>
      </c>
      <c r="C685" s="9">
        <f t="shared" si="106"/>
        <v>0.36238091494803765</v>
      </c>
      <c r="D685" s="9">
        <f t="shared" si="107"/>
        <v>-0.59405624506378152</v>
      </c>
      <c r="E685" s="9">
        <f t="shared" si="108"/>
        <v>-0.39253076385193658</v>
      </c>
      <c r="F685" s="9">
        <f t="shared" si="109"/>
        <v>-0.65643881970752993</v>
      </c>
      <c r="G685" s="9">
        <f t="shared" si="110"/>
        <v>1.1850820364332592E-2</v>
      </c>
      <c r="H685" s="9">
        <f t="shared" si="111"/>
        <v>2.0179705263170828E-2</v>
      </c>
      <c r="I685" s="9">
        <f t="shared" si="112"/>
        <v>-0.13324069929436269</v>
      </c>
      <c r="J685" s="9">
        <f t="shared" si="113"/>
        <v>0.19223723869899217</v>
      </c>
      <c r="K685" s="9">
        <f t="shared" si="114"/>
        <v>-0.8175298458458683</v>
      </c>
      <c r="L685" s="5">
        <f t="shared" si="122"/>
        <v>0</v>
      </c>
      <c r="M685" s="5">
        <f t="shared" si="122"/>
        <v>0</v>
      </c>
      <c r="N685" s="5">
        <f t="shared" si="122"/>
        <v>0</v>
      </c>
      <c r="O685" s="5">
        <f t="shared" si="122"/>
        <v>0</v>
      </c>
      <c r="P685" s="5">
        <f t="shared" si="122"/>
        <v>1</v>
      </c>
    </row>
    <row r="686" spans="1:16" x14ac:dyDescent="0.25">
      <c r="A686" s="5" t="str">
        <f t="shared" si="121"/>
        <v>Nghệ An</v>
      </c>
      <c r="B686" s="5">
        <f t="shared" si="121"/>
        <v>2024</v>
      </c>
      <c r="C686" s="9">
        <f t="shared" si="106"/>
        <v>0.12959876248870567</v>
      </c>
      <c r="D686" s="9">
        <f t="shared" si="107"/>
        <v>-0.51616935618128734</v>
      </c>
      <c r="E686" s="9">
        <f t="shared" si="108"/>
        <v>-0.35486153593757047</v>
      </c>
      <c r="F686" s="9">
        <f t="shared" si="109"/>
        <v>-0.92691458282020256</v>
      </c>
      <c r="G686" s="9">
        <f t="shared" si="110"/>
        <v>0.32612613667306845</v>
      </c>
      <c r="H686" s="9">
        <f t="shared" si="111"/>
        <v>1.676937490729637</v>
      </c>
      <c r="I686" s="9">
        <f t="shared" si="112"/>
        <v>1.780864218131806</v>
      </c>
      <c r="J686" s="9">
        <f t="shared" si="113"/>
        <v>-3.2557140809255501E-2</v>
      </c>
      <c r="K686" s="9">
        <f t="shared" si="114"/>
        <v>-0.48287441797673342</v>
      </c>
      <c r="L686" s="5">
        <f t="shared" si="122"/>
        <v>0</v>
      </c>
      <c r="M686" s="5">
        <f t="shared" si="122"/>
        <v>0</v>
      </c>
      <c r="N686" s="5">
        <f t="shared" si="122"/>
        <v>0</v>
      </c>
      <c r="O686" s="5">
        <f t="shared" si="122"/>
        <v>0</v>
      </c>
      <c r="P686" s="5">
        <f t="shared" si="122"/>
        <v>1</v>
      </c>
    </row>
    <row r="687" spans="1:16" x14ac:dyDescent="0.25">
      <c r="A687" s="5" t="str">
        <f t="shared" si="121"/>
        <v>Ninh Bình</v>
      </c>
      <c r="B687" s="5">
        <f t="shared" si="121"/>
        <v>2024</v>
      </c>
      <c r="C687" s="9">
        <f t="shared" si="106"/>
        <v>0.25084509815859529</v>
      </c>
      <c r="D687" s="9">
        <f t="shared" si="107"/>
        <v>0.43533702104263067</v>
      </c>
      <c r="E687" s="9">
        <f t="shared" si="108"/>
        <v>-3.9458108697823804E-2</v>
      </c>
      <c r="F687" s="9">
        <f t="shared" si="109"/>
        <v>-0.58086470942604795</v>
      </c>
      <c r="G687" s="9">
        <f t="shared" si="110"/>
        <v>1.1874732998896038</v>
      </c>
      <c r="H687" s="9">
        <f t="shared" si="111"/>
        <v>1.849276416313576</v>
      </c>
      <c r="I687" s="9">
        <f t="shared" si="112"/>
        <v>1.664089243653138</v>
      </c>
      <c r="J687" s="9">
        <f t="shared" si="113"/>
        <v>3.0341904296452778E-2</v>
      </c>
      <c r="K687" s="9">
        <f t="shared" si="114"/>
        <v>0.43185041819890191</v>
      </c>
      <c r="L687" s="5">
        <f t="shared" si="122"/>
        <v>0</v>
      </c>
      <c r="M687" s="5">
        <f t="shared" si="122"/>
        <v>0</v>
      </c>
      <c r="N687" s="5">
        <f t="shared" si="122"/>
        <v>0</v>
      </c>
      <c r="O687" s="5">
        <f t="shared" si="122"/>
        <v>0</v>
      </c>
      <c r="P687" s="5">
        <f t="shared" si="122"/>
        <v>1</v>
      </c>
    </row>
    <row r="688" spans="1:16" x14ac:dyDescent="0.25">
      <c r="A688" s="5" t="str">
        <f t="shared" si="121"/>
        <v>Ninh Thuận</v>
      </c>
      <c r="B688" s="5">
        <f t="shared" si="121"/>
        <v>2024</v>
      </c>
      <c r="C688" s="9">
        <f t="shared" si="106"/>
        <v>-0.22967419483544785</v>
      </c>
      <c r="D688" s="9">
        <f t="shared" si="107"/>
        <v>0.51779091260912657</v>
      </c>
      <c r="E688" s="9">
        <f t="shared" si="108"/>
        <v>-0.12701361141770179</v>
      </c>
      <c r="F688" s="9">
        <f t="shared" si="109"/>
        <v>0.23567661744981439</v>
      </c>
      <c r="G688" s="9">
        <f t="shared" si="110"/>
        <v>-0.59342015919323288</v>
      </c>
      <c r="H688" s="9">
        <f t="shared" si="111"/>
        <v>0.42473965977926903</v>
      </c>
      <c r="I688" s="9">
        <f t="shared" si="112"/>
        <v>-1.7266396034320189E-2</v>
      </c>
      <c r="J688" s="9">
        <f t="shared" si="113"/>
        <v>0.60823908694055007</v>
      </c>
      <c r="K688" s="9">
        <f t="shared" si="114"/>
        <v>-0.87330575049072412</v>
      </c>
      <c r="L688" s="5">
        <f t="shared" si="122"/>
        <v>0</v>
      </c>
      <c r="M688" s="5">
        <f t="shared" si="122"/>
        <v>0</v>
      </c>
      <c r="N688" s="5">
        <f t="shared" si="122"/>
        <v>0</v>
      </c>
      <c r="O688" s="5">
        <f t="shared" si="122"/>
        <v>0</v>
      </c>
      <c r="P688" s="5">
        <f t="shared" si="122"/>
        <v>1</v>
      </c>
    </row>
    <row r="689" spans="1:16" x14ac:dyDescent="0.25">
      <c r="A689" s="5" t="str">
        <f t="shared" si="121"/>
        <v>Phú Thọ</v>
      </c>
      <c r="B689" s="5">
        <f t="shared" si="121"/>
        <v>2024</v>
      </c>
      <c r="C689" s="9">
        <f t="shared" si="106"/>
        <v>6.4775268984988393E-2</v>
      </c>
      <c r="D689" s="9">
        <f t="shared" si="107"/>
        <v>-8.4042118629529705E-2</v>
      </c>
      <c r="E689" s="9">
        <f t="shared" si="108"/>
        <v>-0.29194374444816967</v>
      </c>
      <c r="F689" s="9">
        <f t="shared" si="109"/>
        <v>-0.71098855344453948</v>
      </c>
      <c r="G689" s="9">
        <f t="shared" si="110"/>
        <v>1.3387910447789957</v>
      </c>
      <c r="H689" s="9">
        <f t="shared" si="111"/>
        <v>0.8814313921782464</v>
      </c>
      <c r="I689" s="9">
        <f t="shared" si="112"/>
        <v>-7.7599862119947682E-2</v>
      </c>
      <c r="J689" s="9">
        <f t="shared" si="113"/>
        <v>0.19656745764425629</v>
      </c>
      <c r="K689" s="9">
        <f t="shared" si="114"/>
        <v>0.79997138885495034</v>
      </c>
      <c r="L689" s="5">
        <f t="shared" si="122"/>
        <v>0</v>
      </c>
      <c r="M689" s="5">
        <f t="shared" si="122"/>
        <v>0</v>
      </c>
      <c r="N689" s="5">
        <f t="shared" si="122"/>
        <v>0</v>
      </c>
      <c r="O689" s="5">
        <f t="shared" si="122"/>
        <v>0</v>
      </c>
      <c r="P689" s="5">
        <f t="shared" si="122"/>
        <v>1</v>
      </c>
    </row>
    <row r="690" spans="1:16" x14ac:dyDescent="0.25">
      <c r="A690" s="5" t="str">
        <f t="shared" si="121"/>
        <v>Phú Yên</v>
      </c>
      <c r="B690" s="5">
        <f t="shared" si="121"/>
        <v>2024</v>
      </c>
      <c r="C690" s="9">
        <f t="shared" si="106"/>
        <v>-0.31415180570570972</v>
      </c>
      <c r="D690" s="9">
        <f t="shared" si="107"/>
        <v>-0.24533907151902154</v>
      </c>
      <c r="E690" s="9">
        <f t="shared" si="108"/>
        <v>-0.39436332088560844</v>
      </c>
      <c r="F690" s="9">
        <f t="shared" si="109"/>
        <v>5.4980624445970148E-2</v>
      </c>
      <c r="G690" s="9">
        <f t="shared" si="110"/>
        <v>2.3490646894285528E-2</v>
      </c>
      <c r="H690" s="9">
        <f t="shared" si="111"/>
        <v>0.27323377467588428</v>
      </c>
      <c r="I690" s="9">
        <f t="shared" si="112"/>
        <v>-0.70369423114351115</v>
      </c>
      <c r="J690" s="9">
        <f t="shared" si="113"/>
        <v>0.12265160505050317</v>
      </c>
      <c r="K690" s="9">
        <f t="shared" si="114"/>
        <v>-0.25977079939731013</v>
      </c>
      <c r="L690" s="5">
        <f t="shared" si="122"/>
        <v>0</v>
      </c>
      <c r="M690" s="5">
        <f t="shared" si="122"/>
        <v>0</v>
      </c>
      <c r="N690" s="5">
        <f t="shared" si="122"/>
        <v>0</v>
      </c>
      <c r="O690" s="5">
        <f t="shared" si="122"/>
        <v>0</v>
      </c>
      <c r="P690" s="5">
        <f t="shared" si="122"/>
        <v>1</v>
      </c>
    </row>
    <row r="691" spans="1:16" x14ac:dyDescent="0.25">
      <c r="A691" s="5" t="str">
        <f t="shared" si="121"/>
        <v>Quảng Bình</v>
      </c>
      <c r="B691" s="5">
        <f t="shared" si="121"/>
        <v>2024</v>
      </c>
      <c r="C691" s="9">
        <f t="shared" si="106"/>
        <v>-0.22967419483544785</v>
      </c>
      <c r="D691" s="9">
        <f t="shared" si="107"/>
        <v>-0.36781241171734075</v>
      </c>
      <c r="E691" s="9">
        <f t="shared" si="108"/>
        <v>-5.2693242829898297E-2</v>
      </c>
      <c r="F691" s="9">
        <f t="shared" si="109"/>
        <v>-0.48483444899318723</v>
      </c>
      <c r="G691" s="9">
        <f t="shared" si="110"/>
        <v>0.54728284074217881</v>
      </c>
      <c r="H691" s="9">
        <f t="shared" si="111"/>
        <v>1.2915327992446248</v>
      </c>
      <c r="I691" s="9">
        <f t="shared" si="112"/>
        <v>-0.28458943848339463</v>
      </c>
      <c r="J691" s="9">
        <f t="shared" si="113"/>
        <v>-0.23242867463133299</v>
      </c>
      <c r="K691" s="9">
        <f t="shared" si="114"/>
        <v>-0.75059876027204131</v>
      </c>
      <c r="L691" s="5">
        <f t="shared" si="122"/>
        <v>0</v>
      </c>
      <c r="M691" s="5">
        <f t="shared" si="122"/>
        <v>0</v>
      </c>
      <c r="N691" s="5">
        <f t="shared" si="122"/>
        <v>0</v>
      </c>
      <c r="O691" s="5">
        <f t="shared" si="122"/>
        <v>0</v>
      </c>
      <c r="P691" s="5">
        <f t="shared" si="122"/>
        <v>1</v>
      </c>
    </row>
    <row r="692" spans="1:16" x14ac:dyDescent="0.25">
      <c r="A692" s="5" t="str">
        <f t="shared" si="121"/>
        <v>Quảng Nam</v>
      </c>
      <c r="B692" s="5">
        <f t="shared" si="121"/>
        <v>2024</v>
      </c>
      <c r="C692" s="9">
        <f t="shared" si="106"/>
        <v>-3.2115716666776205E-3</v>
      </c>
      <c r="D692" s="9">
        <f t="shared" si="107"/>
        <v>0.21402318760903924</v>
      </c>
      <c r="E692" s="9">
        <f t="shared" si="108"/>
        <v>-8.2014155368648187E-2</v>
      </c>
      <c r="F692" s="9">
        <f t="shared" si="109"/>
        <v>-7.2870314000146069E-2</v>
      </c>
      <c r="G692" s="9">
        <f t="shared" si="110"/>
        <v>0.55892266727213213</v>
      </c>
      <c r="H692" s="9">
        <f t="shared" si="111"/>
        <v>0.36245494757811564</v>
      </c>
      <c r="I692" s="9">
        <f t="shared" si="112"/>
        <v>-0.9107609196359705</v>
      </c>
      <c r="J692" s="9">
        <f t="shared" si="113"/>
        <v>0.5810658499393031</v>
      </c>
      <c r="K692" s="9">
        <f t="shared" si="114"/>
        <v>-0.46056405611879114</v>
      </c>
      <c r="L692" s="5">
        <f t="shared" ref="L692:P701" si="123">L316</f>
        <v>0</v>
      </c>
      <c r="M692" s="5">
        <f t="shared" si="123"/>
        <v>0</v>
      </c>
      <c r="N692" s="5">
        <f t="shared" si="123"/>
        <v>0</v>
      </c>
      <c r="O692" s="5">
        <f t="shared" si="123"/>
        <v>0</v>
      </c>
      <c r="P692" s="5">
        <f t="shared" si="123"/>
        <v>1</v>
      </c>
    </row>
    <row r="693" spans="1:16" x14ac:dyDescent="0.25">
      <c r="A693" s="5" t="str">
        <f t="shared" si="121"/>
        <v>Quảng Ngãi</v>
      </c>
      <c r="B693" s="5">
        <f t="shared" si="121"/>
        <v>2024</v>
      </c>
      <c r="C693" s="9">
        <f t="shared" si="106"/>
        <v>-0.22967419483544785</v>
      </c>
      <c r="D693" s="9">
        <f t="shared" si="107"/>
        <v>0.74225840807423882</v>
      </c>
      <c r="E693" s="9">
        <f t="shared" si="108"/>
        <v>-0.28054116734976697</v>
      </c>
      <c r="F693" s="9">
        <f t="shared" si="109"/>
        <v>-0.55302161616444923</v>
      </c>
      <c r="G693" s="9">
        <f t="shared" si="110"/>
        <v>0.43088457544264697</v>
      </c>
      <c r="H693" s="9">
        <f t="shared" si="111"/>
        <v>0.26858978633317937</v>
      </c>
      <c r="I693" s="9">
        <f t="shared" si="112"/>
        <v>-0.42887373028083509</v>
      </c>
      <c r="J693" s="9">
        <f t="shared" si="113"/>
        <v>7.4103088801657363E-2</v>
      </c>
      <c r="K693" s="9">
        <f t="shared" si="114"/>
        <v>-2.5511999888915934E-2</v>
      </c>
      <c r="L693" s="5">
        <f t="shared" si="123"/>
        <v>0</v>
      </c>
      <c r="M693" s="5">
        <f t="shared" si="123"/>
        <v>0</v>
      </c>
      <c r="N693" s="5">
        <f t="shared" si="123"/>
        <v>0</v>
      </c>
      <c r="O693" s="5">
        <f t="shared" si="123"/>
        <v>0</v>
      </c>
      <c r="P693" s="5">
        <f t="shared" si="123"/>
        <v>1</v>
      </c>
    </row>
    <row r="694" spans="1:16" x14ac:dyDescent="0.25">
      <c r="A694" s="5" t="str">
        <f t="shared" si="121"/>
        <v>Quảng Ninh</v>
      </c>
      <c r="B694" s="5">
        <f t="shared" si="121"/>
        <v>2024</v>
      </c>
      <c r="C694" s="9">
        <f t="shared" si="106"/>
        <v>0.36238091494803765</v>
      </c>
      <c r="D694" s="9">
        <f t="shared" si="107"/>
        <v>2.6217299131372527</v>
      </c>
      <c r="E694" s="9">
        <f t="shared" si="108"/>
        <v>0.37368169367108933</v>
      </c>
      <c r="F694" s="9">
        <f t="shared" si="109"/>
        <v>2.1199153369490209</v>
      </c>
      <c r="G694" s="9">
        <f t="shared" si="110"/>
        <v>2.1768585549356243</v>
      </c>
      <c r="H694" s="9">
        <f t="shared" si="111"/>
        <v>1.9610779110064682</v>
      </c>
      <c r="I694" s="9">
        <f t="shared" si="112"/>
        <v>0.83279191426141652</v>
      </c>
      <c r="J694" s="9">
        <f t="shared" si="113"/>
        <v>1.2507518697772948</v>
      </c>
      <c r="K694" s="9">
        <f t="shared" si="114"/>
        <v>-1.7210995010925327</v>
      </c>
      <c r="L694" s="5">
        <f t="shared" si="123"/>
        <v>0</v>
      </c>
      <c r="M694" s="5">
        <f t="shared" si="123"/>
        <v>0</v>
      </c>
      <c r="N694" s="5">
        <f t="shared" si="123"/>
        <v>0</v>
      </c>
      <c r="O694" s="5">
        <f t="shared" si="123"/>
        <v>0</v>
      </c>
      <c r="P694" s="5">
        <f t="shared" si="123"/>
        <v>1</v>
      </c>
    </row>
    <row r="695" spans="1:16" x14ac:dyDescent="0.25">
      <c r="A695" s="5" t="str">
        <f t="shared" si="121"/>
        <v>Quảng Trị</v>
      </c>
      <c r="B695" s="5">
        <f t="shared" si="121"/>
        <v>2024</v>
      </c>
      <c r="C695" s="9">
        <f t="shared" si="106"/>
        <v>-0.22967419483544785</v>
      </c>
      <c r="D695" s="9">
        <f t="shared" si="107"/>
        <v>3.6789262429533863E-2</v>
      </c>
      <c r="E695" s="9">
        <f t="shared" si="108"/>
        <v>-0.16468283933206787</v>
      </c>
      <c r="F695" s="9">
        <f t="shared" si="109"/>
        <v>4.1911417404811781E-2</v>
      </c>
      <c r="G695" s="9">
        <f t="shared" si="110"/>
        <v>0.73352006522142987</v>
      </c>
      <c r="H695" s="9">
        <f t="shared" si="111"/>
        <v>0.74778284248535698</v>
      </c>
      <c r="I695" s="9">
        <f t="shared" si="112"/>
        <v>3.9333069199152657</v>
      </c>
      <c r="J695" s="9">
        <f t="shared" si="113"/>
        <v>0.54951446465174847</v>
      </c>
      <c r="K695" s="9">
        <f t="shared" si="114"/>
        <v>0.2645227042643345</v>
      </c>
      <c r="L695" s="5">
        <f t="shared" si="123"/>
        <v>0</v>
      </c>
      <c r="M695" s="5">
        <f t="shared" si="123"/>
        <v>0</v>
      </c>
      <c r="N695" s="5">
        <f t="shared" si="123"/>
        <v>0</v>
      </c>
      <c r="O695" s="5">
        <f t="shared" si="123"/>
        <v>0</v>
      </c>
      <c r="P695" s="5">
        <f t="shared" si="123"/>
        <v>1</v>
      </c>
    </row>
    <row r="696" spans="1:16" x14ac:dyDescent="0.25">
      <c r="A696" s="5" t="str">
        <f t="shared" si="121"/>
        <v>Sóc Trăng</v>
      </c>
      <c r="B696" s="5">
        <f t="shared" si="121"/>
        <v>2024</v>
      </c>
      <c r="C696" s="9">
        <f t="shared" si="106"/>
        <v>-0.50022163487931659</v>
      </c>
      <c r="D696" s="9">
        <f t="shared" si="107"/>
        <v>-0.33569777115031407</v>
      </c>
      <c r="E696" s="9">
        <f t="shared" si="108"/>
        <v>-0.69612437909690916</v>
      </c>
      <c r="F696" s="9">
        <f t="shared" si="109"/>
        <v>0.11805375407938745</v>
      </c>
      <c r="G696" s="9">
        <f t="shared" si="110"/>
        <v>-1.2568902714005645</v>
      </c>
      <c r="H696" s="9">
        <f t="shared" si="111"/>
        <v>-0.4615471624198686</v>
      </c>
      <c r="I696" s="9">
        <f t="shared" si="112"/>
        <v>2.0679730416693181</v>
      </c>
      <c r="J696" s="9">
        <f t="shared" si="113"/>
        <v>-1.0029414047218452</v>
      </c>
      <c r="K696" s="9">
        <f t="shared" si="114"/>
        <v>-1.2972026257916285</v>
      </c>
      <c r="L696" s="5">
        <f t="shared" si="123"/>
        <v>0</v>
      </c>
      <c r="M696" s="5">
        <f t="shared" si="123"/>
        <v>0</v>
      </c>
      <c r="N696" s="5">
        <f t="shared" si="123"/>
        <v>0</v>
      </c>
      <c r="O696" s="5">
        <f t="shared" si="123"/>
        <v>0</v>
      </c>
      <c r="P696" s="5">
        <f t="shared" si="123"/>
        <v>1</v>
      </c>
    </row>
    <row r="697" spans="1:16" x14ac:dyDescent="0.25">
      <c r="A697" s="5" t="str">
        <f t="shared" si="121"/>
        <v>TP. Hồ Chí Minh</v>
      </c>
      <c r="B697" s="5">
        <f t="shared" si="121"/>
        <v>2024</v>
      </c>
      <c r="C697" s="9">
        <f t="shared" si="106"/>
        <v>2.0454105761022854</v>
      </c>
      <c r="D697" s="9">
        <f t="shared" si="107"/>
        <v>2.0707385457373606</v>
      </c>
      <c r="E697" s="9">
        <f t="shared" si="108"/>
        <v>4.5624998377486037</v>
      </c>
      <c r="F697" s="9">
        <f t="shared" si="109"/>
        <v>2.6029077710787933</v>
      </c>
      <c r="G697" s="9">
        <f t="shared" si="110"/>
        <v>1.6065070549679186</v>
      </c>
      <c r="H697" s="9">
        <f t="shared" si="111"/>
        <v>0.39901939176151685</v>
      </c>
      <c r="I697" s="9">
        <f t="shared" si="112"/>
        <v>1.6708060029721201</v>
      </c>
      <c r="J697" s="9">
        <f t="shared" si="113"/>
        <v>0.83758684486409285</v>
      </c>
      <c r="K697" s="9">
        <f t="shared" si="114"/>
        <v>2.0381964719707493</v>
      </c>
      <c r="L697" s="5">
        <f t="shared" si="123"/>
        <v>0</v>
      </c>
      <c r="M697" s="5">
        <f t="shared" si="123"/>
        <v>0</v>
      </c>
      <c r="N697" s="5">
        <f t="shared" si="123"/>
        <v>0</v>
      </c>
      <c r="O697" s="5">
        <f t="shared" si="123"/>
        <v>0</v>
      </c>
      <c r="P697" s="5">
        <f t="shared" si="123"/>
        <v>1</v>
      </c>
    </row>
    <row r="698" spans="1:16" x14ac:dyDescent="0.25">
      <c r="A698" s="5" t="str">
        <f t="shared" si="121"/>
        <v>Thanh Hóa</v>
      </c>
      <c r="B698" s="5">
        <f t="shared" si="121"/>
        <v>2024</v>
      </c>
      <c r="C698" s="9">
        <f t="shared" si="106"/>
        <v>0.19154024085910173</v>
      </c>
      <c r="D698" s="9">
        <f t="shared" si="107"/>
        <v>0.16311517860173455</v>
      </c>
      <c r="E698" s="9">
        <f t="shared" si="108"/>
        <v>-0.28461351631348231</v>
      </c>
      <c r="F698" s="9">
        <f t="shared" si="109"/>
        <v>-0.22288208177692248</v>
      </c>
      <c r="G698" s="9">
        <f t="shared" si="110"/>
        <v>0.48908370809241286</v>
      </c>
      <c r="H698" s="9">
        <f t="shared" si="111"/>
        <v>0.7129403330627887</v>
      </c>
      <c r="I698" s="9">
        <f t="shared" si="112"/>
        <v>-0.44760392767610513</v>
      </c>
      <c r="J698" s="9">
        <f t="shared" si="113"/>
        <v>0.57401354192438137</v>
      </c>
      <c r="K698" s="9">
        <f t="shared" si="114"/>
        <v>-0.8175298458458683</v>
      </c>
      <c r="L698" s="5">
        <f t="shared" si="123"/>
        <v>0</v>
      </c>
      <c r="M698" s="5">
        <f t="shared" si="123"/>
        <v>0</v>
      </c>
      <c r="N698" s="5">
        <f t="shared" si="123"/>
        <v>0</v>
      </c>
      <c r="O698" s="5">
        <f t="shared" si="123"/>
        <v>0</v>
      </c>
      <c r="P698" s="5">
        <f t="shared" si="123"/>
        <v>1</v>
      </c>
    </row>
    <row r="699" spans="1:16" x14ac:dyDescent="0.25">
      <c r="A699" s="5" t="str">
        <f t="shared" si="121"/>
        <v>Thái Bình</v>
      </c>
      <c r="B699" s="5">
        <f t="shared" si="121"/>
        <v>2024</v>
      </c>
      <c r="C699" s="9">
        <f t="shared" si="106"/>
        <v>0.12959876248870567</v>
      </c>
      <c r="D699" s="9">
        <f t="shared" si="107"/>
        <v>-0.22160007130305143</v>
      </c>
      <c r="E699" s="9">
        <f t="shared" si="108"/>
        <v>-0.44750747486209258</v>
      </c>
      <c r="F699" s="9">
        <f t="shared" si="109"/>
        <v>-1.1451135177682408</v>
      </c>
      <c r="G699" s="9">
        <f t="shared" si="110"/>
        <v>2.3490646894285528E-2</v>
      </c>
      <c r="H699" s="9">
        <f t="shared" si="111"/>
        <v>-0.28555388969801193</v>
      </c>
      <c r="I699" s="9">
        <f t="shared" si="112"/>
        <v>-0.34400348488347371</v>
      </c>
      <c r="J699" s="9">
        <f t="shared" si="113"/>
        <v>0.38808643869054088</v>
      </c>
      <c r="K699" s="9">
        <f t="shared" si="114"/>
        <v>-0.2039948947524543</v>
      </c>
      <c r="L699" s="5">
        <f t="shared" si="123"/>
        <v>0</v>
      </c>
      <c r="M699" s="5">
        <f t="shared" si="123"/>
        <v>0</v>
      </c>
      <c r="N699" s="5">
        <f t="shared" si="123"/>
        <v>0</v>
      </c>
      <c r="O699" s="5">
        <f t="shared" si="123"/>
        <v>0</v>
      </c>
      <c r="P699" s="5">
        <f t="shared" si="123"/>
        <v>1</v>
      </c>
    </row>
    <row r="700" spans="1:16" x14ac:dyDescent="0.25">
      <c r="A700" s="5" t="str">
        <f t="shared" si="121"/>
        <v>Thái Nguyên</v>
      </c>
      <c r="B700" s="5">
        <f t="shared" si="121"/>
        <v>2024</v>
      </c>
      <c r="C700" s="9">
        <f t="shared" si="106"/>
        <v>-3.2115716666776205E-3</v>
      </c>
      <c r="D700" s="9">
        <f t="shared" si="107"/>
        <v>0.95916154018652167</v>
      </c>
      <c r="E700" s="9">
        <f t="shared" si="108"/>
        <v>-0.28807501293264015</v>
      </c>
      <c r="F700" s="9">
        <f t="shared" si="109"/>
        <v>0.49421962630751592</v>
      </c>
      <c r="G700" s="9">
        <f t="shared" si="110"/>
        <v>1.6763460141476378</v>
      </c>
      <c r="H700" s="9">
        <f t="shared" si="111"/>
        <v>1.5084165323482766</v>
      </c>
      <c r="I700" s="9">
        <f t="shared" si="112"/>
        <v>-0.12475963410907061</v>
      </c>
      <c r="J700" s="9">
        <f t="shared" si="113"/>
        <v>1.0142465518667592</v>
      </c>
      <c r="K700" s="9">
        <f t="shared" si="114"/>
        <v>-0.49402959890570469</v>
      </c>
      <c r="L700" s="5">
        <f t="shared" si="123"/>
        <v>0</v>
      </c>
      <c r="M700" s="5">
        <f t="shared" si="123"/>
        <v>0</v>
      </c>
      <c r="N700" s="5">
        <f t="shared" si="123"/>
        <v>0</v>
      </c>
      <c r="O700" s="5">
        <f t="shared" si="123"/>
        <v>0</v>
      </c>
      <c r="P700" s="5">
        <f t="shared" si="123"/>
        <v>1</v>
      </c>
    </row>
    <row r="701" spans="1:16" x14ac:dyDescent="0.25">
      <c r="A701" s="5" t="str">
        <f t="shared" si="121"/>
        <v>Tiền Giang</v>
      </c>
      <c r="B701" s="5">
        <f t="shared" si="121"/>
        <v>2024</v>
      </c>
      <c r="C701" s="9">
        <f t="shared" si="106"/>
        <v>-0.22967419483544785</v>
      </c>
      <c r="D701" s="9">
        <f t="shared" si="107"/>
        <v>3.0743209145851328E-2</v>
      </c>
      <c r="E701" s="9">
        <f t="shared" si="108"/>
        <v>-0.5077782395250785</v>
      </c>
      <c r="F701" s="9">
        <f t="shared" si="109"/>
        <v>-0.86270500040059739</v>
      </c>
      <c r="G701" s="9">
        <f t="shared" si="110"/>
        <v>-0.97753443468168799</v>
      </c>
      <c r="H701" s="9">
        <f t="shared" si="111"/>
        <v>-1.7058882156637096</v>
      </c>
      <c r="I701" s="9">
        <f t="shared" si="112"/>
        <v>-0.35080615720033853</v>
      </c>
      <c r="J701" s="9">
        <f t="shared" si="113"/>
        <v>-1.877974318521906E-2</v>
      </c>
      <c r="K701" s="9">
        <f t="shared" si="114"/>
        <v>-0.3824777896159931</v>
      </c>
      <c r="L701" s="5">
        <f t="shared" si="123"/>
        <v>0</v>
      </c>
      <c r="M701" s="5">
        <f t="shared" si="123"/>
        <v>0</v>
      </c>
      <c r="N701" s="5">
        <f t="shared" si="123"/>
        <v>0</v>
      </c>
      <c r="O701" s="5">
        <f t="shared" si="123"/>
        <v>0</v>
      </c>
      <c r="P701" s="5">
        <f t="shared" si="123"/>
        <v>1</v>
      </c>
    </row>
    <row r="702" spans="1:16" x14ac:dyDescent="0.25">
      <c r="A702" s="5" t="str">
        <f t="shared" ref="A702:B721" si="124">A326</f>
        <v>Trà Vinh</v>
      </c>
      <c r="B702" s="5">
        <f t="shared" si="124"/>
        <v>2024</v>
      </c>
      <c r="C702" s="9">
        <f t="shared" ref="C702:C765" si="125">STANDARDIZE(C326,AVERAGE($C$6:$C$336),_xlfn.STDEV.S($C$6:$C$336))</f>
        <v>-0.50022163487931659</v>
      </c>
      <c r="D702" s="9">
        <f t="shared" ref="D702:D765" si="126">STANDARDIZE(D326,AVERAGE($D$6:$D$336),_xlfn.STDEV.S($D$6:$D$336))</f>
        <v>0.52514370580431058</v>
      </c>
      <c r="E702" s="9">
        <f t="shared" ref="E702:E765" si="127">STANDARDIZE(E326,AVERAGE($E$6:$E$336),_xlfn.STDEV.S($E$6:$E$336))</f>
        <v>-0.63829702381215236</v>
      </c>
      <c r="F702" s="9">
        <f t="shared" ref="F702:F765" si="128">STANDARDIZE(F326,AVERAGE($F$6:$F$336),_xlfn.STDEV.S($F$6:$F$336))</f>
        <v>-0.77122055111248755</v>
      </c>
      <c r="G702" s="9">
        <f t="shared" ref="G702:G765" si="129">STANDARDIZE(G326,AVERAGE($G$6:$G$336),_xlfn.STDEV.S($G$6:$G$336))</f>
        <v>-0.73309807755267142</v>
      </c>
      <c r="H702" s="9">
        <f t="shared" ref="H702:H765" si="130">STANDARDIZE(H326,AVERAGE($H$6:$H$336),_xlfn.STDEV.S($H$6:$H$336))</f>
        <v>-0.24300913894921947</v>
      </c>
      <c r="I702" s="9">
        <f t="shared" ref="I702:I765" si="131">STANDARDIZE(I326,AVERAGE($I$6:$I$336),_xlfn.STDEV.S($I$6:$I$336))</f>
        <v>-0.36031438006185923</v>
      </c>
      <c r="J702" s="9">
        <f t="shared" ref="J702:J765" si="132">STANDARDIZE(J326,AVERAGE($J$6:$J$336),_xlfn.STDEV.S($J$6:$J$336))</f>
        <v>0.39056717941110192</v>
      </c>
      <c r="K702" s="9">
        <f t="shared" ref="K702:K765" si="133">STANDARDIZE(K326,AVERAGE($K$6:$K$336),_xlfn.STDEV.S($K$6:$K$336))</f>
        <v>-1.9888238433878405</v>
      </c>
      <c r="L702" s="5">
        <f t="shared" ref="L702:P711" si="134">L326</f>
        <v>0</v>
      </c>
      <c r="M702" s="5">
        <f t="shared" si="134"/>
        <v>0</v>
      </c>
      <c r="N702" s="5">
        <f t="shared" si="134"/>
        <v>0</v>
      </c>
      <c r="O702" s="5">
        <f t="shared" si="134"/>
        <v>0</v>
      </c>
      <c r="P702" s="5">
        <f t="shared" si="134"/>
        <v>1</v>
      </c>
    </row>
    <row r="703" spans="1:16" x14ac:dyDescent="0.25">
      <c r="A703" s="5" t="str">
        <f t="shared" si="124"/>
        <v>Tuyên Quang</v>
      </c>
      <c r="B703" s="5">
        <f t="shared" si="124"/>
        <v>2024</v>
      </c>
      <c r="C703" s="9">
        <f t="shared" si="125"/>
        <v>-0.60348767178660367</v>
      </c>
      <c r="D703" s="9">
        <f t="shared" si="126"/>
        <v>-0.5431339389265526</v>
      </c>
      <c r="E703" s="9">
        <f t="shared" si="127"/>
        <v>-0.72035485543101485</v>
      </c>
      <c r="F703" s="9">
        <f t="shared" si="128"/>
        <v>-0.71723904376857184</v>
      </c>
      <c r="G703" s="9">
        <f t="shared" si="129"/>
        <v>-0.13946692452505888</v>
      </c>
      <c r="H703" s="9">
        <f t="shared" si="130"/>
        <v>1.2143851450330609</v>
      </c>
      <c r="I703" s="9">
        <f t="shared" si="131"/>
        <v>-0.47893886568065336</v>
      </c>
      <c r="J703" s="9">
        <f t="shared" si="132"/>
        <v>-1.1435530662602018</v>
      </c>
      <c r="K703" s="9">
        <f t="shared" si="133"/>
        <v>-0.68366767469821443</v>
      </c>
      <c r="L703" s="5">
        <f t="shared" si="134"/>
        <v>0</v>
      </c>
      <c r="M703" s="5">
        <f t="shared" si="134"/>
        <v>0</v>
      </c>
      <c r="N703" s="5">
        <f t="shared" si="134"/>
        <v>0</v>
      </c>
      <c r="O703" s="5">
        <f t="shared" si="134"/>
        <v>0</v>
      </c>
      <c r="P703" s="5">
        <f t="shared" si="134"/>
        <v>1</v>
      </c>
    </row>
    <row r="704" spans="1:16" x14ac:dyDescent="0.25">
      <c r="A704" s="5" t="str">
        <f t="shared" si="124"/>
        <v>Tây Ninh</v>
      </c>
      <c r="B704" s="5">
        <f t="shared" si="124"/>
        <v>2024</v>
      </c>
      <c r="C704" s="9">
        <f t="shared" si="125"/>
        <v>-7.468640868332016E-2</v>
      </c>
      <c r="D704" s="9">
        <f t="shared" si="126"/>
        <v>0.72660376186477882</v>
      </c>
      <c r="E704" s="9">
        <f t="shared" si="127"/>
        <v>-0.30741867051028776</v>
      </c>
      <c r="F704" s="9">
        <f t="shared" si="128"/>
        <v>3.0546889542934622E-2</v>
      </c>
      <c r="G704" s="9">
        <f t="shared" si="129"/>
        <v>-0.41882276124393514</v>
      </c>
      <c r="H704" s="9">
        <f t="shared" si="130"/>
        <v>0.50488146930054045</v>
      </c>
      <c r="I704" s="9">
        <f t="shared" si="131"/>
        <v>-0.13122231004558713</v>
      </c>
      <c r="J704" s="9">
        <f t="shared" si="132"/>
        <v>1.0379570889023917</v>
      </c>
      <c r="K704" s="9">
        <f t="shared" si="133"/>
        <v>-0.92908165513557994</v>
      </c>
      <c r="L704" s="5">
        <f t="shared" si="134"/>
        <v>0</v>
      </c>
      <c r="M704" s="5">
        <f t="shared" si="134"/>
        <v>0</v>
      </c>
      <c r="N704" s="5">
        <f t="shared" si="134"/>
        <v>0</v>
      </c>
      <c r="O704" s="5">
        <f t="shared" si="134"/>
        <v>0</v>
      </c>
      <c r="P704" s="5">
        <f t="shared" si="134"/>
        <v>1</v>
      </c>
    </row>
    <row r="705" spans="1:16" x14ac:dyDescent="0.25">
      <c r="A705" s="5" t="str">
        <f t="shared" si="124"/>
        <v>Vĩnh Long</v>
      </c>
      <c r="B705" s="5">
        <f t="shared" si="124"/>
        <v>2024</v>
      </c>
      <c r="C705" s="9">
        <f t="shared" si="125"/>
        <v>-0.50022163487931659</v>
      </c>
      <c r="D705" s="9">
        <f t="shared" si="126"/>
        <v>0.15164928025465732</v>
      </c>
      <c r="E705" s="9">
        <f t="shared" si="127"/>
        <v>-0.5776190242527951</v>
      </c>
      <c r="F705" s="9">
        <f t="shared" si="128"/>
        <v>-0.51779157979263046</v>
      </c>
      <c r="G705" s="9">
        <f t="shared" si="129"/>
        <v>-0.76801755714253062</v>
      </c>
      <c r="H705" s="9">
        <f t="shared" si="130"/>
        <v>-1.6923796337950827</v>
      </c>
      <c r="I705" s="9">
        <f t="shared" si="131"/>
        <v>-0.52445105255262903</v>
      </c>
      <c r="J705" s="9">
        <f t="shared" si="132"/>
        <v>-0.31060791214549177</v>
      </c>
      <c r="K705" s="9">
        <f t="shared" si="133"/>
        <v>-0.61673658912438722</v>
      </c>
      <c r="L705" s="5">
        <f t="shared" si="134"/>
        <v>0</v>
      </c>
      <c r="M705" s="5">
        <f t="shared" si="134"/>
        <v>0</v>
      </c>
      <c r="N705" s="5">
        <f t="shared" si="134"/>
        <v>0</v>
      </c>
      <c r="O705" s="5">
        <f t="shared" si="134"/>
        <v>0</v>
      </c>
      <c r="P705" s="5">
        <f t="shared" si="134"/>
        <v>1</v>
      </c>
    </row>
    <row r="706" spans="1:16" x14ac:dyDescent="0.25">
      <c r="A706" s="5" t="str">
        <f t="shared" si="124"/>
        <v>Vĩnh Phúc</v>
      </c>
      <c r="B706" s="5">
        <f t="shared" si="124"/>
        <v>2024</v>
      </c>
      <c r="C706" s="9">
        <f t="shared" si="125"/>
        <v>0.25084509815859529</v>
      </c>
      <c r="D706" s="9">
        <f t="shared" si="126"/>
        <v>1.4447787957416744</v>
      </c>
      <c r="E706" s="9">
        <f t="shared" si="127"/>
        <v>0.5062366524400207</v>
      </c>
      <c r="F706" s="9">
        <f t="shared" si="128"/>
        <v>0.11180326375535514</v>
      </c>
      <c r="G706" s="9">
        <f t="shared" si="129"/>
        <v>1.5832274019080119</v>
      </c>
      <c r="H706" s="9">
        <f t="shared" si="130"/>
        <v>0.87120197959110879</v>
      </c>
      <c r="I706" s="9">
        <f t="shared" si="131"/>
        <v>-0.47646730383944413</v>
      </c>
      <c r="J706" s="9">
        <f t="shared" si="132"/>
        <v>0.82096216516899168</v>
      </c>
      <c r="K706" s="9">
        <f t="shared" si="133"/>
        <v>1.6812306822436724</v>
      </c>
      <c r="L706" s="5">
        <f t="shared" si="134"/>
        <v>0</v>
      </c>
      <c r="M706" s="5">
        <f t="shared" si="134"/>
        <v>0</v>
      </c>
      <c r="N706" s="5">
        <f t="shared" si="134"/>
        <v>0</v>
      </c>
      <c r="O706" s="5">
        <f t="shared" si="134"/>
        <v>0</v>
      </c>
      <c r="P706" s="5">
        <f t="shared" si="134"/>
        <v>1</v>
      </c>
    </row>
    <row r="707" spans="1:16" x14ac:dyDescent="0.25">
      <c r="A707" s="5" t="str">
        <f t="shared" si="124"/>
        <v>Yên Bái</v>
      </c>
      <c r="B707" s="5">
        <f t="shared" si="124"/>
        <v>2024</v>
      </c>
      <c r="C707" s="9">
        <f t="shared" si="125"/>
        <v>-0.50022163487931659</v>
      </c>
      <c r="D707" s="9">
        <f t="shared" si="126"/>
        <v>-0.73276406615327649</v>
      </c>
      <c r="E707" s="9">
        <f t="shared" si="127"/>
        <v>-0.65377194987427045</v>
      </c>
      <c r="F707" s="9">
        <f t="shared" si="128"/>
        <v>-0.62859572644593131</v>
      </c>
      <c r="G707" s="9">
        <f t="shared" si="129"/>
        <v>5.8410126484145161E-2</v>
      </c>
      <c r="H707" s="9">
        <f t="shared" si="130"/>
        <v>0.6678897904417278</v>
      </c>
      <c r="I707" s="9">
        <f t="shared" si="131"/>
        <v>-0.8809655804521852</v>
      </c>
      <c r="J707" s="9">
        <f t="shared" si="132"/>
        <v>-0.84735688503997653</v>
      </c>
      <c r="K707" s="9">
        <f t="shared" si="133"/>
        <v>-0.2820811612552524</v>
      </c>
      <c r="L707" s="5">
        <f t="shared" si="134"/>
        <v>0</v>
      </c>
      <c r="M707" s="5">
        <f t="shared" si="134"/>
        <v>0</v>
      </c>
      <c r="N707" s="5">
        <f t="shared" si="134"/>
        <v>0</v>
      </c>
      <c r="O707" s="5">
        <f t="shared" si="134"/>
        <v>0</v>
      </c>
      <c r="P707" s="5">
        <f t="shared" si="134"/>
        <v>1</v>
      </c>
    </row>
    <row r="708" spans="1:16" x14ac:dyDescent="0.25">
      <c r="A708" s="5" t="str">
        <f t="shared" si="124"/>
        <v>Đà Nẵng</v>
      </c>
      <c r="B708" s="5">
        <f t="shared" si="124"/>
        <v>2024</v>
      </c>
      <c r="C708" s="9">
        <f t="shared" si="125"/>
        <v>1.1873767314175985</v>
      </c>
      <c r="D708" s="9">
        <f t="shared" si="126"/>
        <v>1.054629100615625</v>
      </c>
      <c r="E708" s="9">
        <f t="shared" si="127"/>
        <v>2.852520507884567</v>
      </c>
      <c r="F708" s="9">
        <f t="shared" si="128"/>
        <v>3.1694294849933615</v>
      </c>
      <c r="G708" s="9">
        <f t="shared" si="129"/>
        <v>3.2128031161014579</v>
      </c>
      <c r="H708" s="9">
        <f t="shared" si="130"/>
        <v>1.4534899889469541</v>
      </c>
      <c r="I708" s="9">
        <f t="shared" si="131"/>
        <v>3.9104445393691569</v>
      </c>
      <c r="J708" s="9">
        <f t="shared" si="132"/>
        <v>0.73862935749750469</v>
      </c>
      <c r="K708" s="9">
        <f t="shared" si="133"/>
        <v>2.6963521467800478</v>
      </c>
      <c r="L708" s="5">
        <f t="shared" si="134"/>
        <v>0</v>
      </c>
      <c r="M708" s="5">
        <f t="shared" si="134"/>
        <v>0</v>
      </c>
      <c r="N708" s="5">
        <f t="shared" si="134"/>
        <v>0</v>
      </c>
      <c r="O708" s="5">
        <f t="shared" si="134"/>
        <v>0</v>
      </c>
      <c r="P708" s="5">
        <f t="shared" si="134"/>
        <v>1</v>
      </c>
    </row>
    <row r="709" spans="1:16" x14ac:dyDescent="0.25">
      <c r="A709" s="5" t="str">
        <f t="shared" si="124"/>
        <v>Đắk Lắk</v>
      </c>
      <c r="B709" s="5">
        <f t="shared" si="124"/>
        <v>2024</v>
      </c>
      <c r="C709" s="9">
        <f t="shared" si="125"/>
        <v>0.19154024085910173</v>
      </c>
      <c r="D709" s="9">
        <f t="shared" si="126"/>
        <v>-0.10320189338048628</v>
      </c>
      <c r="E709" s="9">
        <f t="shared" si="127"/>
        <v>-0.33938660987545255</v>
      </c>
      <c r="F709" s="9">
        <f t="shared" si="128"/>
        <v>-0.33766381318188016</v>
      </c>
      <c r="G709" s="9">
        <f t="shared" si="129"/>
        <v>-0.47702189389370103</v>
      </c>
      <c r="H709" s="9">
        <f t="shared" si="130"/>
        <v>8.5104461058007549E-2</v>
      </c>
      <c r="I709" s="9">
        <f t="shared" si="131"/>
        <v>-0.61258380611745322</v>
      </c>
      <c r="J709" s="9">
        <f t="shared" si="132"/>
        <v>-1.0045252643082525</v>
      </c>
      <c r="K709" s="9">
        <f t="shared" si="133"/>
        <v>-3.6667180817886863E-2</v>
      </c>
      <c r="L709" s="5">
        <f t="shared" si="134"/>
        <v>0</v>
      </c>
      <c r="M709" s="5">
        <f t="shared" si="134"/>
        <v>0</v>
      </c>
      <c r="N709" s="5">
        <f t="shared" si="134"/>
        <v>0</v>
      </c>
      <c r="O709" s="5">
        <f t="shared" si="134"/>
        <v>0</v>
      </c>
      <c r="P709" s="5">
        <f t="shared" si="134"/>
        <v>1</v>
      </c>
    </row>
    <row r="710" spans="1:16" x14ac:dyDescent="0.25">
      <c r="A710" s="5" t="str">
        <f t="shared" si="124"/>
        <v>Đắk Nông</v>
      </c>
      <c r="B710" s="5">
        <f t="shared" si="124"/>
        <v>2024</v>
      </c>
      <c r="C710" s="9">
        <f t="shared" si="125"/>
        <v>-0.60348767178660367</v>
      </c>
      <c r="D710" s="9">
        <f t="shared" si="126"/>
        <v>0.21961142630289263</v>
      </c>
      <c r="E710" s="9">
        <f t="shared" si="127"/>
        <v>-0.383571596131763</v>
      </c>
      <c r="F710" s="9">
        <f t="shared" si="128"/>
        <v>-0.83997594467684344</v>
      </c>
      <c r="G710" s="9">
        <f t="shared" si="129"/>
        <v>-0.67489894490290547</v>
      </c>
      <c r="H710" s="9">
        <f t="shared" si="130"/>
        <v>-1.2021485803779881</v>
      </c>
      <c r="I710" s="9">
        <f t="shared" si="131"/>
        <v>-0.72029972704619838</v>
      </c>
      <c r="J710" s="9">
        <f t="shared" si="132"/>
        <v>-0.86363968053333373</v>
      </c>
      <c r="K710" s="9">
        <f t="shared" si="133"/>
        <v>0.11950535218770927</v>
      </c>
      <c r="L710" s="5">
        <f t="shared" si="134"/>
        <v>0</v>
      </c>
      <c r="M710" s="5">
        <f t="shared" si="134"/>
        <v>0</v>
      </c>
      <c r="N710" s="5">
        <f t="shared" si="134"/>
        <v>0</v>
      </c>
      <c r="O710" s="5">
        <f t="shared" si="134"/>
        <v>0</v>
      </c>
      <c r="P710" s="5">
        <f t="shared" si="134"/>
        <v>1</v>
      </c>
    </row>
    <row r="711" spans="1:16" x14ac:dyDescent="0.25">
      <c r="A711" s="5" t="str">
        <f t="shared" si="124"/>
        <v>Đồng Nai</v>
      </c>
      <c r="B711" s="5">
        <f t="shared" si="124"/>
        <v>2024</v>
      </c>
      <c r="C711" s="9">
        <f t="shared" si="125"/>
        <v>0.56178533219762739</v>
      </c>
      <c r="D711" s="9">
        <f t="shared" si="126"/>
        <v>1.4644659099614692</v>
      </c>
      <c r="E711" s="9">
        <f t="shared" si="127"/>
        <v>0.48037723652042907</v>
      </c>
      <c r="F711" s="9">
        <f t="shared" si="128"/>
        <v>0.75730844630996863</v>
      </c>
      <c r="G711" s="9">
        <f t="shared" si="129"/>
        <v>2.1099383437924308E-4</v>
      </c>
      <c r="H711" s="9">
        <f t="shared" si="130"/>
        <v>0.69751462919835849</v>
      </c>
      <c r="I711" s="9">
        <f t="shared" si="131"/>
        <v>-0.66087170893684255</v>
      </c>
      <c r="J711" s="9">
        <f t="shared" si="132"/>
        <v>1.2252299247126599</v>
      </c>
      <c r="K711" s="9">
        <f t="shared" si="133"/>
        <v>0.40954005634095969</v>
      </c>
      <c r="L711" s="5">
        <f t="shared" si="134"/>
        <v>0</v>
      </c>
      <c r="M711" s="5">
        <f t="shared" si="134"/>
        <v>0</v>
      </c>
      <c r="N711" s="5">
        <f t="shared" si="134"/>
        <v>0</v>
      </c>
      <c r="O711" s="5">
        <f t="shared" si="134"/>
        <v>0</v>
      </c>
      <c r="P711" s="5">
        <f t="shared" si="134"/>
        <v>1</v>
      </c>
    </row>
    <row r="712" spans="1:16" x14ac:dyDescent="0.25">
      <c r="A712" s="5" t="str">
        <f t="shared" si="124"/>
        <v>Đồng Tháp</v>
      </c>
      <c r="B712" s="5">
        <f t="shared" si="124"/>
        <v>2024</v>
      </c>
      <c r="C712" s="9">
        <f t="shared" si="125"/>
        <v>-7.468640868332016E-2</v>
      </c>
      <c r="D712" s="9">
        <f t="shared" si="126"/>
        <v>3.0743209145851328E-2</v>
      </c>
      <c r="E712" s="9">
        <f t="shared" si="127"/>
        <v>-0.64603448684321141</v>
      </c>
      <c r="F712" s="9">
        <f t="shared" si="128"/>
        <v>-0.65416591413515457</v>
      </c>
      <c r="G712" s="9">
        <f t="shared" si="129"/>
        <v>-0.8611361693821562</v>
      </c>
      <c r="H712" s="9">
        <f t="shared" si="130"/>
        <v>-1.4070715729783176</v>
      </c>
      <c r="I712" s="9">
        <f t="shared" si="131"/>
        <v>-0.41421935721325615</v>
      </c>
      <c r="J712" s="9">
        <f t="shared" si="132"/>
        <v>-1.6192520097690291</v>
      </c>
      <c r="K712" s="9">
        <f t="shared" si="133"/>
        <v>-1.1187197309280899</v>
      </c>
      <c r="L712" s="5">
        <f t="shared" ref="L712:P721" si="135">L336</f>
        <v>0</v>
      </c>
      <c r="M712" s="5">
        <f t="shared" si="135"/>
        <v>0</v>
      </c>
      <c r="N712" s="5">
        <f t="shared" si="135"/>
        <v>0</v>
      </c>
      <c r="O712" s="5">
        <f t="shared" si="135"/>
        <v>0</v>
      </c>
      <c r="P712" s="5">
        <f t="shared" si="135"/>
        <v>1</v>
      </c>
    </row>
    <row r="714" spans="1:16" x14ac:dyDescent="0.25">
      <c r="A714" s="14" t="s">
        <v>414</v>
      </c>
    </row>
    <row r="715" spans="1:16" ht="32.1" customHeight="1" x14ac:dyDescent="0.25">
      <c r="A715" s="3" t="s">
        <v>155</v>
      </c>
      <c r="B715" s="3" t="s">
        <v>389</v>
      </c>
      <c r="C715" s="3" t="s">
        <v>390</v>
      </c>
      <c r="D715" s="3" t="s">
        <v>391</v>
      </c>
      <c r="E715" s="3" t="s">
        <v>392</v>
      </c>
      <c r="F715" s="3" t="s">
        <v>393</v>
      </c>
      <c r="G715" s="3" t="s">
        <v>394</v>
      </c>
    </row>
    <row r="716" spans="1:16" x14ac:dyDescent="0.25">
      <c r="A716" t="s">
        <v>74</v>
      </c>
      <c r="B716" s="12">
        <f>INDEX(LINEST($C$382:$C$712,$D$382:$P$712,TRUE,TRUE),1,13)</f>
        <v>3.2341641796843956E-2</v>
      </c>
      <c r="C716" s="7">
        <f>INDEX(LINEST($C$382:$C$712,$D$382:$P$712,TRUE,TRUE),2,13)</f>
        <v>2.9645007305566233E-2</v>
      </c>
      <c r="D716" s="18">
        <v>5.11931969149814E-2</v>
      </c>
      <c r="E716" s="18">
        <v>0.52754591433933684</v>
      </c>
      <c r="F716" s="5" t="str">
        <f t="shared" ref="F716:F729" si="136">IF(E716="","",IF(E716&lt;0.01,"***",IF(E716&lt;0.05,"**",IF(E716&lt;0.1,"*",""))))</f>
        <v/>
      </c>
      <c r="G716" s="18">
        <v>3.2341641796844102E-2</v>
      </c>
    </row>
    <row r="717" spans="1:16" x14ac:dyDescent="0.25">
      <c r="A717" t="s">
        <v>326</v>
      </c>
      <c r="B717" s="12">
        <f>INDEX(LINEST($C$382:$C$712,$D$382:$P$712,TRUE,TRUE),1,12)</f>
        <v>0.48082247260063565</v>
      </c>
      <c r="C717" s="7">
        <f>INDEX(LINEST($C$382:$C$712,$D$382:$P$712,TRUE,TRUE),2,12)</f>
        <v>3.3518654130873793E-2</v>
      </c>
      <c r="D717" s="18">
        <v>5.0623822410704601E-2</v>
      </c>
      <c r="E717" s="18">
        <v>2.140652448171435E-21</v>
      </c>
      <c r="F717" s="5" t="str">
        <f t="shared" si="136"/>
        <v>***</v>
      </c>
      <c r="G717" s="18">
        <v>0.48082247260063099</v>
      </c>
    </row>
    <row r="718" spans="1:16" x14ac:dyDescent="0.25">
      <c r="A718" t="s">
        <v>176</v>
      </c>
      <c r="B718" s="12">
        <f>INDEX(LINEST($C$382:$C$712,$D$382:$P$712,TRUE,TRUE),1,11)</f>
        <v>-4.453383508000245E-2</v>
      </c>
      <c r="C718" s="7">
        <f>INDEX(LINEST($C$382:$C$712,$D$382:$P$712,TRUE,TRUE),2,11)</f>
        <v>2.5394112728602852E-2</v>
      </c>
      <c r="D718" s="18">
        <v>5.5305487803754598E-2</v>
      </c>
      <c r="E718" s="18">
        <v>0.42068491103644018</v>
      </c>
      <c r="F718" s="5" t="str">
        <f t="shared" si="136"/>
        <v/>
      </c>
      <c r="G718" s="18">
        <v>-4.4533835080002297E-2</v>
      </c>
    </row>
    <row r="719" spans="1:16" x14ac:dyDescent="0.25">
      <c r="A719" t="s">
        <v>327</v>
      </c>
      <c r="B719" s="12">
        <f>INDEX(LINEST($C$382:$C$712,$D$382:$P$712,TRUE,TRUE),1,10)</f>
        <v>-6.2465542654295851E-3</v>
      </c>
      <c r="C719" s="7">
        <f>INDEX(LINEST($C$382:$C$712,$D$382:$P$712,TRUE,TRUE),2,10)</f>
        <v>2.8816415197885459E-2</v>
      </c>
      <c r="D719" s="18">
        <v>4.6087789387807401E-2</v>
      </c>
      <c r="E719" s="18">
        <v>0.89218810908894219</v>
      </c>
      <c r="F719" s="5" t="str">
        <f t="shared" si="136"/>
        <v/>
      </c>
      <c r="G719" s="18">
        <v>-6.2465542654295998E-3</v>
      </c>
    </row>
    <row r="720" spans="1:16" x14ac:dyDescent="0.25">
      <c r="A720" t="s">
        <v>380</v>
      </c>
      <c r="B720" s="12">
        <f>INDEX(LINEST($C$382:$C$712,$D$382:$P$712,TRUE,TRUE),1,9)</f>
        <v>5.9461159457481851E-2</v>
      </c>
      <c r="C720" s="7">
        <f>INDEX(LINEST($C$382:$C$712,$D$382:$P$712,TRUE,TRUE),2,9)</f>
        <v>2.054548659463876E-2</v>
      </c>
      <c r="D720" s="18">
        <v>4.04401677368499E-2</v>
      </c>
      <c r="E720" s="18">
        <v>0.14146726133518631</v>
      </c>
      <c r="F720" s="5" t="str">
        <f t="shared" si="136"/>
        <v/>
      </c>
      <c r="G720" s="18">
        <v>5.9461159457480497E-2</v>
      </c>
    </row>
    <row r="721" spans="1:16" x14ac:dyDescent="0.25">
      <c r="A721" t="s">
        <v>183</v>
      </c>
      <c r="B721" s="12">
        <f>INDEX(LINEST($C$382:$C$712,$D$382:$P$712,TRUE,TRUE),1,8)</f>
        <v>-5.7240001391556598E-2</v>
      </c>
      <c r="C721" s="7">
        <f>INDEX(LINEST($C$382:$C$712,$D$382:$P$712,TRUE,TRUE),2,8)</f>
        <v>1.738657306287324E-2</v>
      </c>
      <c r="D721" s="18">
        <v>2.87513702768862E-2</v>
      </c>
      <c r="E721" s="18">
        <v>4.6496095842072503E-2</v>
      </c>
      <c r="F721" s="5" t="str">
        <f t="shared" si="136"/>
        <v>**</v>
      </c>
      <c r="G721" s="18">
        <v>-5.7240001391556099E-2</v>
      </c>
    </row>
    <row r="722" spans="1:16" x14ac:dyDescent="0.25">
      <c r="A722" t="s">
        <v>381</v>
      </c>
      <c r="B722" s="12">
        <f>INDEX(LINEST($C$382:$C$712,$D$382:$P$712,TRUE,TRUE),1,7)</f>
        <v>2.8483641305847081E-2</v>
      </c>
      <c r="C722" s="7">
        <f>INDEX(LINEST($C$382:$C$712,$D$382:$P$712,TRUE,TRUE),2,7)</f>
        <v>2.2046799322036844E-2</v>
      </c>
      <c r="D722" s="18">
        <v>3.6394130232330998E-2</v>
      </c>
      <c r="E722" s="18">
        <v>0.43383629824068087</v>
      </c>
      <c r="F722" s="5" t="str">
        <f t="shared" si="136"/>
        <v/>
      </c>
      <c r="G722" s="18">
        <v>2.8483641305847199E-2</v>
      </c>
    </row>
    <row r="723" spans="1:16" x14ac:dyDescent="0.25">
      <c r="A723" t="s">
        <v>179</v>
      </c>
      <c r="B723" s="12">
        <f>INDEX(LINEST($C$382:$C$712,$D$382:$P$712,TRUE,TRUE),1,6)</f>
        <v>2.520469883643054E-2</v>
      </c>
      <c r="C723" s="7">
        <f>INDEX(LINEST($C$382:$C$712,$D$382:$P$712,TRUE,TRUE),2,6)</f>
        <v>2.8699845152759022E-2</v>
      </c>
      <c r="D723" s="18">
        <v>4.1356785667747198E-2</v>
      </c>
      <c r="E723" s="18">
        <v>0.54222931627264559</v>
      </c>
      <c r="F723" s="5" t="str">
        <f t="shared" si="136"/>
        <v/>
      </c>
      <c r="G723" s="18">
        <v>2.5204698836430801E-2</v>
      </c>
    </row>
    <row r="724" spans="1:16" x14ac:dyDescent="0.25">
      <c r="A724" t="s">
        <v>395</v>
      </c>
      <c r="B724" s="12">
        <f>INDEX(LINEST($C$382:$C$712,$D$382:$P$712,TRUE,TRUE),1,5)</f>
        <v>2.5618091813307025E-2</v>
      </c>
      <c r="C724" s="7">
        <f>INDEX(LINEST($C$382:$C$712,$D$382:$P$712,TRUE,TRUE),2,5)</f>
        <v>5.0268860246480238E-2</v>
      </c>
      <c r="D724" s="18">
        <v>1.5820490313179999E-2</v>
      </c>
      <c r="E724" s="18">
        <v>0.1053831133613979</v>
      </c>
      <c r="F724" s="5" t="str">
        <f t="shared" si="136"/>
        <v/>
      </c>
      <c r="G724" s="18">
        <v>2.5618091813303E-2</v>
      </c>
    </row>
    <row r="725" spans="1:16" x14ac:dyDescent="0.25">
      <c r="A725" t="s">
        <v>396</v>
      </c>
      <c r="B725" s="12">
        <f>INDEX(LINEST($C$382:$C$712,$D$382:$P$712,TRUE,TRUE),1,4)</f>
        <v>-2.4872813752955301</v>
      </c>
      <c r="C725" s="7">
        <f>INDEX(LINEST($C$382:$C$712,$D$382:$P$712,TRUE,TRUE),2,4)</f>
        <v>5.152180516153388E-2</v>
      </c>
      <c r="D725" s="18">
        <v>6.2668191859466205E-2</v>
      </c>
      <c r="E725" s="18">
        <v>0</v>
      </c>
      <c r="F725" s="5" t="str">
        <f t="shared" si="136"/>
        <v>***</v>
      </c>
      <c r="G725" s="18">
        <v>-2.4872813752955092</v>
      </c>
    </row>
    <row r="726" spans="1:16" x14ac:dyDescent="0.25">
      <c r="A726" t="s">
        <v>397</v>
      </c>
      <c r="B726" s="12">
        <f>INDEX(LINEST($C$382:$C$712,$D$382:$P$712,TRUE,TRUE),1,3)</f>
        <v>-1.1672701902976768</v>
      </c>
      <c r="C726" s="7">
        <f>INDEX(LINEST($C$382:$C$712,$D$382:$P$712,TRUE,TRUE),2,3)</f>
        <v>5.1401890150816892E-2</v>
      </c>
      <c r="D726" s="18">
        <v>4.9602000432303797E-2</v>
      </c>
      <c r="E726" s="18">
        <v>1.8867370441107739E-122</v>
      </c>
      <c r="F726" s="5" t="str">
        <f t="shared" si="136"/>
        <v>***</v>
      </c>
      <c r="G726" s="18">
        <v>-1.167270190297669</v>
      </c>
    </row>
    <row r="727" spans="1:16" x14ac:dyDescent="0.25">
      <c r="A727" t="s">
        <v>398</v>
      </c>
      <c r="B727" s="12">
        <f>INDEX(LINEST($C$382:$C$712,$D$382:$P$712,TRUE,TRUE),1,2)</f>
        <v>-1.2563408719557734</v>
      </c>
      <c r="C727" s="7">
        <f>INDEX(LINEST($C$382:$C$712,$D$382:$P$712,TRUE,TRUE),2,2)</f>
        <v>5.1328175635147466E-2</v>
      </c>
      <c r="D727" s="18">
        <v>4.4333366848796803E-2</v>
      </c>
      <c r="E727" s="18">
        <v>1.160194533329702E-176</v>
      </c>
      <c r="F727" s="5" t="str">
        <f t="shared" si="136"/>
        <v>***</v>
      </c>
      <c r="G727" s="18">
        <v>-1.2563408719557649</v>
      </c>
    </row>
    <row r="728" spans="1:16" x14ac:dyDescent="0.25">
      <c r="A728" t="s">
        <v>399</v>
      </c>
      <c r="B728" s="12">
        <f>INDEX(LINEST($C$382:$C$712,$D$382:$P$712,TRUE,TRUE),1,1)</f>
        <v>-0.99295186514341094</v>
      </c>
      <c r="C728" s="7">
        <f>INDEX(LINEST($C$382:$C$712,$D$382:$P$712,TRUE,TRUE),2,1)</f>
        <v>5.4327599132466195E-2</v>
      </c>
      <c r="D728" s="18">
        <v>4.8230038618774902E-2</v>
      </c>
      <c r="E728" s="18">
        <v>3.5281625449795562E-94</v>
      </c>
      <c r="F728" s="5" t="str">
        <f t="shared" si="136"/>
        <v>***</v>
      </c>
      <c r="G728" s="18">
        <v>-0.99295186514340383</v>
      </c>
    </row>
    <row r="729" spans="1:16" x14ac:dyDescent="0.25">
      <c r="A729" t="s">
        <v>400</v>
      </c>
      <c r="B729" s="12">
        <f>INDEX(LINEST($C$382:$C$712,$D$382:$P$712,TRUE,TRUE),1,14)</f>
        <v>0.99041282526997088</v>
      </c>
      <c r="C729" s="7">
        <f>INDEX(LINEST($C$382:$C$712,$D$382:$P$712,TRUE,TRUE),2,14)</f>
        <v>3.6878139350569578E-2</v>
      </c>
      <c r="D729" s="18">
        <v>3.5267307732358297E-2</v>
      </c>
      <c r="E729" s="18">
        <v>1.578921188863334E-173</v>
      </c>
      <c r="F729" s="5" t="str">
        <f t="shared" si="136"/>
        <v>***</v>
      </c>
      <c r="G729" s="18">
        <v>0.99041282526996677</v>
      </c>
    </row>
    <row r="730" spans="1:16" x14ac:dyDescent="0.25">
      <c r="A730" s="10" t="s">
        <v>157</v>
      </c>
      <c r="B730" s="20">
        <f>COUNT($C$382:$C$712)</f>
        <v>331</v>
      </c>
    </row>
    <row r="731" spans="1:16" x14ac:dyDescent="0.25">
      <c r="A731" s="10" t="s">
        <v>341</v>
      </c>
      <c r="B731" s="12">
        <f>INDEX(LINEST($C$382:$C$712,$D$382:$P$712,TRUE,TRUE),3,1)</f>
        <v>0.93594980919511284</v>
      </c>
    </row>
    <row r="732" spans="1:16" x14ac:dyDescent="0.25">
      <c r="A732" s="10" t="s">
        <v>401</v>
      </c>
      <c r="B732" s="12">
        <f>1-(1-B731)*(B730-1)/(B730-13-1)</f>
        <v>0.93332314521888715</v>
      </c>
    </row>
    <row r="734" spans="1:16" x14ac:dyDescent="0.25">
      <c r="A734" s="14" t="s">
        <v>415</v>
      </c>
    </row>
    <row r="735" spans="1:16" ht="32.1" customHeight="1" x14ac:dyDescent="0.25">
      <c r="A735" s="3" t="s">
        <v>52</v>
      </c>
      <c r="B735" s="3" t="s">
        <v>53</v>
      </c>
      <c r="C735" s="3" t="s">
        <v>379</v>
      </c>
      <c r="D735" s="3" t="s">
        <v>74</v>
      </c>
      <c r="E735" s="3" t="s">
        <v>326</v>
      </c>
      <c r="F735" s="3" t="s">
        <v>176</v>
      </c>
      <c r="G735" s="3" t="s">
        <v>327</v>
      </c>
      <c r="H735" s="3" t="s">
        <v>380</v>
      </c>
      <c r="I735" s="3" t="s">
        <v>183</v>
      </c>
      <c r="J735" s="3" t="s">
        <v>381</v>
      </c>
      <c r="K735" s="3" t="s">
        <v>416</v>
      </c>
      <c r="L735" s="3" t="s">
        <v>382</v>
      </c>
      <c r="M735" s="3" t="s">
        <v>383</v>
      </c>
      <c r="N735" s="3" t="s">
        <v>384</v>
      </c>
      <c r="O735" s="3" t="s">
        <v>385</v>
      </c>
      <c r="P735" s="3" t="s">
        <v>386</v>
      </c>
    </row>
    <row r="736" spans="1:16" x14ac:dyDescent="0.25">
      <c r="A736" t="s">
        <v>85</v>
      </c>
      <c r="B736">
        <v>2018</v>
      </c>
      <c r="C736" s="7">
        <f>'1_Du_lieu'!V68</f>
        <v>3.4812400893356918</v>
      </c>
      <c r="D736" s="9">
        <f>'1_Du_lieu'!W68</f>
        <v>3.6988297849671046</v>
      </c>
      <c r="E736" s="9">
        <f>'1_Du_lieu'!L68</f>
        <v>2.3149999999999999</v>
      </c>
      <c r="F736" s="9">
        <f>'1_Du_lieu'!M68</f>
        <v>31.33</v>
      </c>
      <c r="G736" s="9">
        <f>'1_Du_lieu'!N68</f>
        <v>13.6</v>
      </c>
      <c r="H736" s="9">
        <f>'1_Du_lieu'!X68</f>
        <v>1.1637008915228635</v>
      </c>
      <c r="I736" s="9">
        <f>'1_Du_lieu'!T68</f>
        <v>0.41429311237700672</v>
      </c>
      <c r="J736" s="9">
        <f>'1_Du_lieu'!Y68</f>
        <v>4.6895113344218426</v>
      </c>
      <c r="K736" s="5">
        <f t="shared" ref="K736:K799" si="137">IF(B736=2019,1,0)</f>
        <v>0</v>
      </c>
      <c r="L736" s="5">
        <f t="shared" ref="L736:L799" si="138">IF(B736=2020,1,0)</f>
        <v>0</v>
      </c>
      <c r="M736" s="5">
        <f t="shared" ref="M736:M799" si="139">IF(B736=2021,1,0)</f>
        <v>0</v>
      </c>
      <c r="N736" s="5">
        <f t="shared" ref="N736:N799" si="140">IF(B736=2022,1,0)</f>
        <v>0</v>
      </c>
      <c r="O736" s="5">
        <f t="shared" ref="O736:O799" si="141">IF(B736=2023,1,0)</f>
        <v>0</v>
      </c>
      <c r="P736" s="5">
        <f t="shared" ref="P736:P799" si="142">IF(B736=2024,1,0)</f>
        <v>0</v>
      </c>
    </row>
    <row r="737" spans="1:16" x14ac:dyDescent="0.25">
      <c r="A737" t="s">
        <v>87</v>
      </c>
      <c r="B737">
        <v>2018</v>
      </c>
      <c r="C737" s="7">
        <f>'1_Du_lieu'!V69</f>
        <v>3.7932394694381792</v>
      </c>
      <c r="D737" s="9">
        <f>'1_Du_lieu'!W69</f>
        <v>5.7352811417155722</v>
      </c>
      <c r="E737" s="9">
        <f>'1_Du_lieu'!L69</f>
        <v>8.4429999999999996</v>
      </c>
      <c r="F737" s="9">
        <f>'1_Du_lieu'!M69</f>
        <v>57.69</v>
      </c>
      <c r="G737" s="9">
        <f>'1_Du_lieu'!N69</f>
        <v>25.9</v>
      </c>
      <c r="H737" s="9">
        <f>'1_Du_lieu'!X69</f>
        <v>1.9060843407819525</v>
      </c>
      <c r="I737" s="9">
        <f>'1_Du_lieu'!T69</f>
        <v>1.0542036370025476</v>
      </c>
      <c r="J737" s="9">
        <f>'1_Du_lieu'!Y69</f>
        <v>10.175524119873193</v>
      </c>
      <c r="K737" s="5">
        <f t="shared" si="137"/>
        <v>0</v>
      </c>
      <c r="L737" s="5">
        <f t="shared" si="138"/>
        <v>0</v>
      </c>
      <c r="M737" s="5">
        <f t="shared" si="139"/>
        <v>0</v>
      </c>
      <c r="N737" s="5">
        <f t="shared" si="140"/>
        <v>0</v>
      </c>
      <c r="O737" s="5">
        <f t="shared" si="141"/>
        <v>0</v>
      </c>
      <c r="P737" s="5">
        <f t="shared" si="142"/>
        <v>0</v>
      </c>
    </row>
    <row r="738" spans="1:16" x14ac:dyDescent="0.25">
      <c r="A738" t="s">
        <v>89</v>
      </c>
      <c r="B738">
        <v>2018</v>
      </c>
      <c r="C738" s="7">
        <f>'1_Du_lieu'!V70</f>
        <v>3.9199911750773229</v>
      </c>
      <c r="D738" s="9">
        <f>'1_Du_lieu'!W70</f>
        <v>4.9250774057346094</v>
      </c>
      <c r="E738" s="9">
        <f>'1_Du_lieu'!L70</f>
        <v>11.754</v>
      </c>
      <c r="F738" s="9">
        <f>'1_Du_lieu'!M70</f>
        <v>79.98</v>
      </c>
      <c r="G738" s="9">
        <f>'1_Du_lieu'!N70</f>
        <v>20.6</v>
      </c>
      <c r="H738" s="9">
        <f>'1_Du_lieu'!X70</f>
        <v>3.0949885746495815</v>
      </c>
      <c r="I738" s="9">
        <f>'1_Du_lieu'!T70</f>
        <v>0.59696401159815804</v>
      </c>
      <c r="J738" s="9">
        <f>'1_Du_lieu'!Y70</f>
        <v>9.5136177037397545</v>
      </c>
      <c r="K738" s="5">
        <f t="shared" si="137"/>
        <v>0</v>
      </c>
      <c r="L738" s="5">
        <f t="shared" si="138"/>
        <v>0</v>
      </c>
      <c r="M738" s="5">
        <f t="shared" si="139"/>
        <v>0</v>
      </c>
      <c r="N738" s="5">
        <f t="shared" si="140"/>
        <v>0</v>
      </c>
      <c r="O738" s="5">
        <f t="shared" si="141"/>
        <v>0</v>
      </c>
      <c r="P738" s="5">
        <f t="shared" si="142"/>
        <v>0</v>
      </c>
    </row>
    <row r="739" spans="1:16" x14ac:dyDescent="0.25">
      <c r="A739" t="s">
        <v>90</v>
      </c>
      <c r="B739">
        <v>2018</v>
      </c>
      <c r="C739" s="7">
        <f>'1_Du_lieu'!V71</f>
        <v>3.3250360206965914</v>
      </c>
      <c r="D739" s="9">
        <f>'1_Du_lieu'!W71</f>
        <v>4.0271358125286509</v>
      </c>
      <c r="E739" s="9">
        <f>'1_Du_lieu'!L71</f>
        <v>4.54</v>
      </c>
      <c r="F739" s="9">
        <f>'1_Du_lieu'!M71</f>
        <v>23.08</v>
      </c>
      <c r="G739" s="9">
        <f>'1_Du_lieu'!N71</f>
        <v>16.8</v>
      </c>
      <c r="H739" s="9">
        <f>'1_Du_lieu'!X71</f>
        <v>1.0365503633999411</v>
      </c>
      <c r="I739" s="9">
        <f>'1_Du_lieu'!T71</f>
        <v>0.91379835516296071</v>
      </c>
      <c r="J739" s="9">
        <f>'1_Du_lieu'!Y71</f>
        <v>7.7941227422049337</v>
      </c>
      <c r="K739" s="5">
        <f t="shared" si="137"/>
        <v>0</v>
      </c>
      <c r="L739" s="5">
        <f t="shared" si="138"/>
        <v>0</v>
      </c>
      <c r="M739" s="5">
        <f t="shared" si="139"/>
        <v>0</v>
      </c>
      <c r="N739" s="5">
        <f t="shared" si="140"/>
        <v>0</v>
      </c>
      <c r="O739" s="5">
        <f t="shared" si="141"/>
        <v>0</v>
      </c>
      <c r="P739" s="5">
        <f t="shared" si="142"/>
        <v>0</v>
      </c>
    </row>
    <row r="740" spans="1:16" x14ac:dyDescent="0.25">
      <c r="A740" t="s">
        <v>91</v>
      </c>
      <c r="B740">
        <v>2018</v>
      </c>
      <c r="C740" s="7">
        <f>'1_Du_lieu'!V72</f>
        <v>3.5380565643793527</v>
      </c>
      <c r="D740" s="9">
        <f>'1_Du_lieu'!W72</f>
        <v>3.9778107459661491</v>
      </c>
      <c r="E740" s="9">
        <f>'1_Du_lieu'!L72</f>
        <v>3.63</v>
      </c>
      <c r="F740" s="9">
        <f>'1_Du_lieu'!M72</f>
        <v>38.200000000000003</v>
      </c>
      <c r="G740" s="9">
        <f>'1_Du_lieu'!N72</f>
        <v>14</v>
      </c>
      <c r="H740" s="9">
        <f>'1_Du_lieu'!X72</f>
        <v>1.892808577492139</v>
      </c>
      <c r="I740" s="9">
        <f>'1_Du_lieu'!T72</f>
        <v>0.32591868328851953</v>
      </c>
      <c r="J740" s="9">
        <f>'1_Du_lieu'!Y72</f>
        <v>7.9763206462979497</v>
      </c>
      <c r="K740" s="5">
        <f t="shared" si="137"/>
        <v>0</v>
      </c>
      <c r="L740" s="5">
        <f t="shared" si="138"/>
        <v>0</v>
      </c>
      <c r="M740" s="5">
        <f t="shared" si="139"/>
        <v>0</v>
      </c>
      <c r="N740" s="5">
        <f t="shared" si="140"/>
        <v>0</v>
      </c>
      <c r="O740" s="5">
        <f t="shared" si="141"/>
        <v>0</v>
      </c>
      <c r="P740" s="5">
        <f t="shared" si="142"/>
        <v>0</v>
      </c>
    </row>
    <row r="741" spans="1:16" x14ac:dyDescent="0.25">
      <c r="A741" t="s">
        <v>93</v>
      </c>
      <c r="B741">
        <v>2018</v>
      </c>
      <c r="C741" s="7">
        <f>'1_Du_lieu'!V73</f>
        <v>3.6054978451748854</v>
      </c>
      <c r="D741" s="9">
        <f>'1_Du_lieu'!W73</f>
        <v>3.9160150266976834</v>
      </c>
      <c r="E741" s="9">
        <f>'1_Du_lieu'!L73</f>
        <v>4.1669999999999998</v>
      </c>
      <c r="F741" s="9">
        <f>'1_Du_lieu'!M73</f>
        <v>31.96</v>
      </c>
      <c r="G741" s="9">
        <f>'1_Du_lieu'!N73</f>
        <v>21.2</v>
      </c>
      <c r="H741" s="9">
        <f>'1_Du_lieu'!X73</f>
        <v>2.5990485657438875</v>
      </c>
      <c r="I741" s="9">
        <f>'1_Du_lieu'!T73</f>
        <v>0.73934668638257828</v>
      </c>
      <c r="J741" s="9">
        <f>'1_Du_lieu'!Y73</f>
        <v>6.2969251409114051</v>
      </c>
      <c r="K741" s="5">
        <f t="shared" si="137"/>
        <v>0</v>
      </c>
      <c r="L741" s="5">
        <f t="shared" si="138"/>
        <v>0</v>
      </c>
      <c r="M741" s="5">
        <f t="shared" si="139"/>
        <v>0</v>
      </c>
      <c r="N741" s="5">
        <f t="shared" si="140"/>
        <v>0</v>
      </c>
      <c r="O741" s="5">
        <f t="shared" si="141"/>
        <v>0</v>
      </c>
      <c r="P741" s="5">
        <f t="shared" si="142"/>
        <v>0</v>
      </c>
    </row>
    <row r="742" spans="1:16" x14ac:dyDescent="0.25">
      <c r="A742" t="s">
        <v>95</v>
      </c>
      <c r="B742">
        <v>2018</v>
      </c>
      <c r="C742" s="7">
        <f>'1_Du_lieu'!V75</f>
        <v>3.708682081410116</v>
      </c>
      <c r="D742" s="9">
        <f>'1_Du_lieu'!W75</f>
        <v>3.9278963545844361</v>
      </c>
      <c r="E742" s="9">
        <f>'1_Du_lieu'!L75</f>
        <v>3.0670000000000002</v>
      </c>
      <c r="F742" s="9">
        <f>'1_Du_lieu'!M75</f>
        <v>11.41</v>
      </c>
      <c r="G742" s="9">
        <f>'1_Du_lieu'!N75</f>
        <v>16.7</v>
      </c>
      <c r="H742" s="9">
        <f>'1_Du_lieu'!X75</f>
        <v>2.3767396784877102</v>
      </c>
      <c r="I742" s="9">
        <f>'1_Du_lieu'!T75</f>
        <v>0.95639943741209554</v>
      </c>
      <c r="J742" s="9">
        <f>'1_Du_lieu'!Y75</f>
        <v>7.909893377315111</v>
      </c>
      <c r="K742" s="5">
        <f t="shared" si="137"/>
        <v>0</v>
      </c>
      <c r="L742" s="5">
        <f t="shared" si="138"/>
        <v>0</v>
      </c>
      <c r="M742" s="5">
        <f t="shared" si="139"/>
        <v>0</v>
      </c>
      <c r="N742" s="5">
        <f t="shared" si="140"/>
        <v>0</v>
      </c>
      <c r="O742" s="5">
        <f t="shared" si="141"/>
        <v>0</v>
      </c>
      <c r="P742" s="5">
        <f t="shared" si="142"/>
        <v>0</v>
      </c>
    </row>
    <row r="743" spans="1:16" x14ac:dyDescent="0.25">
      <c r="A743" t="s">
        <v>97</v>
      </c>
      <c r="B743">
        <v>2018</v>
      </c>
      <c r="C743" s="7">
        <f>'1_Du_lieu'!V76</f>
        <v>3.2580965380214821</v>
      </c>
      <c r="D743" s="9">
        <f>'1_Du_lieu'!W76</f>
        <v>3.5667118201397288</v>
      </c>
      <c r="E743" s="9">
        <f>'1_Du_lieu'!L76</f>
        <v>2.1219999999999999</v>
      </c>
      <c r="F743" s="9">
        <f>'1_Du_lieu'!M76</f>
        <v>20.350000000000001</v>
      </c>
      <c r="G743" s="9">
        <f>'1_Du_lieu'!N76</f>
        <v>17.7</v>
      </c>
      <c r="H743" s="9">
        <f>'1_Du_lieu'!X76</f>
        <v>1.4548811672674873</v>
      </c>
      <c r="I743" s="9">
        <f>'1_Du_lieu'!T76</f>
        <v>0.64102564102564097</v>
      </c>
      <c r="J743" s="9">
        <f>'1_Du_lieu'!Y76</f>
        <v>3.7681526350084442</v>
      </c>
      <c r="K743" s="5">
        <f t="shared" si="137"/>
        <v>0</v>
      </c>
      <c r="L743" s="5">
        <f t="shared" si="138"/>
        <v>0</v>
      </c>
      <c r="M743" s="5">
        <f t="shared" si="139"/>
        <v>0</v>
      </c>
      <c r="N743" s="5">
        <f t="shared" si="140"/>
        <v>0</v>
      </c>
      <c r="O743" s="5">
        <f t="shared" si="141"/>
        <v>0</v>
      </c>
      <c r="P743" s="5">
        <f t="shared" si="142"/>
        <v>0</v>
      </c>
    </row>
    <row r="744" spans="1:16" x14ac:dyDescent="0.25">
      <c r="A744" t="s">
        <v>98</v>
      </c>
      <c r="B744">
        <v>2018</v>
      </c>
      <c r="C744" s="7">
        <f>'1_Du_lieu'!V77</f>
        <v>3.8351419610921882</v>
      </c>
      <c r="D744" s="9">
        <f>'1_Du_lieu'!W77</f>
        <v>4.9760438493266363</v>
      </c>
      <c r="E744" s="9">
        <f>'1_Du_lieu'!L77</f>
        <v>7.4139999999999997</v>
      </c>
      <c r="F744" s="9">
        <f>'1_Du_lieu'!M77</f>
        <v>27.34</v>
      </c>
      <c r="G744" s="9">
        <f>'1_Du_lieu'!N77</f>
        <v>28</v>
      </c>
      <c r="H744" s="9">
        <f>'1_Du_lieu'!X77</f>
        <v>2.6817444583103187</v>
      </c>
      <c r="I744" s="9">
        <f>'1_Du_lieu'!T77</f>
        <v>1.9442159575263591</v>
      </c>
      <c r="J744" s="9">
        <f>'1_Du_lieu'!Y77</f>
        <v>9.4672513326360601</v>
      </c>
      <c r="K744" s="5">
        <f t="shared" si="137"/>
        <v>0</v>
      </c>
      <c r="L744" s="5">
        <f t="shared" si="138"/>
        <v>0</v>
      </c>
      <c r="M744" s="5">
        <f t="shared" si="139"/>
        <v>0</v>
      </c>
      <c r="N744" s="5">
        <f t="shared" si="140"/>
        <v>0</v>
      </c>
      <c r="O744" s="5">
        <f t="shared" si="141"/>
        <v>0</v>
      </c>
      <c r="P744" s="5">
        <f t="shared" si="142"/>
        <v>0</v>
      </c>
    </row>
    <row r="745" spans="1:16" x14ac:dyDescent="0.25">
      <c r="A745" t="s">
        <v>100</v>
      </c>
      <c r="B745">
        <v>2018</v>
      </c>
      <c r="C745" s="7">
        <f>'1_Du_lieu'!V78</f>
        <v>3.572345637857985</v>
      </c>
      <c r="D745" s="9">
        <f>'1_Du_lieu'!W78</f>
        <v>3.6054978451748854</v>
      </c>
      <c r="E745" s="9">
        <f>'1_Du_lieu'!L78</f>
        <v>2.464</v>
      </c>
      <c r="F745" s="9">
        <f>'1_Du_lieu'!M78</f>
        <v>9.82</v>
      </c>
      <c r="G745" s="9">
        <f>'1_Du_lieu'!N78</f>
        <v>9.1999999999999993</v>
      </c>
      <c r="H745" s="9">
        <f>'1_Du_lieu'!X78</f>
        <v>0.95610942387680431</v>
      </c>
      <c r="I745" s="9">
        <f>'1_Du_lieu'!T78</f>
        <v>0.23328149300155523</v>
      </c>
      <c r="J745" s="9">
        <f>'1_Du_lieu'!Y78</f>
        <v>6.709670127008704</v>
      </c>
      <c r="K745" s="5">
        <f t="shared" si="137"/>
        <v>0</v>
      </c>
      <c r="L745" s="5">
        <f t="shared" si="138"/>
        <v>0</v>
      </c>
      <c r="M745" s="5">
        <f t="shared" si="139"/>
        <v>0</v>
      </c>
      <c r="N745" s="5">
        <f t="shared" si="140"/>
        <v>0</v>
      </c>
      <c r="O745" s="5">
        <f t="shared" si="141"/>
        <v>0</v>
      </c>
      <c r="P745" s="5">
        <f t="shared" si="142"/>
        <v>0</v>
      </c>
    </row>
    <row r="746" spans="1:16" x14ac:dyDescent="0.25">
      <c r="A746" t="s">
        <v>103</v>
      </c>
      <c r="B746">
        <v>2018</v>
      </c>
      <c r="C746" s="7">
        <f>'1_Du_lieu'!V81</f>
        <v>3.7160081215021892</v>
      </c>
      <c r="D746" s="9">
        <f>'1_Du_lieu'!W81</f>
        <v>4.2165621949463494</v>
      </c>
      <c r="E746" s="9">
        <f>'1_Du_lieu'!L81</f>
        <v>6.3730000000000002</v>
      </c>
      <c r="F746" s="9">
        <f>'1_Du_lieu'!M81</f>
        <v>69.28</v>
      </c>
      <c r="G746" s="9">
        <f>'1_Du_lieu'!N81</f>
        <v>24.2</v>
      </c>
      <c r="H746" s="9">
        <f>'1_Du_lieu'!X81</f>
        <v>1.1968775613767157</v>
      </c>
      <c r="I746" s="9">
        <f>'1_Du_lieu'!T81</f>
        <v>1.5476093508186037</v>
      </c>
      <c r="J746" s="9">
        <f>'1_Du_lieu'!Y81</f>
        <v>6.3377102955561755</v>
      </c>
      <c r="K746" s="5">
        <f t="shared" si="137"/>
        <v>0</v>
      </c>
      <c r="L746" s="5">
        <f t="shared" si="138"/>
        <v>0</v>
      </c>
      <c r="M746" s="5">
        <f t="shared" si="139"/>
        <v>0</v>
      </c>
      <c r="N746" s="5">
        <f t="shared" si="140"/>
        <v>0</v>
      </c>
      <c r="O746" s="5">
        <f t="shared" si="141"/>
        <v>0</v>
      </c>
      <c r="P746" s="5">
        <f t="shared" si="142"/>
        <v>0</v>
      </c>
    </row>
    <row r="747" spans="1:16" x14ac:dyDescent="0.25">
      <c r="A747" t="s">
        <v>104</v>
      </c>
      <c r="B747">
        <v>2018</v>
      </c>
      <c r="C747" s="7">
        <f>'1_Du_lieu'!V82</f>
        <v>3.4045251717548299</v>
      </c>
      <c r="D747" s="9">
        <f>'1_Du_lieu'!W82</f>
        <v>3.6712245188752153</v>
      </c>
      <c r="E747" s="9">
        <f>'1_Du_lieu'!L82</f>
        <v>2.4140000000000001</v>
      </c>
      <c r="F747" s="9">
        <f>'1_Du_lieu'!M82</f>
        <v>28.92</v>
      </c>
      <c r="G747" s="9">
        <f>'1_Du_lieu'!N82</f>
        <v>10.4</v>
      </c>
      <c r="H747" s="9">
        <f>'1_Du_lieu'!X82</f>
        <v>2.5180102261790078</v>
      </c>
      <c r="I747" s="9">
        <f>'1_Du_lieu'!T82</f>
        <v>1.0028749080698001</v>
      </c>
      <c r="J747" s="9">
        <f>'1_Du_lieu'!Y82</f>
        <v>2.2192034840549946</v>
      </c>
      <c r="K747" s="5">
        <f t="shared" si="137"/>
        <v>0</v>
      </c>
      <c r="L747" s="5">
        <f t="shared" si="138"/>
        <v>0</v>
      </c>
      <c r="M747" s="5">
        <f t="shared" si="139"/>
        <v>0</v>
      </c>
      <c r="N747" s="5">
        <f t="shared" si="140"/>
        <v>0</v>
      </c>
      <c r="O747" s="5">
        <f t="shared" si="141"/>
        <v>0</v>
      </c>
      <c r="P747" s="5">
        <f t="shared" si="142"/>
        <v>0</v>
      </c>
    </row>
    <row r="748" spans="1:16" x14ac:dyDescent="0.25">
      <c r="A748" t="s">
        <v>107</v>
      </c>
      <c r="B748">
        <v>2018</v>
      </c>
      <c r="C748" s="7">
        <f>'1_Du_lieu'!V84</f>
        <v>3.5553480614894135</v>
      </c>
      <c r="D748" s="9">
        <f>'1_Du_lieu'!W84</f>
        <v>4.0306945351456447</v>
      </c>
      <c r="E748" s="9">
        <f>'1_Du_lieu'!L84</f>
        <v>4.4279999999999999</v>
      </c>
      <c r="F748" s="9">
        <f>'1_Du_lieu'!M84</f>
        <v>16.62</v>
      </c>
      <c r="G748" s="9">
        <f>'1_Du_lieu'!N84</f>
        <v>20.8</v>
      </c>
      <c r="H748" s="9">
        <f>'1_Du_lieu'!X84</f>
        <v>2.7124868875451855</v>
      </c>
      <c r="I748" s="9">
        <f>'1_Du_lieu'!T84</f>
        <v>1.534647621296187</v>
      </c>
      <c r="J748" s="9">
        <f>'1_Du_lieu'!Y84</f>
        <v>8.1041595138081206</v>
      </c>
      <c r="K748" s="5">
        <f t="shared" si="137"/>
        <v>0</v>
      </c>
      <c r="L748" s="5">
        <f t="shared" si="138"/>
        <v>0</v>
      </c>
      <c r="M748" s="5">
        <f t="shared" si="139"/>
        <v>0</v>
      </c>
      <c r="N748" s="5">
        <f t="shared" si="140"/>
        <v>0</v>
      </c>
      <c r="O748" s="5">
        <f t="shared" si="141"/>
        <v>0</v>
      </c>
      <c r="P748" s="5">
        <f t="shared" si="142"/>
        <v>0</v>
      </c>
    </row>
    <row r="749" spans="1:16" x14ac:dyDescent="0.25">
      <c r="A749" t="s">
        <v>108</v>
      </c>
      <c r="B749">
        <v>2018</v>
      </c>
      <c r="C749" s="7">
        <f>'1_Du_lieu'!V85</f>
        <v>4.3795235044557632</v>
      </c>
      <c r="D749" s="9">
        <f>'1_Du_lieu'!W85</f>
        <v>4.7149210499472103</v>
      </c>
      <c r="E749" s="9">
        <f>'1_Du_lieu'!L85</f>
        <v>18.082999999999998</v>
      </c>
      <c r="F749" s="9">
        <f>'1_Du_lieu'!M85</f>
        <v>49.34</v>
      </c>
      <c r="G749" s="9">
        <f>'1_Du_lieu'!N85</f>
        <v>42</v>
      </c>
      <c r="H749" s="9">
        <f>'1_Du_lieu'!X85</f>
        <v>2.6381679691512341</v>
      </c>
      <c r="I749" s="9">
        <f>'1_Du_lieu'!T85</f>
        <v>1.9710657653673636</v>
      </c>
      <c r="J749" s="9">
        <f>'1_Du_lieu'!Y85</f>
        <v>8.3398830564451991</v>
      </c>
      <c r="K749" s="5">
        <f t="shared" si="137"/>
        <v>0</v>
      </c>
      <c r="L749" s="5">
        <f t="shared" si="138"/>
        <v>0</v>
      </c>
      <c r="M749" s="5">
        <f t="shared" si="139"/>
        <v>0</v>
      </c>
      <c r="N749" s="5">
        <f t="shared" si="140"/>
        <v>0</v>
      </c>
      <c r="O749" s="5">
        <f t="shared" si="141"/>
        <v>0</v>
      </c>
      <c r="P749" s="5">
        <f t="shared" si="142"/>
        <v>0</v>
      </c>
    </row>
    <row r="750" spans="1:16" x14ac:dyDescent="0.25">
      <c r="A750" t="s">
        <v>109</v>
      </c>
      <c r="B750">
        <v>2018</v>
      </c>
      <c r="C750" s="7">
        <f>'1_Du_lieu'!V86</f>
        <v>3.5174978373583161</v>
      </c>
      <c r="D750" s="9">
        <f>'1_Du_lieu'!W86</f>
        <v>4.0018637094279352</v>
      </c>
      <c r="E750" s="9">
        <f>'1_Du_lieu'!L86</f>
        <v>3.4740000000000002</v>
      </c>
      <c r="F750" s="9">
        <f>'1_Du_lieu'!M86</f>
        <v>19.14</v>
      </c>
      <c r="G750" s="9">
        <f>'1_Du_lieu'!N86</f>
        <v>24.2</v>
      </c>
      <c r="H750" s="9">
        <f>'1_Du_lieu'!X86</f>
        <v>3.2819939703150487</v>
      </c>
      <c r="I750" s="9">
        <f>'1_Du_lieu'!T86</f>
        <v>0.54666146036704411</v>
      </c>
      <c r="J750" s="9">
        <f>'1_Du_lieu'!Y86</f>
        <v>9.121454511967741</v>
      </c>
      <c r="K750" s="5">
        <f t="shared" si="137"/>
        <v>0</v>
      </c>
      <c r="L750" s="5">
        <f t="shared" si="138"/>
        <v>0</v>
      </c>
      <c r="M750" s="5">
        <f t="shared" si="139"/>
        <v>0</v>
      </c>
      <c r="N750" s="5">
        <f t="shared" si="140"/>
        <v>0</v>
      </c>
      <c r="O750" s="5">
        <f t="shared" si="141"/>
        <v>0</v>
      </c>
      <c r="P750" s="5">
        <f t="shared" si="142"/>
        <v>0</v>
      </c>
    </row>
    <row r="751" spans="1:16" x14ac:dyDescent="0.25">
      <c r="A751" t="s">
        <v>110</v>
      </c>
      <c r="B751">
        <v>2018</v>
      </c>
      <c r="C751" s="7">
        <f>'1_Du_lieu'!V87</f>
        <v>3.4372078191851885</v>
      </c>
      <c r="D751" s="9">
        <f>'1_Du_lieu'!W87</f>
        <v>3.9963641538618968</v>
      </c>
      <c r="E751" s="9">
        <f>'1_Du_lieu'!L87</f>
        <v>2.5510000000000002</v>
      </c>
      <c r="F751" s="9">
        <f>'1_Du_lieu'!M87</f>
        <v>15.66</v>
      </c>
      <c r="G751" s="9">
        <f>'1_Du_lieu'!N87</f>
        <v>17.399999999999999</v>
      </c>
      <c r="H751" s="9">
        <f>'1_Du_lieu'!X87</f>
        <v>2.1945818074327996</v>
      </c>
      <c r="I751" s="9">
        <f>'1_Du_lieu'!T87</f>
        <v>0.70555032925682037</v>
      </c>
      <c r="J751" s="9">
        <f>'1_Du_lieu'!Y87</f>
        <v>6.7390999129519971</v>
      </c>
      <c r="K751" s="5">
        <f t="shared" si="137"/>
        <v>0</v>
      </c>
      <c r="L751" s="5">
        <f t="shared" si="138"/>
        <v>0</v>
      </c>
      <c r="M751" s="5">
        <f t="shared" si="139"/>
        <v>0</v>
      </c>
      <c r="N751" s="5">
        <f t="shared" si="140"/>
        <v>0</v>
      </c>
      <c r="O751" s="5">
        <f t="shared" si="141"/>
        <v>0</v>
      </c>
      <c r="P751" s="5">
        <f t="shared" si="142"/>
        <v>0</v>
      </c>
    </row>
    <row r="752" spans="1:16" x14ac:dyDescent="0.25">
      <c r="A752" t="s">
        <v>111</v>
      </c>
      <c r="B752">
        <v>2018</v>
      </c>
      <c r="C752" s="7">
        <f>'1_Du_lieu'!V88</f>
        <v>3.5467396869528134</v>
      </c>
      <c r="D752" s="9">
        <f>'1_Du_lieu'!W88</f>
        <v>4.203198967134183</v>
      </c>
      <c r="E752" s="9">
        <f>'1_Du_lieu'!L88</f>
        <v>5.3140000000000001</v>
      </c>
      <c r="F752" s="9">
        <f>'1_Du_lieu'!M88</f>
        <v>12.19</v>
      </c>
      <c r="G752" s="9">
        <f>'1_Du_lieu'!N88</f>
        <v>20.399999999999999</v>
      </c>
      <c r="H752" s="9">
        <f>'1_Du_lieu'!X88</f>
        <v>3.0861903626335989</v>
      </c>
      <c r="I752" s="9">
        <f>'1_Du_lieu'!T88</f>
        <v>0.88538312942691555</v>
      </c>
      <c r="J752" s="9">
        <f>'1_Du_lieu'!Y88</f>
        <v>8.1836486648663591</v>
      </c>
      <c r="K752" s="5">
        <f t="shared" si="137"/>
        <v>0</v>
      </c>
      <c r="L752" s="5">
        <f t="shared" si="138"/>
        <v>0</v>
      </c>
      <c r="M752" s="5">
        <f t="shared" si="139"/>
        <v>0</v>
      </c>
      <c r="N752" s="5">
        <f t="shared" si="140"/>
        <v>0</v>
      </c>
      <c r="O752" s="5">
        <f t="shared" si="141"/>
        <v>0</v>
      </c>
      <c r="P752" s="5">
        <f t="shared" si="142"/>
        <v>0</v>
      </c>
    </row>
    <row r="753" spans="1:16" x14ac:dyDescent="0.25">
      <c r="A753" t="s">
        <v>112</v>
      </c>
      <c r="B753">
        <v>2018</v>
      </c>
      <c r="C753" s="7">
        <f>'1_Du_lieu'!V89</f>
        <v>3.763522997109702</v>
      </c>
      <c r="D753" s="9">
        <f>'1_Du_lieu'!W89</f>
        <v>4.1141471895182802</v>
      </c>
      <c r="E753" s="9">
        <f>'1_Du_lieu'!L89</f>
        <v>4.3710000000000004</v>
      </c>
      <c r="F753" s="9">
        <f>'1_Du_lieu'!M89</f>
        <v>24.68</v>
      </c>
      <c r="G753" s="9">
        <f>'1_Du_lieu'!N89</f>
        <v>17.5</v>
      </c>
      <c r="H753" s="9">
        <f>'1_Du_lieu'!X89</f>
        <v>2.9623291899942457</v>
      </c>
      <c r="I753" s="9">
        <f>'1_Du_lieu'!T89</f>
        <v>0.58582308142940831</v>
      </c>
      <c r="J753" s="9">
        <f>'1_Du_lieu'!Y89</f>
        <v>8.3267104223415753</v>
      </c>
      <c r="K753" s="5">
        <f t="shared" si="137"/>
        <v>0</v>
      </c>
      <c r="L753" s="5">
        <f t="shared" si="138"/>
        <v>0</v>
      </c>
      <c r="M753" s="5">
        <f t="shared" si="139"/>
        <v>0</v>
      </c>
      <c r="N753" s="5">
        <f t="shared" si="140"/>
        <v>0</v>
      </c>
      <c r="O753" s="5">
        <f t="shared" si="141"/>
        <v>0</v>
      </c>
      <c r="P753" s="5">
        <f t="shared" si="142"/>
        <v>0</v>
      </c>
    </row>
    <row r="754" spans="1:16" x14ac:dyDescent="0.25">
      <c r="A754" t="s">
        <v>113</v>
      </c>
      <c r="B754">
        <v>2018</v>
      </c>
      <c r="C754" s="7">
        <f>'1_Du_lieu'!V90</f>
        <v>4.0055133485154846</v>
      </c>
      <c r="D754" s="9">
        <f>'1_Du_lieu'!W90</f>
        <v>4.6482296754485386</v>
      </c>
      <c r="E754" s="9">
        <f>'1_Du_lieu'!L90</f>
        <v>10.718999999999999</v>
      </c>
      <c r="F754" s="9">
        <f>'1_Du_lieu'!M90</f>
        <v>45.64</v>
      </c>
      <c r="G754" s="9">
        <f>'1_Du_lieu'!N90</f>
        <v>31.3</v>
      </c>
      <c r="H754" s="9">
        <f>'1_Du_lieu'!X90</f>
        <v>3.6295577454118062</v>
      </c>
      <c r="I754" s="9">
        <f>'1_Du_lieu'!T90</f>
        <v>1.6861733782979567</v>
      </c>
      <c r="J754" s="9">
        <f>'1_Du_lieu'!Y90</f>
        <v>9.078544615121249</v>
      </c>
      <c r="K754" s="5">
        <f t="shared" si="137"/>
        <v>0</v>
      </c>
      <c r="L754" s="5">
        <f t="shared" si="138"/>
        <v>0</v>
      </c>
      <c r="M754" s="5">
        <f t="shared" si="139"/>
        <v>0</v>
      </c>
      <c r="N754" s="5">
        <f t="shared" si="140"/>
        <v>0</v>
      </c>
      <c r="O754" s="5">
        <f t="shared" si="141"/>
        <v>0</v>
      </c>
      <c r="P754" s="5">
        <f t="shared" si="142"/>
        <v>0</v>
      </c>
    </row>
    <row r="755" spans="1:16" x14ac:dyDescent="0.25">
      <c r="A755" t="s">
        <v>115</v>
      </c>
      <c r="B755">
        <v>2018</v>
      </c>
      <c r="C755" s="7">
        <f>'1_Du_lieu'!V92</f>
        <v>3.6963514689526371</v>
      </c>
      <c r="D755" s="9">
        <f>'1_Du_lieu'!W92</f>
        <v>4.1573193613834887</v>
      </c>
      <c r="E755" s="9">
        <f>'1_Du_lieu'!L92</f>
        <v>8.4939999999999998</v>
      </c>
      <c r="F755" s="9">
        <f>'1_Du_lieu'!M92</f>
        <v>42.03</v>
      </c>
      <c r="G755" s="9">
        <f>'1_Du_lieu'!N92</f>
        <v>18.8</v>
      </c>
      <c r="H755" s="9">
        <f>'1_Du_lieu'!X92</f>
        <v>2.9408909675389538</v>
      </c>
      <c r="I755" s="9">
        <f>'1_Du_lieu'!T92</f>
        <v>2.5316455696202533</v>
      </c>
      <c r="J755" s="9">
        <f>'1_Du_lieu'!Y92</f>
        <v>8.1507853215615995</v>
      </c>
      <c r="K755" s="5">
        <f t="shared" si="137"/>
        <v>0</v>
      </c>
      <c r="L755" s="5">
        <f t="shared" si="138"/>
        <v>0</v>
      </c>
      <c r="M755" s="5">
        <f t="shared" si="139"/>
        <v>0</v>
      </c>
      <c r="N755" s="5">
        <f t="shared" si="140"/>
        <v>0</v>
      </c>
      <c r="O755" s="5">
        <f t="shared" si="141"/>
        <v>0</v>
      </c>
      <c r="P755" s="5">
        <f t="shared" si="142"/>
        <v>0</v>
      </c>
    </row>
    <row r="756" spans="1:16" x14ac:dyDescent="0.25">
      <c r="A756" t="s">
        <v>116</v>
      </c>
      <c r="B756">
        <v>2018</v>
      </c>
      <c r="C756" s="7">
        <f>'1_Du_lieu'!V93</f>
        <v>3.5638829639392511</v>
      </c>
      <c r="D756" s="9">
        <f>'1_Du_lieu'!W93</f>
        <v>3.9512437185814275</v>
      </c>
      <c r="E756" s="9">
        <f>'1_Du_lieu'!L93</f>
        <v>4.2930000000000001</v>
      </c>
      <c r="F756" s="9">
        <f>'1_Du_lieu'!M93</f>
        <v>28.21</v>
      </c>
      <c r="G756" s="9">
        <f>'1_Du_lieu'!N93</f>
        <v>15.4</v>
      </c>
      <c r="H756" s="9">
        <f>'1_Du_lieu'!X93</f>
        <v>0.71005712035601831</v>
      </c>
      <c r="I756" s="9">
        <f>'1_Du_lieu'!T93</f>
        <v>0.5820382981200164</v>
      </c>
      <c r="J756" s="9">
        <f>'1_Du_lieu'!Y93</f>
        <v>7.9196470574456814</v>
      </c>
      <c r="K756" s="5">
        <f t="shared" si="137"/>
        <v>0</v>
      </c>
      <c r="L756" s="5">
        <f t="shared" si="138"/>
        <v>0</v>
      </c>
      <c r="M756" s="5">
        <f t="shared" si="139"/>
        <v>0</v>
      </c>
      <c r="N756" s="5">
        <f t="shared" si="140"/>
        <v>0</v>
      </c>
      <c r="O756" s="5">
        <f t="shared" si="141"/>
        <v>0</v>
      </c>
      <c r="P756" s="5">
        <f t="shared" si="142"/>
        <v>0</v>
      </c>
    </row>
    <row r="757" spans="1:16" x14ac:dyDescent="0.25">
      <c r="A757" t="s">
        <v>117</v>
      </c>
      <c r="B757">
        <v>2018</v>
      </c>
      <c r="C757" s="7">
        <f>'1_Du_lieu'!V94</f>
        <v>3.3672958299864741</v>
      </c>
      <c r="D757" s="9">
        <f>'1_Du_lieu'!W94</f>
        <v>3.6323091026255421</v>
      </c>
      <c r="E757" s="9">
        <f>'1_Du_lieu'!L94</f>
        <v>2.9510000000000001</v>
      </c>
      <c r="F757" s="9">
        <f>'1_Du_lieu'!M94</f>
        <v>32.119999999999997</v>
      </c>
      <c r="G757" s="9">
        <f>'1_Du_lieu'!N94</f>
        <v>18</v>
      </c>
      <c r="H757" s="9">
        <f>'1_Du_lieu'!X94</f>
        <v>2.3042366210325187</v>
      </c>
      <c r="I757" s="9">
        <f>'1_Du_lieu'!T94</f>
        <v>0.37565740045078888</v>
      </c>
      <c r="J757" s="9">
        <f>'1_Du_lieu'!Y94</f>
        <v>5.1173948306677897</v>
      </c>
      <c r="K757" s="5">
        <f t="shared" si="137"/>
        <v>0</v>
      </c>
      <c r="L757" s="5">
        <f t="shared" si="138"/>
        <v>0</v>
      </c>
      <c r="M757" s="5">
        <f t="shared" si="139"/>
        <v>0</v>
      </c>
      <c r="N757" s="5">
        <f t="shared" si="140"/>
        <v>0</v>
      </c>
      <c r="O757" s="5">
        <f t="shared" si="141"/>
        <v>0</v>
      </c>
      <c r="P757" s="5">
        <f t="shared" si="142"/>
        <v>0</v>
      </c>
    </row>
    <row r="758" spans="1:16" x14ac:dyDescent="0.25">
      <c r="A758" t="s">
        <v>119</v>
      </c>
      <c r="B758">
        <v>2018</v>
      </c>
      <c r="C758" s="7">
        <f>'1_Du_lieu'!V96</f>
        <v>3.5322256440685598</v>
      </c>
      <c r="D758" s="9">
        <f>'1_Du_lieu'!W96</f>
        <v>4.1850989254905651</v>
      </c>
      <c r="E758" s="9">
        <f>'1_Du_lieu'!L96</f>
        <v>5.2910000000000004</v>
      </c>
      <c r="F758" s="9">
        <f>'1_Du_lieu'!M96</f>
        <v>16.21</v>
      </c>
      <c r="G758" s="9">
        <f>'1_Du_lieu'!N96</f>
        <v>16.100000000000001</v>
      </c>
      <c r="H758" s="9">
        <f>'1_Du_lieu'!X96</f>
        <v>1.2077479080171318</v>
      </c>
      <c r="I758" s="9">
        <f>'1_Du_lieu'!T96</f>
        <v>0.47650247185657274</v>
      </c>
      <c r="J758" s="9">
        <f>'1_Du_lieu'!Y96</f>
        <v>8.3908360025397144</v>
      </c>
      <c r="K758" s="5">
        <f t="shared" si="137"/>
        <v>0</v>
      </c>
      <c r="L758" s="5">
        <f t="shared" si="138"/>
        <v>0</v>
      </c>
      <c r="M758" s="5">
        <f t="shared" si="139"/>
        <v>0</v>
      </c>
      <c r="N758" s="5">
        <f t="shared" si="140"/>
        <v>0</v>
      </c>
      <c r="O758" s="5">
        <f t="shared" si="141"/>
        <v>0</v>
      </c>
      <c r="P758" s="5">
        <f t="shared" si="142"/>
        <v>0</v>
      </c>
    </row>
    <row r="759" spans="1:16" x14ac:dyDescent="0.25">
      <c r="A759" t="s">
        <v>120</v>
      </c>
      <c r="B759">
        <v>2018</v>
      </c>
      <c r="C759" s="7">
        <f>'1_Du_lieu'!V97</f>
        <v>3.5174978373583161</v>
      </c>
      <c r="D759" s="9">
        <f>'1_Du_lieu'!W97</f>
        <v>4.1303549997451334</v>
      </c>
      <c r="E759" s="9">
        <f>'1_Du_lieu'!L97</f>
        <v>3.5819999999999999</v>
      </c>
      <c r="F759" s="9">
        <f>'1_Du_lieu'!M97</f>
        <v>23.17</v>
      </c>
      <c r="G759" s="9">
        <f>'1_Du_lieu'!N97</f>
        <v>17.100000000000001</v>
      </c>
      <c r="H759" s="9">
        <f>'1_Du_lieu'!X97</f>
        <v>1.9861358028062526</v>
      </c>
      <c r="I759" s="9">
        <f>'1_Du_lieu'!T97</f>
        <v>1.942286348501665</v>
      </c>
      <c r="J759" s="9">
        <f>'1_Du_lieu'!Y97</f>
        <v>6.6927038975652637</v>
      </c>
      <c r="K759" s="5">
        <f t="shared" si="137"/>
        <v>0</v>
      </c>
      <c r="L759" s="5">
        <f t="shared" si="138"/>
        <v>0</v>
      </c>
      <c r="M759" s="5">
        <f t="shared" si="139"/>
        <v>0</v>
      </c>
      <c r="N759" s="5">
        <f t="shared" si="140"/>
        <v>0</v>
      </c>
      <c r="O759" s="5">
        <f t="shared" si="141"/>
        <v>0</v>
      </c>
      <c r="P759" s="5">
        <f t="shared" si="142"/>
        <v>0</v>
      </c>
    </row>
    <row r="760" spans="1:16" x14ac:dyDescent="0.25">
      <c r="A760" t="s">
        <v>121</v>
      </c>
      <c r="B760">
        <v>2018</v>
      </c>
      <c r="C760" s="7">
        <f>'1_Du_lieu'!V98</f>
        <v>3.5807372954942331</v>
      </c>
      <c r="D760" s="9">
        <f>'1_Du_lieu'!W98</f>
        <v>4.0253516907351496</v>
      </c>
      <c r="E760" s="9">
        <f>'1_Du_lieu'!L98</f>
        <v>4.5519999999999996</v>
      </c>
      <c r="F760" s="9">
        <f>'1_Du_lieu'!M98</f>
        <v>39.07</v>
      </c>
      <c r="G760" s="9">
        <f>'1_Du_lieu'!N98</f>
        <v>16.600000000000001</v>
      </c>
      <c r="H760" s="9">
        <f>'1_Du_lieu'!X98</f>
        <v>2.2817721986969413</v>
      </c>
      <c r="I760" s="9">
        <f>'1_Du_lieu'!T98</f>
        <v>0.54204739042899175</v>
      </c>
      <c r="J760" s="9">
        <f>'1_Du_lieu'!Y98</f>
        <v>5.9826760410749023</v>
      </c>
      <c r="K760" s="5">
        <f t="shared" si="137"/>
        <v>0</v>
      </c>
      <c r="L760" s="5">
        <f t="shared" si="138"/>
        <v>0</v>
      </c>
      <c r="M760" s="5">
        <f t="shared" si="139"/>
        <v>0</v>
      </c>
      <c r="N760" s="5">
        <f t="shared" si="140"/>
        <v>0</v>
      </c>
      <c r="O760" s="5">
        <f t="shared" si="141"/>
        <v>0</v>
      </c>
      <c r="P760" s="5">
        <f t="shared" si="142"/>
        <v>0</v>
      </c>
    </row>
    <row r="761" spans="1:16" x14ac:dyDescent="0.25">
      <c r="A761" t="s">
        <v>122</v>
      </c>
      <c r="B761">
        <v>2018</v>
      </c>
      <c r="C761" s="7">
        <f>'1_Du_lieu'!V99</f>
        <v>3.3068867021909143</v>
      </c>
      <c r="D761" s="9">
        <f>'1_Du_lieu'!W99</f>
        <v>3.6454498961866002</v>
      </c>
      <c r="E761" s="9">
        <f>'1_Du_lieu'!L99</f>
        <v>2.25</v>
      </c>
      <c r="F761" s="9">
        <f>'1_Du_lieu'!M99</f>
        <v>20.34</v>
      </c>
      <c r="G761" s="9">
        <f>'1_Du_lieu'!N99</f>
        <v>19.8</v>
      </c>
      <c r="H761" s="9">
        <f>'1_Du_lieu'!X99</f>
        <v>2.0221371766119796</v>
      </c>
      <c r="I761" s="9">
        <f>'1_Du_lieu'!T99</f>
        <v>0.77329552777419774</v>
      </c>
      <c r="J761" s="9">
        <f>'1_Du_lieu'!Y99</f>
        <v>5.7258700711202062</v>
      </c>
      <c r="K761" s="5">
        <f t="shared" si="137"/>
        <v>0</v>
      </c>
      <c r="L761" s="5">
        <f t="shared" si="138"/>
        <v>0</v>
      </c>
      <c r="M761" s="5">
        <f t="shared" si="139"/>
        <v>0</v>
      </c>
      <c r="N761" s="5">
        <f t="shared" si="140"/>
        <v>0</v>
      </c>
      <c r="O761" s="5">
        <f t="shared" si="141"/>
        <v>0</v>
      </c>
      <c r="P761" s="5">
        <f t="shared" si="142"/>
        <v>0</v>
      </c>
    </row>
    <row r="762" spans="1:16" x14ac:dyDescent="0.25">
      <c r="A762" t="s">
        <v>123</v>
      </c>
      <c r="B762">
        <v>2018</v>
      </c>
      <c r="C762" s="7">
        <f>'1_Du_lieu'!V100</f>
        <v>3.6323091026255421</v>
      </c>
      <c r="D762" s="9">
        <f>'1_Du_lieu'!W100</f>
        <v>3.5524868292083815</v>
      </c>
      <c r="E762" s="9">
        <f>'1_Du_lieu'!L100</f>
        <v>3.069</v>
      </c>
      <c r="F762" s="9">
        <f>'1_Du_lieu'!M100</f>
        <v>18.170000000000002</v>
      </c>
      <c r="G762" s="9">
        <f>'1_Du_lieu'!N100</f>
        <v>15.9</v>
      </c>
      <c r="H762" s="9">
        <f>'1_Du_lieu'!X100</f>
        <v>1.8726640750268817</v>
      </c>
      <c r="I762" s="9">
        <f>'1_Du_lieu'!T100</f>
        <v>0.78466539625602505</v>
      </c>
      <c r="J762" s="9">
        <f>'1_Du_lieu'!Y100</f>
        <v>7.5176838807911492</v>
      </c>
      <c r="K762" s="5">
        <f t="shared" si="137"/>
        <v>0</v>
      </c>
      <c r="L762" s="5">
        <f t="shared" si="138"/>
        <v>0</v>
      </c>
      <c r="M762" s="5">
        <f t="shared" si="139"/>
        <v>0</v>
      </c>
      <c r="N762" s="5">
        <f t="shared" si="140"/>
        <v>0</v>
      </c>
      <c r="O762" s="5">
        <f t="shared" si="141"/>
        <v>0</v>
      </c>
      <c r="P762" s="5">
        <f t="shared" si="142"/>
        <v>0</v>
      </c>
    </row>
    <row r="763" spans="1:16" x14ac:dyDescent="0.25">
      <c r="A763" t="s">
        <v>124</v>
      </c>
      <c r="B763">
        <v>2018</v>
      </c>
      <c r="C763" s="7">
        <f>'1_Du_lieu'!V101</f>
        <v>3.6375861597263857</v>
      </c>
      <c r="D763" s="9">
        <f>'1_Du_lieu'!W101</f>
        <v>3.597312260588446</v>
      </c>
      <c r="E763" s="9">
        <f>'1_Du_lieu'!L101</f>
        <v>3.5569999999999999</v>
      </c>
      <c r="F763" s="9">
        <f>'1_Du_lieu'!M101</f>
        <v>14.7</v>
      </c>
      <c r="G763" s="9">
        <f>'1_Du_lieu'!N101</f>
        <v>20.8</v>
      </c>
      <c r="H763" s="9">
        <f>'1_Du_lieu'!X101</f>
        <v>3.2740892374157871</v>
      </c>
      <c r="I763" s="9">
        <f>'1_Du_lieu'!T101</f>
        <v>2.6736343197423587</v>
      </c>
      <c r="J763" s="9">
        <f>'1_Du_lieu'!Y101</f>
        <v>6.3309678995383871</v>
      </c>
      <c r="K763" s="5">
        <f t="shared" si="137"/>
        <v>0</v>
      </c>
      <c r="L763" s="5">
        <f t="shared" si="138"/>
        <v>0</v>
      </c>
      <c r="M763" s="5">
        <f t="shared" si="139"/>
        <v>0</v>
      </c>
      <c r="N763" s="5">
        <f t="shared" si="140"/>
        <v>0</v>
      </c>
      <c r="O763" s="5">
        <f t="shared" si="141"/>
        <v>0</v>
      </c>
      <c r="P763" s="5">
        <f t="shared" si="142"/>
        <v>0</v>
      </c>
    </row>
    <row r="764" spans="1:16" x14ac:dyDescent="0.25">
      <c r="A764" t="s">
        <v>125</v>
      </c>
      <c r="B764">
        <v>2018</v>
      </c>
      <c r="C764" s="7">
        <f>'1_Du_lieu'!V102</f>
        <v>3.5835189384561099</v>
      </c>
      <c r="D764" s="9">
        <f>'1_Du_lieu'!W102</f>
        <v>3.9945242269398897</v>
      </c>
      <c r="E764" s="9">
        <f>'1_Du_lieu'!L102</f>
        <v>4.0529999999999999</v>
      </c>
      <c r="F764" s="9">
        <f>'1_Du_lieu'!M102</f>
        <v>20.64</v>
      </c>
      <c r="G764" s="9">
        <f>'1_Du_lieu'!N102</f>
        <v>27.4</v>
      </c>
      <c r="H764" s="9">
        <f>'1_Du_lieu'!X102</f>
        <v>3.2047538005881839</v>
      </c>
      <c r="I764" s="9">
        <f>'1_Du_lieu'!T102</f>
        <v>1.2311480455524775</v>
      </c>
      <c r="J764" s="9">
        <f>'1_Du_lieu'!Y102</f>
        <v>7.1575018120908807</v>
      </c>
      <c r="K764" s="5">
        <f t="shared" si="137"/>
        <v>0</v>
      </c>
      <c r="L764" s="5">
        <f t="shared" si="138"/>
        <v>0</v>
      </c>
      <c r="M764" s="5">
        <f t="shared" si="139"/>
        <v>0</v>
      </c>
      <c r="N764" s="5">
        <f t="shared" si="140"/>
        <v>0</v>
      </c>
      <c r="O764" s="5">
        <f t="shared" si="141"/>
        <v>0</v>
      </c>
      <c r="P764" s="5">
        <f t="shared" si="142"/>
        <v>0</v>
      </c>
    </row>
    <row r="765" spans="1:16" x14ac:dyDescent="0.25">
      <c r="A765" t="s">
        <v>126</v>
      </c>
      <c r="B765">
        <v>2018</v>
      </c>
      <c r="C765" s="7">
        <f>'1_Du_lieu'!V103</f>
        <v>3.4531571205928664</v>
      </c>
      <c r="D765" s="9">
        <f>'1_Du_lieu'!W103</f>
        <v>3.7773481021015445</v>
      </c>
      <c r="E765" s="9">
        <f>'1_Du_lieu'!L103</f>
        <v>3.53</v>
      </c>
      <c r="F765" s="9">
        <f>'1_Du_lieu'!M103</f>
        <v>35.78</v>
      </c>
      <c r="G765" s="9">
        <f>'1_Du_lieu'!N103</f>
        <v>19.3</v>
      </c>
      <c r="H765" s="9">
        <f>'1_Du_lieu'!X103</f>
        <v>2.1994861263297558</v>
      </c>
      <c r="I765" s="9">
        <f>'1_Du_lieu'!T103</f>
        <v>1.0188487009679064</v>
      </c>
      <c r="J765" s="9">
        <f>'1_Du_lieu'!Y103</f>
        <v>7.9641557188409369</v>
      </c>
      <c r="K765" s="5">
        <f t="shared" si="137"/>
        <v>0</v>
      </c>
      <c r="L765" s="5">
        <f t="shared" si="138"/>
        <v>0</v>
      </c>
      <c r="M765" s="5">
        <f t="shared" si="139"/>
        <v>0</v>
      </c>
      <c r="N765" s="5">
        <f t="shared" si="140"/>
        <v>0</v>
      </c>
      <c r="O765" s="5">
        <f t="shared" si="141"/>
        <v>0</v>
      </c>
      <c r="P765" s="5">
        <f t="shared" si="142"/>
        <v>0</v>
      </c>
    </row>
    <row r="766" spans="1:16" x14ac:dyDescent="0.25">
      <c r="A766" t="s">
        <v>127</v>
      </c>
      <c r="B766">
        <v>2018</v>
      </c>
      <c r="C766" s="7">
        <f>'1_Du_lieu'!V104</f>
        <v>3.6027767550605247</v>
      </c>
      <c r="D766" s="9">
        <f>'1_Du_lieu'!W104</f>
        <v>3.7495040759303713</v>
      </c>
      <c r="E766" s="9">
        <f>'1_Du_lieu'!L104</f>
        <v>3.2570000000000001</v>
      </c>
      <c r="F766" s="9">
        <f>'1_Du_lieu'!M104</f>
        <v>18.309999999999999</v>
      </c>
      <c r="G766" s="9">
        <f>'1_Du_lieu'!N104</f>
        <v>21.8</v>
      </c>
      <c r="H766" s="9">
        <f>'1_Du_lieu'!X104</f>
        <v>2.9766917729839886</v>
      </c>
      <c r="I766" s="9">
        <f>'1_Du_lieu'!T104</f>
        <v>1.1727373068432672</v>
      </c>
      <c r="J766" s="9">
        <f>'1_Du_lieu'!Y104</f>
        <v>6.7774187772541339</v>
      </c>
      <c r="K766" s="5">
        <f t="shared" si="137"/>
        <v>0</v>
      </c>
      <c r="L766" s="5">
        <f t="shared" si="138"/>
        <v>0</v>
      </c>
      <c r="M766" s="5">
        <f t="shared" si="139"/>
        <v>0</v>
      </c>
      <c r="N766" s="5">
        <f t="shared" si="140"/>
        <v>0</v>
      </c>
      <c r="O766" s="5">
        <f t="shared" si="141"/>
        <v>0</v>
      </c>
      <c r="P766" s="5">
        <f t="shared" si="142"/>
        <v>0</v>
      </c>
    </row>
    <row r="767" spans="1:16" x14ac:dyDescent="0.25">
      <c r="A767" t="s">
        <v>128</v>
      </c>
      <c r="B767">
        <v>2018</v>
      </c>
      <c r="C767" s="7">
        <f>'1_Du_lieu'!V105</f>
        <v>3.4995332823830174</v>
      </c>
      <c r="D767" s="9">
        <f>'1_Du_lieu'!W105</f>
        <v>3.7909846770510898</v>
      </c>
      <c r="E767" s="9">
        <f>'1_Du_lieu'!L105</f>
        <v>2.9910000000000001</v>
      </c>
      <c r="F767" s="9">
        <f>'1_Du_lieu'!M105</f>
        <v>28.74</v>
      </c>
      <c r="G767" s="9">
        <f>'1_Du_lieu'!N105</f>
        <v>14.8</v>
      </c>
      <c r="H767" s="9">
        <f>'1_Du_lieu'!X105</f>
        <v>2.62553296110302</v>
      </c>
      <c r="I767" s="9">
        <f>'1_Du_lieu'!T105</f>
        <v>0.57372346528973039</v>
      </c>
      <c r="J767" s="9">
        <f>'1_Du_lieu'!Y105</f>
        <v>7.618595019073001</v>
      </c>
      <c r="K767" s="5">
        <f t="shared" si="137"/>
        <v>0</v>
      </c>
      <c r="L767" s="5">
        <f t="shared" si="138"/>
        <v>0</v>
      </c>
      <c r="M767" s="5">
        <f t="shared" si="139"/>
        <v>0</v>
      </c>
      <c r="N767" s="5">
        <f t="shared" si="140"/>
        <v>0</v>
      </c>
      <c r="O767" s="5">
        <f t="shared" si="141"/>
        <v>0</v>
      </c>
      <c r="P767" s="5">
        <f t="shared" si="142"/>
        <v>0</v>
      </c>
    </row>
    <row r="768" spans="1:16" x14ac:dyDescent="0.25">
      <c r="A768" t="s">
        <v>129</v>
      </c>
      <c r="B768">
        <v>2018</v>
      </c>
      <c r="C768" s="7">
        <f>'1_Du_lieu'!V106</f>
        <v>3.4045251717548299</v>
      </c>
      <c r="D768" s="9">
        <f>'1_Du_lieu'!W106</f>
        <v>3.6813511876931448</v>
      </c>
      <c r="E768" s="9">
        <f>'1_Du_lieu'!L106</f>
        <v>4.5270000000000001</v>
      </c>
      <c r="F768" s="9">
        <f>'1_Du_lieu'!M106</f>
        <v>20.78</v>
      </c>
      <c r="G768" s="9">
        <f>'1_Du_lieu'!N106</f>
        <v>25.1</v>
      </c>
      <c r="H768" s="9">
        <f>'1_Du_lieu'!X106</f>
        <v>3.1402983955980219</v>
      </c>
      <c r="I768" s="9">
        <f>'1_Du_lieu'!T106</f>
        <v>1.0099876557064302</v>
      </c>
      <c r="J768" s="9">
        <f>'1_Du_lieu'!Y106</f>
        <v>6.7586750559679842</v>
      </c>
      <c r="K768" s="5">
        <f t="shared" si="137"/>
        <v>0</v>
      </c>
      <c r="L768" s="5">
        <f t="shared" si="138"/>
        <v>0</v>
      </c>
      <c r="M768" s="5">
        <f t="shared" si="139"/>
        <v>0</v>
      </c>
      <c r="N768" s="5">
        <f t="shared" si="140"/>
        <v>0</v>
      </c>
      <c r="O768" s="5">
        <f t="shared" si="141"/>
        <v>0</v>
      </c>
      <c r="P768" s="5">
        <f t="shared" si="142"/>
        <v>0</v>
      </c>
    </row>
    <row r="769" spans="1:16" x14ac:dyDescent="0.25">
      <c r="A769" t="s">
        <v>130</v>
      </c>
      <c r="B769">
        <v>2018</v>
      </c>
      <c r="C769" s="7">
        <f>'1_Du_lieu'!V107</f>
        <v>3.6136169696133895</v>
      </c>
      <c r="D769" s="9">
        <f>'1_Du_lieu'!W107</f>
        <v>4.1190371748124726</v>
      </c>
      <c r="E769" s="9">
        <f>'1_Du_lieu'!L107</f>
        <v>4.3470000000000004</v>
      </c>
      <c r="F769" s="9">
        <f>'1_Du_lieu'!M107</f>
        <v>25.03</v>
      </c>
      <c r="G769" s="9">
        <f>'1_Du_lieu'!N107</f>
        <v>20.3</v>
      </c>
      <c r="H769" s="9">
        <f>'1_Du_lieu'!X107</f>
        <v>2.439016756579492</v>
      </c>
      <c r="I769" s="9">
        <f>'1_Du_lieu'!T107</f>
        <v>0.13415615776764153</v>
      </c>
      <c r="J769" s="9">
        <f>'1_Du_lieu'!Y107</f>
        <v>8.3066202972758791</v>
      </c>
      <c r="K769" s="5">
        <f t="shared" si="137"/>
        <v>0</v>
      </c>
      <c r="L769" s="5">
        <f t="shared" si="138"/>
        <v>0</v>
      </c>
      <c r="M769" s="5">
        <f t="shared" si="139"/>
        <v>0</v>
      </c>
      <c r="N769" s="5">
        <f t="shared" si="140"/>
        <v>0</v>
      </c>
      <c r="O769" s="5">
        <f t="shared" si="141"/>
        <v>0</v>
      </c>
      <c r="P769" s="5">
        <f t="shared" si="142"/>
        <v>0</v>
      </c>
    </row>
    <row r="770" spans="1:16" x14ac:dyDescent="0.25">
      <c r="A770" t="s">
        <v>131</v>
      </c>
      <c r="B770">
        <v>2018</v>
      </c>
      <c r="C770" s="7">
        <f>'1_Du_lieu'!V108</f>
        <v>3.4045251717548299</v>
      </c>
      <c r="D770" s="9">
        <f>'1_Du_lieu'!W108</f>
        <v>4.2150861799182291</v>
      </c>
      <c r="E770" s="9">
        <f>'1_Du_lieu'!L108</f>
        <v>3.8380000000000001</v>
      </c>
      <c r="F770" s="9">
        <f>'1_Du_lieu'!M108</f>
        <v>16.18</v>
      </c>
      <c r="G770" s="9">
        <f>'1_Du_lieu'!N108</f>
        <v>18.2</v>
      </c>
      <c r="H770" s="9">
        <f>'1_Du_lieu'!X108</f>
        <v>2.313536688580391</v>
      </c>
      <c r="I770" s="9">
        <f>'1_Du_lieu'!T108</f>
        <v>0.56887444128403086</v>
      </c>
      <c r="J770" s="9">
        <f>'1_Du_lieu'!Y108</f>
        <v>7.2640301428995295</v>
      </c>
      <c r="K770" s="5">
        <f t="shared" si="137"/>
        <v>0</v>
      </c>
      <c r="L770" s="5">
        <f t="shared" si="138"/>
        <v>0</v>
      </c>
      <c r="M770" s="5">
        <f t="shared" si="139"/>
        <v>0</v>
      </c>
      <c r="N770" s="5">
        <f t="shared" si="140"/>
        <v>0</v>
      </c>
      <c r="O770" s="5">
        <f t="shared" si="141"/>
        <v>0</v>
      </c>
      <c r="P770" s="5">
        <f t="shared" si="142"/>
        <v>0</v>
      </c>
    </row>
    <row r="771" spans="1:16" x14ac:dyDescent="0.25">
      <c r="A771" t="s">
        <v>132</v>
      </c>
      <c r="B771">
        <v>2018</v>
      </c>
      <c r="C771" s="7">
        <f>'1_Du_lieu'!V109</f>
        <v>3.6963514689526371</v>
      </c>
      <c r="D771" s="9">
        <f>'1_Du_lieu'!W109</f>
        <v>4.8426110420031252</v>
      </c>
      <c r="E771" s="9">
        <f>'1_Du_lieu'!L109</f>
        <v>6.484</v>
      </c>
      <c r="F771" s="9">
        <f>'1_Du_lieu'!M109</f>
        <v>63.05</v>
      </c>
      <c r="G771" s="9">
        <f>'1_Du_lieu'!N109</f>
        <v>35.6</v>
      </c>
      <c r="H771" s="9">
        <f>'1_Du_lieu'!X109</f>
        <v>3.1869330496974877</v>
      </c>
      <c r="I771" s="9">
        <f>'1_Du_lieu'!T109</f>
        <v>2.45417593373725</v>
      </c>
      <c r="J771" s="9">
        <f>'1_Du_lieu'!Y109</f>
        <v>8.4721958254855014</v>
      </c>
      <c r="K771" s="5">
        <f t="shared" si="137"/>
        <v>0</v>
      </c>
      <c r="L771" s="5">
        <f t="shared" si="138"/>
        <v>0</v>
      </c>
      <c r="M771" s="5">
        <f t="shared" si="139"/>
        <v>0</v>
      </c>
      <c r="N771" s="5">
        <f t="shared" si="140"/>
        <v>0</v>
      </c>
      <c r="O771" s="5">
        <f t="shared" si="141"/>
        <v>0</v>
      </c>
      <c r="P771" s="5">
        <f t="shared" si="142"/>
        <v>0</v>
      </c>
    </row>
    <row r="772" spans="1:16" x14ac:dyDescent="0.25">
      <c r="A772" t="s">
        <v>133</v>
      </c>
      <c r="B772">
        <v>2018</v>
      </c>
      <c r="C772" s="7">
        <f>'1_Du_lieu'!V110</f>
        <v>3.3707381741774469</v>
      </c>
      <c r="D772" s="9">
        <f>'1_Du_lieu'!W110</f>
        <v>3.8177123259569048</v>
      </c>
      <c r="E772" s="9">
        <f>'1_Du_lieu'!L110</f>
        <v>4.1589999999999998</v>
      </c>
      <c r="F772" s="9">
        <f>'1_Du_lieu'!M110</f>
        <v>30.68</v>
      </c>
      <c r="G772" s="9">
        <f>'1_Du_lieu'!N110</f>
        <v>26</v>
      </c>
      <c r="H772" s="9">
        <f>'1_Du_lieu'!X110</f>
        <v>2.6771504970774469</v>
      </c>
      <c r="I772" s="9">
        <f>'1_Du_lieu'!T110</f>
        <v>3.4937271716690486</v>
      </c>
      <c r="J772" s="9">
        <f>'1_Du_lieu'!Y110</f>
        <v>4.6249728132842707</v>
      </c>
      <c r="K772" s="5">
        <f t="shared" si="137"/>
        <v>0</v>
      </c>
      <c r="L772" s="5">
        <f t="shared" si="138"/>
        <v>0</v>
      </c>
      <c r="M772" s="5">
        <f t="shared" si="139"/>
        <v>0</v>
      </c>
      <c r="N772" s="5">
        <f t="shared" si="140"/>
        <v>0</v>
      </c>
      <c r="O772" s="5">
        <f t="shared" si="141"/>
        <v>0</v>
      </c>
      <c r="P772" s="5">
        <f t="shared" si="142"/>
        <v>0</v>
      </c>
    </row>
    <row r="773" spans="1:16" x14ac:dyDescent="0.25">
      <c r="A773" t="s">
        <v>136</v>
      </c>
      <c r="B773">
        <v>2018</v>
      </c>
      <c r="C773" s="7">
        <f>'1_Du_lieu'!V113</f>
        <v>4.4079380164583828</v>
      </c>
      <c r="D773" s="9">
        <f>'1_Du_lieu'!W113</f>
        <v>4.9330340480727042</v>
      </c>
      <c r="E773" s="9">
        <f>'1_Du_lieu'!L113</f>
        <v>25.812999999999999</v>
      </c>
      <c r="F773" s="9">
        <f>'1_Du_lieu'!M113</f>
        <v>79.67</v>
      </c>
      <c r="G773" s="9">
        <f>'1_Du_lieu'!N113</f>
        <v>36.799999999999997</v>
      </c>
      <c r="H773" s="9">
        <f>'1_Du_lieu'!X113</f>
        <v>2.4836808520646083</v>
      </c>
      <c r="I773" s="9">
        <f>'1_Du_lieu'!T113</f>
        <v>2.8157228152704898</v>
      </c>
      <c r="J773" s="9">
        <f>'1_Du_lieu'!Y113</f>
        <v>8.5392677457345485</v>
      </c>
      <c r="K773" s="5">
        <f t="shared" si="137"/>
        <v>0</v>
      </c>
      <c r="L773" s="5">
        <f t="shared" si="138"/>
        <v>0</v>
      </c>
      <c r="M773" s="5">
        <f t="shared" si="139"/>
        <v>0</v>
      </c>
      <c r="N773" s="5">
        <f t="shared" si="140"/>
        <v>0</v>
      </c>
      <c r="O773" s="5">
        <f t="shared" si="141"/>
        <v>0</v>
      </c>
      <c r="P773" s="5">
        <f t="shared" si="142"/>
        <v>0</v>
      </c>
    </row>
    <row r="774" spans="1:16" x14ac:dyDescent="0.25">
      <c r="A774" t="s">
        <v>137</v>
      </c>
      <c r="B774">
        <v>2018</v>
      </c>
      <c r="C774" s="7">
        <f>'1_Du_lieu'!V114</f>
        <v>3.5945687746426951</v>
      </c>
      <c r="D774" s="9">
        <f>'1_Du_lieu'!W114</f>
        <v>3.6963514689526371</v>
      </c>
      <c r="E774" s="9">
        <f>'1_Du_lieu'!L114</f>
        <v>3.0640000000000001</v>
      </c>
      <c r="F774" s="9">
        <f>'1_Du_lieu'!M114</f>
        <v>14.42</v>
      </c>
      <c r="G774" s="9">
        <f>'1_Du_lieu'!N114</f>
        <v>19.399999999999999</v>
      </c>
      <c r="H774" s="9">
        <f>'1_Du_lieu'!X114</f>
        <v>2.6448765277619044</v>
      </c>
      <c r="I774" s="9">
        <f>'1_Du_lieu'!T114</f>
        <v>0.55076694296808304</v>
      </c>
      <c r="J774" s="9">
        <f>'1_Du_lieu'!Y114</f>
        <v>8.2471152529128133</v>
      </c>
      <c r="K774" s="5">
        <f t="shared" si="137"/>
        <v>0</v>
      </c>
      <c r="L774" s="5">
        <f t="shared" si="138"/>
        <v>0</v>
      </c>
      <c r="M774" s="5">
        <f t="shared" si="139"/>
        <v>0</v>
      </c>
      <c r="N774" s="5">
        <f t="shared" si="140"/>
        <v>0</v>
      </c>
      <c r="O774" s="5">
        <f t="shared" si="141"/>
        <v>0</v>
      </c>
      <c r="P774" s="5">
        <f t="shared" si="142"/>
        <v>0</v>
      </c>
    </row>
    <row r="775" spans="1:16" x14ac:dyDescent="0.25">
      <c r="A775" t="s">
        <v>138</v>
      </c>
      <c r="B775">
        <v>2018</v>
      </c>
      <c r="C775" s="7">
        <f>'1_Du_lieu'!V115</f>
        <v>3.5779478934066544</v>
      </c>
      <c r="D775" s="9">
        <f>'1_Du_lieu'!W115</f>
        <v>3.6888794541139363</v>
      </c>
      <c r="E775" s="9">
        <f>'1_Du_lieu'!L115</f>
        <v>2.609</v>
      </c>
      <c r="F775" s="9">
        <f>'1_Du_lieu'!M115</f>
        <v>10.49</v>
      </c>
      <c r="G775" s="9">
        <f>'1_Du_lieu'!N115</f>
        <v>18.399999999999999</v>
      </c>
      <c r="H775" s="9">
        <f>'1_Du_lieu'!X115</f>
        <v>1.2475175867241108</v>
      </c>
      <c r="I775" s="9">
        <f>'1_Du_lieu'!T115</f>
        <v>0.5932797583733348</v>
      </c>
      <c r="J775" s="9">
        <f>'1_Du_lieu'!Y115</f>
        <v>5.85821882796062</v>
      </c>
      <c r="K775" s="5">
        <f t="shared" si="137"/>
        <v>0</v>
      </c>
      <c r="L775" s="5">
        <f t="shared" si="138"/>
        <v>0</v>
      </c>
      <c r="M775" s="5">
        <f t="shared" si="139"/>
        <v>0</v>
      </c>
      <c r="N775" s="5">
        <f t="shared" si="140"/>
        <v>0</v>
      </c>
      <c r="O775" s="5">
        <f t="shared" si="141"/>
        <v>0</v>
      </c>
      <c r="P775" s="5">
        <f t="shared" si="142"/>
        <v>0</v>
      </c>
    </row>
    <row r="776" spans="1:16" x14ac:dyDescent="0.25">
      <c r="A776" t="s">
        <v>139</v>
      </c>
      <c r="B776">
        <v>2018</v>
      </c>
      <c r="C776" s="7">
        <f>'1_Du_lieu'!V116</f>
        <v>3.4995332823830174</v>
      </c>
      <c r="D776" s="9">
        <f>'1_Du_lieu'!W116</f>
        <v>4.4391156016580089</v>
      </c>
      <c r="E776" s="9">
        <f>'1_Du_lieu'!L116</f>
        <v>3.3250000000000002</v>
      </c>
      <c r="F776" s="9">
        <f>'1_Du_lieu'!M116</f>
        <v>31.82</v>
      </c>
      <c r="G776" s="9">
        <f>'1_Du_lieu'!N116</f>
        <v>24.7</v>
      </c>
      <c r="H776" s="9">
        <f>'1_Du_lieu'!X116</f>
        <v>3.2310904939974567</v>
      </c>
      <c r="I776" s="9">
        <f>'1_Du_lieu'!T116</f>
        <v>2.6695979899497488</v>
      </c>
      <c r="J776" s="9">
        <f>'1_Du_lieu'!Y116</f>
        <v>8.7119866497055121</v>
      </c>
      <c r="K776" s="5">
        <f t="shared" si="137"/>
        <v>0</v>
      </c>
      <c r="L776" s="5">
        <f t="shared" si="138"/>
        <v>0</v>
      </c>
      <c r="M776" s="5">
        <f t="shared" si="139"/>
        <v>0</v>
      </c>
      <c r="N776" s="5">
        <f t="shared" si="140"/>
        <v>0</v>
      </c>
      <c r="O776" s="5">
        <f t="shared" si="141"/>
        <v>0</v>
      </c>
      <c r="P776" s="5">
        <f t="shared" si="142"/>
        <v>0</v>
      </c>
    </row>
    <row r="777" spans="1:16" x14ac:dyDescent="0.25">
      <c r="A777" t="s">
        <v>141</v>
      </c>
      <c r="B777">
        <v>2018</v>
      </c>
      <c r="C777" s="7">
        <f>'1_Du_lieu'!V118</f>
        <v>3.5174978373583161</v>
      </c>
      <c r="D777" s="9">
        <f>'1_Du_lieu'!W118</f>
        <v>3.9219733362813143</v>
      </c>
      <c r="E777" s="9">
        <f>'1_Du_lieu'!L118</f>
        <v>2.4710000000000001</v>
      </c>
      <c r="F777" s="9">
        <f>'1_Du_lieu'!M118</f>
        <v>14</v>
      </c>
      <c r="G777" s="9">
        <f>'1_Du_lieu'!N118</f>
        <v>11.8</v>
      </c>
      <c r="H777" s="9">
        <f>'1_Du_lieu'!X118</f>
        <v>0.98220684953706361</v>
      </c>
      <c r="I777" s="9">
        <f>'1_Du_lieu'!T118</f>
        <v>0.79586152009550348</v>
      </c>
      <c r="J777" s="9">
        <f>'1_Du_lieu'!Y118</f>
        <v>7.1285761349267016</v>
      </c>
      <c r="K777" s="5">
        <f t="shared" si="137"/>
        <v>0</v>
      </c>
      <c r="L777" s="5">
        <f t="shared" si="138"/>
        <v>0</v>
      </c>
      <c r="M777" s="5">
        <f t="shared" si="139"/>
        <v>0</v>
      </c>
      <c r="N777" s="5">
        <f t="shared" si="140"/>
        <v>0</v>
      </c>
      <c r="O777" s="5">
        <f t="shared" si="141"/>
        <v>0</v>
      </c>
      <c r="P777" s="5">
        <f t="shared" si="142"/>
        <v>0</v>
      </c>
    </row>
    <row r="778" spans="1:16" x14ac:dyDescent="0.25">
      <c r="A778" t="s">
        <v>142</v>
      </c>
      <c r="B778">
        <v>2018</v>
      </c>
      <c r="C778" s="7">
        <f>'1_Du_lieu'!V119</f>
        <v>3.3741687092742358</v>
      </c>
      <c r="D778" s="9">
        <f>'1_Du_lieu'!W119</f>
        <v>3.9796816539019608</v>
      </c>
      <c r="E778" s="9">
        <f>'1_Du_lieu'!L119</f>
        <v>1.8620000000000001</v>
      </c>
      <c r="F778" s="9">
        <f>'1_Du_lieu'!M119</f>
        <v>17.05</v>
      </c>
      <c r="G778" s="9">
        <f>'1_Du_lieu'!N119</f>
        <v>10.9</v>
      </c>
      <c r="H778" s="9">
        <f>'1_Du_lieu'!X119</f>
        <v>1.5372679135724769</v>
      </c>
      <c r="I778" s="9">
        <f>'1_Du_lieu'!T119</f>
        <v>0.79302141157811257</v>
      </c>
      <c r="J778" s="9">
        <f>'1_Du_lieu'!Y119</f>
        <v>8.0721553081882504</v>
      </c>
      <c r="K778" s="5">
        <f t="shared" si="137"/>
        <v>0</v>
      </c>
      <c r="L778" s="5">
        <f t="shared" si="138"/>
        <v>0</v>
      </c>
      <c r="M778" s="5">
        <f t="shared" si="139"/>
        <v>0</v>
      </c>
      <c r="N778" s="5">
        <f t="shared" si="140"/>
        <v>0</v>
      </c>
      <c r="O778" s="5">
        <f t="shared" si="141"/>
        <v>0</v>
      </c>
      <c r="P778" s="5">
        <f t="shared" si="142"/>
        <v>0</v>
      </c>
    </row>
    <row r="779" spans="1:16" x14ac:dyDescent="0.25">
      <c r="A779" t="s">
        <v>143</v>
      </c>
      <c r="B779">
        <v>2018</v>
      </c>
      <c r="C779" s="7">
        <f>'1_Du_lieu'!V120</f>
        <v>3.3105430133940246</v>
      </c>
      <c r="D779" s="9">
        <f>'1_Du_lieu'!W120</f>
        <v>3.5890591188317256</v>
      </c>
      <c r="E779" s="9">
        <f>'1_Du_lieu'!L120</f>
        <v>1.6379999999999999</v>
      </c>
      <c r="F779" s="9">
        <f>'1_Du_lieu'!M120</f>
        <v>13.74</v>
      </c>
      <c r="G779" s="9">
        <f>'1_Du_lieu'!N120</f>
        <v>19.399999999999999</v>
      </c>
      <c r="H779" s="9">
        <f>'1_Du_lieu'!X120</f>
        <v>3.0606120251719737</v>
      </c>
      <c r="I779" s="9">
        <f>'1_Du_lieu'!T120</f>
        <v>1.0278812797121932</v>
      </c>
      <c r="J779" s="9">
        <f>'1_Du_lieu'!Y120</f>
        <v>5.4847969334906548</v>
      </c>
      <c r="K779" s="5">
        <f t="shared" si="137"/>
        <v>0</v>
      </c>
      <c r="L779" s="5">
        <f t="shared" si="138"/>
        <v>0</v>
      </c>
      <c r="M779" s="5">
        <f t="shared" si="139"/>
        <v>0</v>
      </c>
      <c r="N779" s="5">
        <f t="shared" si="140"/>
        <v>0</v>
      </c>
      <c r="O779" s="5">
        <f t="shared" si="141"/>
        <v>0</v>
      </c>
      <c r="P779" s="5">
        <f t="shared" si="142"/>
        <v>0</v>
      </c>
    </row>
    <row r="780" spans="1:16" x14ac:dyDescent="0.25">
      <c r="A780" t="s">
        <v>144</v>
      </c>
      <c r="B780">
        <v>2018</v>
      </c>
      <c r="C780" s="7">
        <f>'1_Du_lieu'!V121</f>
        <v>3.6000482404073204</v>
      </c>
      <c r="D780" s="9">
        <f>'1_Du_lieu'!W121</f>
        <v>4.133565275375382</v>
      </c>
      <c r="E780" s="9">
        <f>'1_Du_lieu'!L121</f>
        <v>3.31</v>
      </c>
      <c r="F780" s="9">
        <f>'1_Du_lieu'!M121</f>
        <v>17.899999999999999</v>
      </c>
      <c r="G780" s="9">
        <f>'1_Du_lieu'!N121</f>
        <v>14.8</v>
      </c>
      <c r="H780" s="9">
        <f>'1_Du_lieu'!X121</f>
        <v>2.5225012483603204</v>
      </c>
      <c r="I780" s="9">
        <f>'1_Du_lieu'!T121</f>
        <v>0.86154906521926422</v>
      </c>
      <c r="J780" s="9">
        <f>'1_Du_lieu'!Y121</f>
        <v>8.516753094587834</v>
      </c>
      <c r="K780" s="5">
        <f t="shared" si="137"/>
        <v>0</v>
      </c>
      <c r="L780" s="5">
        <f t="shared" si="138"/>
        <v>0</v>
      </c>
      <c r="M780" s="5">
        <f t="shared" si="139"/>
        <v>0</v>
      </c>
      <c r="N780" s="5">
        <f t="shared" si="140"/>
        <v>0</v>
      </c>
      <c r="O780" s="5">
        <f t="shared" si="141"/>
        <v>0</v>
      </c>
      <c r="P780" s="5">
        <f t="shared" si="142"/>
        <v>0</v>
      </c>
    </row>
    <row r="781" spans="1:16" x14ac:dyDescent="0.25">
      <c r="A781" t="s">
        <v>145</v>
      </c>
      <c r="B781">
        <v>2018</v>
      </c>
      <c r="C781" s="7">
        <f>'1_Du_lieu'!V122</f>
        <v>3.3911470458086539</v>
      </c>
      <c r="D781" s="9">
        <f>'1_Du_lieu'!W122</f>
        <v>3.8732821771117156</v>
      </c>
      <c r="E781" s="9">
        <f>'1_Du_lieu'!L122</f>
        <v>2.4</v>
      </c>
      <c r="F781" s="9">
        <f>'1_Du_lieu'!M122</f>
        <v>16.59</v>
      </c>
      <c r="G781" s="9">
        <f>'1_Du_lieu'!N122</f>
        <v>18.100000000000001</v>
      </c>
      <c r="H781" s="9">
        <f>'1_Du_lieu'!X122</f>
        <v>0.49097606078342659</v>
      </c>
      <c r="I781" s="9">
        <f>'1_Du_lieu'!T122</f>
        <v>0.68446269678302529</v>
      </c>
      <c r="J781" s="9">
        <f>'1_Du_lieu'!Y122</f>
        <v>6.3841820823936439</v>
      </c>
      <c r="K781" s="5">
        <f t="shared" si="137"/>
        <v>0</v>
      </c>
      <c r="L781" s="5">
        <f t="shared" si="138"/>
        <v>0</v>
      </c>
      <c r="M781" s="5">
        <f t="shared" si="139"/>
        <v>0</v>
      </c>
      <c r="N781" s="5">
        <f t="shared" si="140"/>
        <v>0</v>
      </c>
      <c r="O781" s="5">
        <f t="shared" si="141"/>
        <v>0</v>
      </c>
      <c r="P781" s="5">
        <f t="shared" si="142"/>
        <v>0</v>
      </c>
    </row>
    <row r="782" spans="1:16" x14ac:dyDescent="0.25">
      <c r="A782" t="s">
        <v>146</v>
      </c>
      <c r="B782">
        <v>2018</v>
      </c>
      <c r="C782" s="7">
        <f>'1_Du_lieu'!V123</f>
        <v>3.7184382563554808</v>
      </c>
      <c r="D782" s="9">
        <f>'1_Du_lieu'!W123</f>
        <v>4.5485998344996972</v>
      </c>
      <c r="E782" s="9">
        <f>'1_Du_lieu'!L123</f>
        <v>5.62</v>
      </c>
      <c r="F782" s="9">
        <f>'1_Du_lieu'!M123</f>
        <v>25.05</v>
      </c>
      <c r="G782" s="9">
        <f>'1_Du_lieu'!N123</f>
        <v>22.4</v>
      </c>
      <c r="H782" s="9">
        <f>'1_Du_lieu'!X123</f>
        <v>3.0573898039259118</v>
      </c>
      <c r="I782" s="9">
        <f>'1_Du_lieu'!T123</f>
        <v>0.70274068868587491</v>
      </c>
      <c r="J782" s="9">
        <f>'1_Du_lieu'!Y123</f>
        <v>8.2884590417887836</v>
      </c>
      <c r="K782" s="5">
        <f t="shared" si="137"/>
        <v>0</v>
      </c>
      <c r="L782" s="5">
        <f t="shared" si="138"/>
        <v>0</v>
      </c>
      <c r="M782" s="5">
        <f t="shared" si="139"/>
        <v>0</v>
      </c>
      <c r="N782" s="5">
        <f t="shared" si="140"/>
        <v>0</v>
      </c>
      <c r="O782" s="5">
        <f t="shared" si="141"/>
        <v>0</v>
      </c>
      <c r="P782" s="5">
        <f t="shared" si="142"/>
        <v>0</v>
      </c>
    </row>
    <row r="783" spans="1:16" x14ac:dyDescent="0.25">
      <c r="A783" t="s">
        <v>147</v>
      </c>
      <c r="B783">
        <v>2018</v>
      </c>
      <c r="C783" s="7">
        <f>'1_Du_lieu'!V124</f>
        <v>3.3877743613300146</v>
      </c>
      <c r="D783" s="9">
        <f>'1_Du_lieu'!W124</f>
        <v>3.5234150143864045</v>
      </c>
      <c r="E783" s="9">
        <f>'1_Du_lieu'!L124</f>
        <v>1.857</v>
      </c>
      <c r="F783" s="9">
        <f>'1_Du_lieu'!M124</f>
        <v>19.87</v>
      </c>
      <c r="G783" s="9">
        <f>'1_Du_lieu'!N124</f>
        <v>20</v>
      </c>
      <c r="H783" s="9">
        <f>'1_Du_lieu'!X124</f>
        <v>2.5654685903302572</v>
      </c>
      <c r="I783" s="9">
        <f>'1_Du_lieu'!T124</f>
        <v>0.49103854652590229</v>
      </c>
      <c r="J783" s="9">
        <f>'1_Du_lieu'!Y124</f>
        <v>6.1670971157511403</v>
      </c>
      <c r="K783" s="5">
        <f t="shared" si="137"/>
        <v>0</v>
      </c>
      <c r="L783" s="5">
        <f t="shared" si="138"/>
        <v>0</v>
      </c>
      <c r="M783" s="5">
        <f t="shared" si="139"/>
        <v>0</v>
      </c>
      <c r="N783" s="5">
        <f t="shared" si="140"/>
        <v>0</v>
      </c>
      <c r="O783" s="5">
        <f t="shared" si="141"/>
        <v>0</v>
      </c>
      <c r="P783" s="5">
        <f t="shared" si="142"/>
        <v>0</v>
      </c>
    </row>
    <row r="784" spans="1:16" x14ac:dyDescent="0.25">
      <c r="A784" t="s">
        <v>149</v>
      </c>
      <c r="B784">
        <v>2018</v>
      </c>
      <c r="C784" s="7">
        <f>'1_Du_lieu'!V126</f>
        <v>3.9908341858524357</v>
      </c>
      <c r="D784" s="9">
        <f>'1_Du_lieu'!W126</f>
        <v>4.5108595065168497</v>
      </c>
      <c r="E784" s="9">
        <f>'1_Du_lieu'!L126</f>
        <v>18.283000000000001</v>
      </c>
      <c r="F784" s="9">
        <f>'1_Du_lieu'!M126</f>
        <v>87.12</v>
      </c>
      <c r="G784" s="9">
        <f>'1_Du_lieu'!N126</f>
        <v>42.6</v>
      </c>
      <c r="H784" s="9">
        <f>'1_Du_lieu'!X126</f>
        <v>3.4018133680222853</v>
      </c>
      <c r="I784" s="9">
        <f>'1_Du_lieu'!T126</f>
        <v>6.9992821249102652</v>
      </c>
      <c r="J784" s="9">
        <f>'1_Du_lieu'!Y126</f>
        <v>8.4377819509919512</v>
      </c>
      <c r="K784" s="5">
        <f t="shared" si="137"/>
        <v>0</v>
      </c>
      <c r="L784" s="5">
        <f t="shared" si="138"/>
        <v>0</v>
      </c>
      <c r="M784" s="5">
        <f t="shared" si="139"/>
        <v>0</v>
      </c>
      <c r="N784" s="5">
        <f t="shared" si="140"/>
        <v>0</v>
      </c>
      <c r="O784" s="5">
        <f t="shared" si="141"/>
        <v>0</v>
      </c>
      <c r="P784" s="5">
        <f t="shared" si="142"/>
        <v>0</v>
      </c>
    </row>
    <row r="785" spans="1:16" x14ac:dyDescent="0.25">
      <c r="A785" t="s">
        <v>150</v>
      </c>
      <c r="B785">
        <v>2018</v>
      </c>
      <c r="C785" s="7">
        <f>'1_Du_lieu'!V127</f>
        <v>3.520460802488973</v>
      </c>
      <c r="D785" s="9">
        <f>'1_Du_lieu'!W127</f>
        <v>3.6661224669913199</v>
      </c>
      <c r="E785" s="9">
        <f>'1_Du_lieu'!L127</f>
        <v>2.94</v>
      </c>
      <c r="F785" s="9">
        <f>'1_Du_lieu'!M127</f>
        <v>24.66</v>
      </c>
      <c r="G785" s="9">
        <f>'1_Du_lieu'!N127</f>
        <v>14.5</v>
      </c>
      <c r="H785" s="9">
        <f>'1_Du_lieu'!X127</f>
        <v>2.1073325872151596</v>
      </c>
      <c r="I785" s="9">
        <f>'1_Du_lieu'!T127</f>
        <v>0.48348106365834009</v>
      </c>
      <c r="J785" s="9">
        <f>'1_Du_lieu'!Y127</f>
        <v>4.42484663185681</v>
      </c>
      <c r="K785" s="5">
        <f t="shared" si="137"/>
        <v>0</v>
      </c>
      <c r="L785" s="5">
        <f t="shared" si="138"/>
        <v>0</v>
      </c>
      <c r="M785" s="5">
        <f t="shared" si="139"/>
        <v>0</v>
      </c>
      <c r="N785" s="5">
        <f t="shared" si="140"/>
        <v>0</v>
      </c>
      <c r="O785" s="5">
        <f t="shared" si="141"/>
        <v>0</v>
      </c>
      <c r="P785" s="5">
        <f t="shared" si="142"/>
        <v>0</v>
      </c>
    </row>
    <row r="786" spans="1:16" x14ac:dyDescent="0.25">
      <c r="A786" t="s">
        <v>151</v>
      </c>
      <c r="B786">
        <v>2018</v>
      </c>
      <c r="C786" s="7">
        <f>'1_Du_lieu'!V128</f>
        <v>3.4045251717548299</v>
      </c>
      <c r="D786" s="9">
        <f>'1_Du_lieu'!W128</f>
        <v>3.784189633918261</v>
      </c>
      <c r="E786" s="9">
        <f>'1_Du_lieu'!L128</f>
        <v>3.1779999999999999</v>
      </c>
      <c r="F786" s="9">
        <f>'1_Du_lieu'!M128</f>
        <v>15.23</v>
      </c>
      <c r="G786" s="9">
        <f>'1_Du_lieu'!N128</f>
        <v>13.9</v>
      </c>
      <c r="H786" s="9">
        <f>'1_Du_lieu'!X128</f>
        <v>0.93528373802241171</v>
      </c>
      <c r="I786" s="9">
        <f>'1_Du_lieu'!T128</f>
        <v>0.4874878128046799</v>
      </c>
      <c r="J786" s="9">
        <f>'1_Du_lieu'!Y128</f>
        <v>5.4621354517774314</v>
      </c>
      <c r="K786" s="5">
        <f t="shared" si="137"/>
        <v>0</v>
      </c>
      <c r="L786" s="5">
        <f t="shared" si="138"/>
        <v>0</v>
      </c>
      <c r="M786" s="5">
        <f t="shared" si="139"/>
        <v>0</v>
      </c>
      <c r="N786" s="5">
        <f t="shared" si="140"/>
        <v>0</v>
      </c>
      <c r="O786" s="5">
        <f t="shared" si="141"/>
        <v>0</v>
      </c>
      <c r="P786" s="5">
        <f t="shared" si="142"/>
        <v>0</v>
      </c>
    </row>
    <row r="787" spans="1:16" x14ac:dyDescent="0.25">
      <c r="A787" t="s">
        <v>152</v>
      </c>
      <c r="B787">
        <v>2018</v>
      </c>
      <c r="C787" s="7">
        <f>'1_Du_lieu'!V129</f>
        <v>3.8753590210565547</v>
      </c>
      <c r="D787" s="9">
        <f>'1_Du_lieu'!W129</f>
        <v>4.6356993910229143</v>
      </c>
      <c r="E787" s="9">
        <f>'1_Du_lieu'!L129</f>
        <v>6.9340000000000002</v>
      </c>
      <c r="F787" s="9">
        <f>'1_Du_lieu'!M129</f>
        <v>32.94</v>
      </c>
      <c r="G787" s="9">
        <f>'1_Du_lieu'!N129</f>
        <v>20.100000000000001</v>
      </c>
      <c r="H787" s="9">
        <f>'1_Du_lieu'!X129</f>
        <v>2.8343256184446379</v>
      </c>
      <c r="I787" s="9">
        <f>'1_Du_lieu'!T129</f>
        <v>0.55644659749271708</v>
      </c>
      <c r="J787" s="9">
        <f>'1_Du_lieu'!Y129</f>
        <v>9.1465056031468546</v>
      </c>
      <c r="K787" s="5">
        <f t="shared" si="137"/>
        <v>0</v>
      </c>
      <c r="L787" s="5">
        <f t="shared" si="138"/>
        <v>0</v>
      </c>
      <c r="M787" s="5">
        <f t="shared" si="139"/>
        <v>0</v>
      </c>
      <c r="N787" s="5">
        <f t="shared" si="140"/>
        <v>0</v>
      </c>
      <c r="O787" s="5">
        <f t="shared" si="141"/>
        <v>0</v>
      </c>
      <c r="P787" s="5">
        <f t="shared" si="142"/>
        <v>0</v>
      </c>
    </row>
    <row r="788" spans="1:16" x14ac:dyDescent="0.25">
      <c r="A788" t="s">
        <v>153</v>
      </c>
      <c r="B788">
        <v>2018</v>
      </c>
      <c r="C788" s="7">
        <f>'1_Du_lieu'!V130</f>
        <v>3.4995332823830174</v>
      </c>
      <c r="D788" s="9">
        <f>'1_Du_lieu'!W130</f>
        <v>3.858622228701031</v>
      </c>
      <c r="E788" s="9">
        <f>'1_Du_lieu'!L130</f>
        <v>2.0329999999999999</v>
      </c>
      <c r="F788" s="9">
        <f>'1_Du_lieu'!M130</f>
        <v>18.2</v>
      </c>
      <c r="G788" s="9">
        <f>'1_Du_lieu'!N130</f>
        <v>11.4</v>
      </c>
      <c r="H788" s="9">
        <f>'1_Du_lieu'!X130</f>
        <v>0.28033932203062989</v>
      </c>
      <c r="I788" s="9">
        <f>'1_Du_lieu'!T130</f>
        <v>0.43583836622875288</v>
      </c>
      <c r="J788" s="9">
        <f>'1_Du_lieu'!Y130</f>
        <v>4.5941092386286666</v>
      </c>
      <c r="K788" s="5">
        <f t="shared" si="137"/>
        <v>0</v>
      </c>
      <c r="L788" s="5">
        <f t="shared" si="138"/>
        <v>0</v>
      </c>
      <c r="M788" s="5">
        <f t="shared" si="139"/>
        <v>0</v>
      </c>
      <c r="N788" s="5">
        <f t="shared" si="140"/>
        <v>0</v>
      </c>
      <c r="O788" s="5">
        <f t="shared" si="141"/>
        <v>0</v>
      </c>
      <c r="P788" s="5">
        <f t="shared" si="142"/>
        <v>0</v>
      </c>
    </row>
    <row r="789" spans="1:16" x14ac:dyDescent="0.25">
      <c r="A789" t="s">
        <v>85</v>
      </c>
      <c r="B789">
        <v>2019</v>
      </c>
      <c r="C789" s="7">
        <f>'1_Du_lieu'!V131</f>
        <v>3.5779478934066544</v>
      </c>
      <c r="D789" s="9">
        <f>'1_Du_lieu'!W131</f>
        <v>3.7954891891721947</v>
      </c>
      <c r="E789" s="9">
        <f>'1_Du_lieu'!L131</f>
        <v>2.3319999999999999</v>
      </c>
      <c r="F789" s="9">
        <f>'1_Du_lieu'!M131</f>
        <v>31.59</v>
      </c>
      <c r="G789" s="9">
        <f>'1_Du_lieu'!N131</f>
        <v>14.6</v>
      </c>
      <c r="H789" s="9">
        <f>'1_Du_lieu'!X131</f>
        <v>1.2904217394377582</v>
      </c>
      <c r="I789" s="9">
        <f>'1_Du_lieu'!T131</f>
        <v>0.47184649260773825</v>
      </c>
      <c r="J789" s="9">
        <f>'1_Du_lieu'!Y131</f>
        <v>4.9508852896904818</v>
      </c>
      <c r="K789" s="5">
        <f t="shared" si="137"/>
        <v>1</v>
      </c>
      <c r="L789" s="5">
        <f t="shared" si="138"/>
        <v>0</v>
      </c>
      <c r="M789" s="5">
        <f t="shared" si="139"/>
        <v>0</v>
      </c>
      <c r="N789" s="5">
        <f t="shared" si="140"/>
        <v>0</v>
      </c>
      <c r="O789" s="5">
        <f t="shared" si="141"/>
        <v>0</v>
      </c>
      <c r="P789" s="5">
        <f t="shared" si="142"/>
        <v>0</v>
      </c>
    </row>
    <row r="790" spans="1:16" x14ac:dyDescent="0.25">
      <c r="A790" t="s">
        <v>87</v>
      </c>
      <c r="B790">
        <v>2019</v>
      </c>
      <c r="C790" s="7">
        <f>'1_Du_lieu'!V132</f>
        <v>3.8670256394974101</v>
      </c>
      <c r="D790" s="9">
        <f>'1_Du_lieu'!W132</f>
        <v>5.7051149198899793</v>
      </c>
      <c r="E790" s="9">
        <f>'1_Du_lieu'!L132</f>
        <v>8.7629999999999999</v>
      </c>
      <c r="F790" s="9">
        <f>'1_Du_lieu'!M132</f>
        <v>58.64</v>
      </c>
      <c r="G790" s="9">
        <f>'1_Du_lieu'!N132</f>
        <v>27.8</v>
      </c>
      <c r="H790" s="9">
        <f>'1_Du_lieu'!X132</f>
        <v>1.9211688706144259</v>
      </c>
      <c r="I790" s="9">
        <f>'1_Du_lieu'!T132</f>
        <v>1.2150668286755772</v>
      </c>
      <c r="J790" s="9">
        <f>'1_Du_lieu'!Y132</f>
        <v>10.200940484291477</v>
      </c>
      <c r="K790" s="5">
        <f t="shared" si="137"/>
        <v>1</v>
      </c>
      <c r="L790" s="5">
        <f t="shared" si="138"/>
        <v>0</v>
      </c>
      <c r="M790" s="5">
        <f t="shared" si="139"/>
        <v>0</v>
      </c>
      <c r="N790" s="5">
        <f t="shared" si="140"/>
        <v>0</v>
      </c>
      <c r="O790" s="5">
        <f t="shared" si="141"/>
        <v>0</v>
      </c>
      <c r="P790" s="5">
        <f t="shared" si="142"/>
        <v>0</v>
      </c>
    </row>
    <row r="791" spans="1:16" x14ac:dyDescent="0.25">
      <c r="A791" t="s">
        <v>89</v>
      </c>
      <c r="B791">
        <v>2019</v>
      </c>
      <c r="C791" s="7">
        <f>'1_Du_lieu'!V133</f>
        <v>3.9889840465642745</v>
      </c>
      <c r="D791" s="9">
        <f>'1_Du_lieu'!W133</f>
        <v>4.9931499797552359</v>
      </c>
      <c r="E791" s="9">
        <f>'1_Du_lieu'!L133</f>
        <v>12.864000000000001</v>
      </c>
      <c r="F791" s="9">
        <f>'1_Du_lieu'!M133</f>
        <v>79.87</v>
      </c>
      <c r="G791" s="9">
        <f>'1_Du_lieu'!N133</f>
        <v>21.9</v>
      </c>
      <c r="H791" s="9">
        <f>'1_Du_lieu'!X133</f>
        <v>3.1771849379951953</v>
      </c>
      <c r="I791" s="9">
        <f>'1_Du_lieu'!T133</f>
        <v>0.69209787078125629</v>
      </c>
      <c r="J791" s="9">
        <f>'1_Du_lieu'!Y133</f>
        <v>9.5455260670719309</v>
      </c>
      <c r="K791" s="5">
        <f t="shared" si="137"/>
        <v>1</v>
      </c>
      <c r="L791" s="5">
        <f t="shared" si="138"/>
        <v>0</v>
      </c>
      <c r="M791" s="5">
        <f t="shared" si="139"/>
        <v>0</v>
      </c>
      <c r="N791" s="5">
        <f t="shared" si="140"/>
        <v>0</v>
      </c>
      <c r="O791" s="5">
        <f t="shared" si="141"/>
        <v>0</v>
      </c>
      <c r="P791" s="5">
        <f t="shared" si="142"/>
        <v>0</v>
      </c>
    </row>
    <row r="792" spans="1:16" x14ac:dyDescent="0.25">
      <c r="A792" t="s">
        <v>90</v>
      </c>
      <c r="B792">
        <v>2019</v>
      </c>
      <c r="C792" s="7">
        <f>'1_Du_lieu'!V134</f>
        <v>3.3775875160230218</v>
      </c>
      <c r="D792" s="9">
        <f>'1_Du_lieu'!W134</f>
        <v>4.1367652781060524</v>
      </c>
      <c r="E792" s="9">
        <f>'1_Du_lieu'!L134</f>
        <v>5.1189999999999998</v>
      </c>
      <c r="F792" s="9">
        <f>'1_Du_lieu'!M134</f>
        <v>23.9</v>
      </c>
      <c r="G792" s="9">
        <f>'1_Du_lieu'!N134</f>
        <v>15.8</v>
      </c>
      <c r="H792" s="9">
        <f>'1_Du_lieu'!X134</f>
        <v>1.2084725869298196</v>
      </c>
      <c r="I792" s="9">
        <f>'1_Du_lieu'!T134</f>
        <v>1.2026458208057726</v>
      </c>
      <c r="J792" s="9">
        <f>'1_Du_lieu'!Y134</f>
        <v>7.9442439061683956</v>
      </c>
      <c r="K792" s="5">
        <f t="shared" si="137"/>
        <v>1</v>
      </c>
      <c r="L792" s="5">
        <f t="shared" si="138"/>
        <v>0</v>
      </c>
      <c r="M792" s="5">
        <f t="shared" si="139"/>
        <v>0</v>
      </c>
      <c r="N792" s="5">
        <f t="shared" si="140"/>
        <v>0</v>
      </c>
      <c r="O792" s="5">
        <f t="shared" si="141"/>
        <v>0</v>
      </c>
      <c r="P792" s="5">
        <f t="shared" si="142"/>
        <v>0</v>
      </c>
    </row>
    <row r="793" spans="1:16" x14ac:dyDescent="0.25">
      <c r="A793" t="s">
        <v>91</v>
      </c>
      <c r="B793">
        <v>2019</v>
      </c>
      <c r="C793" s="7">
        <f>'1_Du_lieu'!V135</f>
        <v>3.5945687746426951</v>
      </c>
      <c r="D793" s="9">
        <f>'1_Du_lieu'!W135</f>
        <v>4.1620032106959153</v>
      </c>
      <c r="E793" s="9">
        <f>'1_Du_lieu'!L135</f>
        <v>3.93</v>
      </c>
      <c r="F793" s="9">
        <f>'1_Du_lieu'!M135</f>
        <v>38.08</v>
      </c>
      <c r="G793" s="9">
        <f>'1_Du_lieu'!N135</f>
        <v>16.3</v>
      </c>
      <c r="H793" s="9">
        <f>'1_Du_lieu'!X135</f>
        <v>2.0004684151721195</v>
      </c>
      <c r="I793" s="9">
        <f>'1_Du_lieu'!T135</f>
        <v>0.32459628337255542</v>
      </c>
      <c r="J793" s="9">
        <f>'1_Du_lieu'!Y135</f>
        <v>8.0156906391110976</v>
      </c>
      <c r="K793" s="5">
        <f t="shared" si="137"/>
        <v>1</v>
      </c>
      <c r="L793" s="5">
        <f t="shared" si="138"/>
        <v>0</v>
      </c>
      <c r="M793" s="5">
        <f t="shared" si="139"/>
        <v>0</v>
      </c>
      <c r="N793" s="5">
        <f t="shared" si="140"/>
        <v>0</v>
      </c>
      <c r="O793" s="5">
        <f t="shared" si="141"/>
        <v>0</v>
      </c>
      <c r="P793" s="5">
        <f t="shared" si="142"/>
        <v>0</v>
      </c>
    </row>
    <row r="794" spans="1:16" x14ac:dyDescent="0.25">
      <c r="A794" t="s">
        <v>93</v>
      </c>
      <c r="B794">
        <v>2019</v>
      </c>
      <c r="C794" s="7">
        <f>'1_Du_lieu'!V136</f>
        <v>3.730501128804756</v>
      </c>
      <c r="D794" s="9">
        <f>'1_Du_lieu'!W136</f>
        <v>4.0199801469332384</v>
      </c>
      <c r="E794" s="9">
        <f>'1_Du_lieu'!L136</f>
        <v>4.298</v>
      </c>
      <c r="F794" s="9">
        <f>'1_Du_lieu'!M136</f>
        <v>32.049999999999997</v>
      </c>
      <c r="G794" s="9">
        <f>'1_Du_lieu'!N136</f>
        <v>19.2</v>
      </c>
      <c r="H794" s="9">
        <f>'1_Du_lieu'!X136</f>
        <v>2.7748797508894638</v>
      </c>
      <c r="I794" s="9">
        <f>'1_Du_lieu'!T136</f>
        <v>0.73934668638257828</v>
      </c>
      <c r="J794" s="9">
        <f>'1_Du_lieu'!Y136</f>
        <v>6.2923096060860439</v>
      </c>
      <c r="K794" s="5">
        <f t="shared" si="137"/>
        <v>1</v>
      </c>
      <c r="L794" s="5">
        <f t="shared" si="138"/>
        <v>0</v>
      </c>
      <c r="M794" s="5">
        <f t="shared" si="139"/>
        <v>0</v>
      </c>
      <c r="N794" s="5">
        <f t="shared" si="140"/>
        <v>0</v>
      </c>
      <c r="O794" s="5">
        <f t="shared" si="141"/>
        <v>0</v>
      </c>
      <c r="P794" s="5">
        <f t="shared" si="142"/>
        <v>0</v>
      </c>
    </row>
    <row r="795" spans="1:16" x14ac:dyDescent="0.25">
      <c r="A795" t="s">
        <v>95</v>
      </c>
      <c r="B795">
        <v>2019</v>
      </c>
      <c r="C795" s="7">
        <f>'1_Du_lieu'!V138</f>
        <v>3.763522997109702</v>
      </c>
      <c r="D795" s="9">
        <f>'1_Du_lieu'!W138</f>
        <v>4.0552571735140539</v>
      </c>
      <c r="E795" s="9">
        <f>'1_Du_lieu'!L138</f>
        <v>3.2480000000000002</v>
      </c>
      <c r="F795" s="9">
        <f>'1_Du_lieu'!M138</f>
        <v>11.46</v>
      </c>
      <c r="G795" s="9">
        <f>'1_Du_lieu'!N138</f>
        <v>18</v>
      </c>
      <c r="H795" s="9">
        <f>'1_Du_lieu'!X138</f>
        <v>2.5039419909198695</v>
      </c>
      <c r="I795" s="9">
        <f>'1_Du_lieu'!T138</f>
        <v>0.93901900132567395</v>
      </c>
      <c r="J795" s="9">
        <f>'1_Du_lieu'!Y138</f>
        <v>8.1024653160288871</v>
      </c>
      <c r="K795" s="5">
        <f t="shared" si="137"/>
        <v>1</v>
      </c>
      <c r="L795" s="5">
        <f t="shared" si="138"/>
        <v>0</v>
      </c>
      <c r="M795" s="5">
        <f t="shared" si="139"/>
        <v>0</v>
      </c>
      <c r="N795" s="5">
        <f t="shared" si="140"/>
        <v>0</v>
      </c>
      <c r="O795" s="5">
        <f t="shared" si="141"/>
        <v>0</v>
      </c>
      <c r="P795" s="5">
        <f t="shared" si="142"/>
        <v>0</v>
      </c>
    </row>
    <row r="796" spans="1:16" x14ac:dyDescent="0.25">
      <c r="A796" t="s">
        <v>97</v>
      </c>
      <c r="B796">
        <v>2019</v>
      </c>
      <c r="C796" s="7">
        <f>'1_Du_lieu'!V139</f>
        <v>3.3105430133940246</v>
      </c>
      <c r="D796" s="9">
        <f>'1_Du_lieu'!W139</f>
        <v>3.6428355156125294</v>
      </c>
      <c r="E796" s="9">
        <f>'1_Du_lieu'!L139</f>
        <v>1.9470000000000001</v>
      </c>
      <c r="F796" s="9">
        <f>'1_Du_lieu'!M139</f>
        <v>20.87</v>
      </c>
      <c r="G796" s="9">
        <f>'1_Du_lieu'!N139</f>
        <v>16.100000000000001</v>
      </c>
      <c r="H796" s="9">
        <f>'1_Du_lieu'!X139</f>
        <v>1.5337432446811305</v>
      </c>
      <c r="I796" s="9">
        <f>'1_Du_lieu'!T139</f>
        <v>0.63613231552162852</v>
      </c>
      <c r="J796" s="9">
        <f>'1_Du_lieu'!Y139</f>
        <v>3.044522437723423</v>
      </c>
      <c r="K796" s="5">
        <f t="shared" si="137"/>
        <v>1</v>
      </c>
      <c r="L796" s="5">
        <f t="shared" si="138"/>
        <v>0</v>
      </c>
      <c r="M796" s="5">
        <f t="shared" si="139"/>
        <v>0</v>
      </c>
      <c r="N796" s="5">
        <f t="shared" si="140"/>
        <v>0</v>
      </c>
      <c r="O796" s="5">
        <f t="shared" si="141"/>
        <v>0</v>
      </c>
      <c r="P796" s="5">
        <f t="shared" si="142"/>
        <v>0</v>
      </c>
    </row>
    <row r="797" spans="1:16" x14ac:dyDescent="0.25">
      <c r="A797" t="s">
        <v>98</v>
      </c>
      <c r="B797">
        <v>2019</v>
      </c>
      <c r="C797" s="7">
        <f>'1_Du_lieu'!V140</f>
        <v>3.9550824948885932</v>
      </c>
      <c r="D797" s="9">
        <f>'1_Du_lieu'!W140</f>
        <v>4.9767337424205742</v>
      </c>
      <c r="E797" s="9">
        <f>'1_Du_lieu'!L140</f>
        <v>8.2319999999999993</v>
      </c>
      <c r="F797" s="9">
        <f>'1_Du_lieu'!M140</f>
        <v>27.63</v>
      </c>
      <c r="G797" s="9">
        <f>'1_Du_lieu'!N140</f>
        <v>28</v>
      </c>
      <c r="H797" s="9">
        <f>'1_Du_lieu'!X140</f>
        <v>2.7293792142733855</v>
      </c>
      <c r="I797" s="9">
        <f>'1_Du_lieu'!T140</f>
        <v>1.8859712752067315</v>
      </c>
      <c r="J797" s="9">
        <f>'1_Du_lieu'!Y140</f>
        <v>9.5292085626490355</v>
      </c>
      <c r="K797" s="5">
        <f t="shared" si="137"/>
        <v>1</v>
      </c>
      <c r="L797" s="5">
        <f t="shared" si="138"/>
        <v>0</v>
      </c>
      <c r="M797" s="5">
        <f t="shared" si="139"/>
        <v>0</v>
      </c>
      <c r="N797" s="5">
        <f t="shared" si="140"/>
        <v>0</v>
      </c>
      <c r="O797" s="5">
        <f t="shared" si="141"/>
        <v>0</v>
      </c>
      <c r="P797" s="5">
        <f t="shared" si="142"/>
        <v>0</v>
      </c>
    </row>
    <row r="798" spans="1:16" x14ac:dyDescent="0.25">
      <c r="A798" t="s">
        <v>100</v>
      </c>
      <c r="B798">
        <v>2019</v>
      </c>
      <c r="C798" s="7">
        <f>'1_Du_lieu'!V141</f>
        <v>3.6270040503958487</v>
      </c>
      <c r="D798" s="9">
        <f>'1_Du_lieu'!W141</f>
        <v>3.6963514689526371</v>
      </c>
      <c r="E798" s="9">
        <f>'1_Du_lieu'!L141</f>
        <v>2.3780000000000001</v>
      </c>
      <c r="F798" s="9">
        <f>'1_Du_lieu'!M141</f>
        <v>9.81</v>
      </c>
      <c r="G798" s="9">
        <f>'1_Du_lieu'!N141</f>
        <v>11.6</v>
      </c>
      <c r="H798" s="9">
        <f>'1_Du_lieu'!X141</f>
        <v>1.0068151819471221</v>
      </c>
      <c r="I798" s="9">
        <f>'1_Du_lieu'!T141</f>
        <v>0.2327205026762858</v>
      </c>
      <c r="J798" s="9">
        <f>'1_Du_lieu'!Y141</f>
        <v>6.731376031643812</v>
      </c>
      <c r="K798" s="5">
        <f t="shared" si="137"/>
        <v>1</v>
      </c>
      <c r="L798" s="5">
        <f t="shared" si="138"/>
        <v>0</v>
      </c>
      <c r="M798" s="5">
        <f t="shared" si="139"/>
        <v>0</v>
      </c>
      <c r="N798" s="5">
        <f t="shared" si="140"/>
        <v>0</v>
      </c>
      <c r="O798" s="5">
        <f t="shared" si="141"/>
        <v>0</v>
      </c>
      <c r="P798" s="5">
        <f t="shared" si="142"/>
        <v>0</v>
      </c>
    </row>
    <row r="799" spans="1:16" x14ac:dyDescent="0.25">
      <c r="A799" t="s">
        <v>103</v>
      </c>
      <c r="B799">
        <v>2019</v>
      </c>
      <c r="C799" s="7">
        <f>'1_Du_lieu'!V144</f>
        <v>3.8565102954978872</v>
      </c>
      <c r="D799" s="9">
        <f>'1_Du_lieu'!W144</f>
        <v>4.2863413845394733</v>
      </c>
      <c r="E799" s="9">
        <f>'1_Du_lieu'!L144</f>
        <v>6.8540000000000001</v>
      </c>
      <c r="F799" s="9">
        <f>'1_Du_lieu'!M144</f>
        <v>69.680000000000007</v>
      </c>
      <c r="G799" s="9">
        <f>'1_Du_lieu'!N144</f>
        <v>16.399999999999999</v>
      </c>
      <c r="H799" s="9">
        <f>'1_Du_lieu'!X144</f>
        <v>1.2143315877502252</v>
      </c>
      <c r="I799" s="9">
        <f>'1_Du_lieu'!T144</f>
        <v>1.5372168284789645</v>
      </c>
      <c r="J799" s="9">
        <f>'1_Du_lieu'!Y144</f>
        <v>6.377067026119895</v>
      </c>
      <c r="K799" s="5">
        <f t="shared" si="137"/>
        <v>1</v>
      </c>
      <c r="L799" s="5">
        <f t="shared" si="138"/>
        <v>0</v>
      </c>
      <c r="M799" s="5">
        <f t="shared" si="139"/>
        <v>0</v>
      </c>
      <c r="N799" s="5">
        <f t="shared" si="140"/>
        <v>0</v>
      </c>
      <c r="O799" s="5">
        <f t="shared" si="141"/>
        <v>0</v>
      </c>
      <c r="P799" s="5">
        <f t="shared" si="142"/>
        <v>0</v>
      </c>
    </row>
    <row r="800" spans="1:16" x14ac:dyDescent="0.25">
      <c r="A800" t="s">
        <v>104</v>
      </c>
      <c r="B800">
        <v>2019</v>
      </c>
      <c r="C800" s="7">
        <f>'1_Du_lieu'!V145</f>
        <v>3.459466289786131</v>
      </c>
      <c r="D800" s="9">
        <f>'1_Du_lieu'!W145</f>
        <v>3.6963514689526371</v>
      </c>
      <c r="E800" s="9">
        <f>'1_Du_lieu'!L145</f>
        <v>2.5459999999999998</v>
      </c>
      <c r="F800" s="9">
        <f>'1_Du_lieu'!M145</f>
        <v>28.96</v>
      </c>
      <c r="G800" s="9">
        <f>'1_Du_lieu'!N145</f>
        <v>12.5</v>
      </c>
      <c r="H800" s="9">
        <f>'1_Du_lieu'!X145</f>
        <v>2.6578526531371081</v>
      </c>
      <c r="I800" s="9">
        <f>'1_Du_lieu'!T145</f>
        <v>1.3156163662675964</v>
      </c>
      <c r="J800" s="9">
        <f>'1_Du_lieu'!Y145</f>
        <v>2.1972245773362196</v>
      </c>
      <c r="K800" s="5">
        <f t="shared" ref="K800:K863" si="143">IF(B800=2019,1,0)</f>
        <v>1</v>
      </c>
      <c r="L800" s="5">
        <f t="shared" ref="L800:L863" si="144">IF(B800=2020,1,0)</f>
        <v>0</v>
      </c>
      <c r="M800" s="5">
        <f t="shared" ref="M800:M863" si="145">IF(B800=2021,1,0)</f>
        <v>0</v>
      </c>
      <c r="N800" s="5">
        <f t="shared" ref="N800:N863" si="146">IF(B800=2022,1,0)</f>
        <v>0</v>
      </c>
      <c r="O800" s="5">
        <f t="shared" ref="O800:O863" si="147">IF(B800=2023,1,0)</f>
        <v>0</v>
      </c>
      <c r="P800" s="5">
        <f t="shared" ref="P800:P863" si="148">IF(B800=2024,1,0)</f>
        <v>0</v>
      </c>
    </row>
    <row r="801" spans="1:16" x14ac:dyDescent="0.25">
      <c r="A801" t="s">
        <v>107</v>
      </c>
      <c r="B801">
        <v>2019</v>
      </c>
      <c r="C801" s="7">
        <f>'1_Du_lieu'!V147</f>
        <v>3.6454498961866002</v>
      </c>
      <c r="D801" s="9">
        <f>'1_Du_lieu'!W147</f>
        <v>4.1588830833596715</v>
      </c>
      <c r="E801" s="9">
        <f>'1_Du_lieu'!L147</f>
        <v>4.8040000000000003</v>
      </c>
      <c r="F801" s="9">
        <f>'1_Du_lieu'!M147</f>
        <v>16.77</v>
      </c>
      <c r="G801" s="9">
        <f>'1_Du_lieu'!N147</f>
        <v>20</v>
      </c>
      <c r="H801" s="9">
        <f>'1_Du_lieu'!X147</f>
        <v>2.7668378701718099</v>
      </c>
      <c r="I801" s="9">
        <f>'1_Du_lieu'!T147</f>
        <v>1.5213575190169688</v>
      </c>
      <c r="J801" s="9">
        <f>'1_Du_lieu'!Y147</f>
        <v>8.3521298511785531</v>
      </c>
      <c r="K801" s="5">
        <f t="shared" si="143"/>
        <v>1</v>
      </c>
      <c r="L801" s="5">
        <f t="shared" si="144"/>
        <v>0</v>
      </c>
      <c r="M801" s="5">
        <f t="shared" si="145"/>
        <v>0</v>
      </c>
      <c r="N801" s="5">
        <f t="shared" si="146"/>
        <v>0</v>
      </c>
      <c r="O801" s="5">
        <f t="shared" si="147"/>
        <v>0</v>
      </c>
      <c r="P801" s="5">
        <f t="shared" si="148"/>
        <v>0</v>
      </c>
    </row>
    <row r="802" spans="1:16" x14ac:dyDescent="0.25">
      <c r="A802" t="s">
        <v>108</v>
      </c>
      <c r="B802">
        <v>2019</v>
      </c>
      <c r="C802" s="7">
        <f>'1_Du_lieu'!V148</f>
        <v>4.4343818650078095</v>
      </c>
      <c r="D802" s="9">
        <f>'1_Du_lieu'!W148</f>
        <v>4.7899886229806334</v>
      </c>
      <c r="E802" s="9">
        <f>'1_Du_lieu'!L148</f>
        <v>19.265999999999998</v>
      </c>
      <c r="F802" s="9">
        <f>'1_Du_lieu'!M148</f>
        <v>49.42</v>
      </c>
      <c r="G802" s="9">
        <f>'1_Du_lieu'!N148</f>
        <v>48.1</v>
      </c>
      <c r="H802" s="9">
        <f>'1_Du_lieu'!X148</f>
        <v>2.7242491045779054</v>
      </c>
      <c r="I802" s="9">
        <f>'1_Du_lieu'!T148</f>
        <v>2.0632822248854077</v>
      </c>
      <c r="J802" s="9">
        <f>'1_Du_lieu'!Y148</f>
        <v>8.3533086239769485</v>
      </c>
      <c r="K802" s="5">
        <f t="shared" si="143"/>
        <v>1</v>
      </c>
      <c r="L802" s="5">
        <f t="shared" si="144"/>
        <v>0</v>
      </c>
      <c r="M802" s="5">
        <f t="shared" si="145"/>
        <v>0</v>
      </c>
      <c r="N802" s="5">
        <f t="shared" si="146"/>
        <v>0</v>
      </c>
      <c r="O802" s="5">
        <f t="shared" si="147"/>
        <v>0</v>
      </c>
      <c r="P802" s="5">
        <f t="shared" si="148"/>
        <v>0</v>
      </c>
    </row>
    <row r="803" spans="1:16" x14ac:dyDescent="0.25">
      <c r="A803" t="s">
        <v>109</v>
      </c>
      <c r="B803">
        <v>2019</v>
      </c>
      <c r="C803" s="7">
        <f>'1_Du_lieu'!V149</f>
        <v>3.572345637857985</v>
      </c>
      <c r="D803" s="9">
        <f>'1_Du_lieu'!W149</f>
        <v>4.1026433650367959</v>
      </c>
      <c r="E803" s="9">
        <f>'1_Du_lieu'!L149</f>
        <v>3.53</v>
      </c>
      <c r="F803" s="9">
        <f>'1_Du_lieu'!M149</f>
        <v>19.68</v>
      </c>
      <c r="G803" s="9">
        <f>'1_Du_lieu'!N149</f>
        <v>25</v>
      </c>
      <c r="H803" s="9">
        <f>'1_Du_lieu'!X149</f>
        <v>3.3526644888984256</v>
      </c>
      <c r="I803" s="9">
        <f>'1_Du_lieu'!T149</f>
        <v>0.54250949391614356</v>
      </c>
      <c r="J803" s="9">
        <f>'1_Du_lieu'!Y149</f>
        <v>9.1150511919513608</v>
      </c>
      <c r="K803" s="5">
        <f t="shared" si="143"/>
        <v>1</v>
      </c>
      <c r="L803" s="5">
        <f t="shared" si="144"/>
        <v>0</v>
      </c>
      <c r="M803" s="5">
        <f t="shared" si="145"/>
        <v>0</v>
      </c>
      <c r="N803" s="5">
        <f t="shared" si="146"/>
        <v>0</v>
      </c>
      <c r="O803" s="5">
        <f t="shared" si="147"/>
        <v>0</v>
      </c>
      <c r="P803" s="5">
        <f t="shared" si="148"/>
        <v>0</v>
      </c>
    </row>
    <row r="804" spans="1:16" x14ac:dyDescent="0.25">
      <c r="A804" t="s">
        <v>110</v>
      </c>
      <c r="B804">
        <v>2019</v>
      </c>
      <c r="C804" s="7">
        <f>'1_Du_lieu'!V150</f>
        <v>3.4904285153900978</v>
      </c>
      <c r="D804" s="9">
        <f>'1_Du_lieu'!W150</f>
        <v>4.0000338827508592</v>
      </c>
      <c r="E804" s="9">
        <f>'1_Du_lieu'!L150</f>
        <v>2.702</v>
      </c>
      <c r="F804" s="9">
        <f>'1_Du_lieu'!M150</f>
        <v>15.74</v>
      </c>
      <c r="G804" s="9">
        <f>'1_Du_lieu'!N150</f>
        <v>17.399999999999999</v>
      </c>
      <c r="H804" s="9">
        <f>'1_Du_lieu'!X150</f>
        <v>2.4069893207527269</v>
      </c>
      <c r="I804" s="9">
        <f>'1_Du_lieu'!T150</f>
        <v>1.0516475812105635</v>
      </c>
      <c r="J804" s="9">
        <f>'1_Du_lieu'!Y150</f>
        <v>6.7232312986329825</v>
      </c>
      <c r="K804" s="5">
        <f t="shared" si="143"/>
        <v>1</v>
      </c>
      <c r="L804" s="5">
        <f t="shared" si="144"/>
        <v>0</v>
      </c>
      <c r="M804" s="5">
        <f t="shared" si="145"/>
        <v>0</v>
      </c>
      <c r="N804" s="5">
        <f t="shared" si="146"/>
        <v>0</v>
      </c>
      <c r="O804" s="5">
        <f t="shared" si="147"/>
        <v>0</v>
      </c>
      <c r="P804" s="5">
        <f t="shared" si="148"/>
        <v>0</v>
      </c>
    </row>
    <row r="805" spans="1:16" x14ac:dyDescent="0.25">
      <c r="A805" t="s">
        <v>111</v>
      </c>
      <c r="B805">
        <v>2019</v>
      </c>
      <c r="C805" s="7">
        <f>'1_Du_lieu'!V151</f>
        <v>3.648057459593681</v>
      </c>
      <c r="D805" s="9">
        <f>'1_Du_lieu'!W151</f>
        <v>4.3000027991952914</v>
      </c>
      <c r="E805" s="9">
        <f>'1_Du_lieu'!L151</f>
        <v>5.7119999999999997</v>
      </c>
      <c r="F805" s="9">
        <f>'1_Du_lieu'!M151</f>
        <v>16.510000000000002</v>
      </c>
      <c r="G805" s="9">
        <f>'1_Du_lieu'!N151</f>
        <v>25.3</v>
      </c>
      <c r="H805" s="9">
        <f>'1_Du_lieu'!X151</f>
        <v>3.178561346069436</v>
      </c>
      <c r="I805" s="9">
        <f>'1_Du_lieu'!T151</f>
        <v>1.5129797738493391</v>
      </c>
      <c r="J805" s="9">
        <f>'1_Du_lieu'!Y151</f>
        <v>8.2693470274616558</v>
      </c>
      <c r="K805" s="5">
        <f t="shared" si="143"/>
        <v>1</v>
      </c>
      <c r="L805" s="5">
        <f t="shared" si="144"/>
        <v>0</v>
      </c>
      <c r="M805" s="5">
        <f t="shared" si="145"/>
        <v>0</v>
      </c>
      <c r="N805" s="5">
        <f t="shared" si="146"/>
        <v>0</v>
      </c>
      <c r="O805" s="5">
        <f t="shared" si="147"/>
        <v>0</v>
      </c>
      <c r="P805" s="5">
        <f t="shared" si="148"/>
        <v>0</v>
      </c>
    </row>
    <row r="806" spans="1:16" x14ac:dyDescent="0.25">
      <c r="A806" t="s">
        <v>112</v>
      </c>
      <c r="B806">
        <v>2019</v>
      </c>
      <c r="C806" s="7">
        <f>'1_Du_lieu'!V152</f>
        <v>3.8416005411316001</v>
      </c>
      <c r="D806" s="9">
        <f>'1_Du_lieu'!W152</f>
        <v>4.2017030805426003</v>
      </c>
      <c r="E806" s="9">
        <f>'1_Du_lieu'!L152</f>
        <v>4.7350000000000003</v>
      </c>
      <c r="F806" s="9">
        <f>'1_Du_lieu'!M152</f>
        <v>31.32</v>
      </c>
      <c r="G806" s="9">
        <f>'1_Du_lieu'!N152</f>
        <v>22.1</v>
      </c>
      <c r="H806" s="9">
        <f>'1_Du_lieu'!X152</f>
        <v>3.0467366338006974</v>
      </c>
      <c r="I806" s="9">
        <f>'1_Du_lieu'!T152</f>
        <v>0.57989351046444193</v>
      </c>
      <c r="J806" s="9">
        <f>'1_Du_lieu'!Y152</f>
        <v>8.369203493702452</v>
      </c>
      <c r="K806" s="5">
        <f t="shared" si="143"/>
        <v>1</v>
      </c>
      <c r="L806" s="5">
        <f t="shared" si="144"/>
        <v>0</v>
      </c>
      <c r="M806" s="5">
        <f t="shared" si="145"/>
        <v>0</v>
      </c>
      <c r="N806" s="5">
        <f t="shared" si="146"/>
        <v>0</v>
      </c>
      <c r="O806" s="5">
        <f t="shared" si="147"/>
        <v>0</v>
      </c>
      <c r="P806" s="5">
        <f t="shared" si="148"/>
        <v>0</v>
      </c>
    </row>
    <row r="807" spans="1:16" x14ac:dyDescent="0.25">
      <c r="A807" t="s">
        <v>113</v>
      </c>
      <c r="B807">
        <v>2019</v>
      </c>
      <c r="C807" s="7">
        <f>'1_Du_lieu'!V153</f>
        <v>4.0876555740713041</v>
      </c>
      <c r="D807" s="9">
        <f>'1_Du_lieu'!W153</f>
        <v>4.8056590467374951</v>
      </c>
      <c r="E807" s="9">
        <f>'1_Du_lieu'!L153</f>
        <v>9.7959999999999994</v>
      </c>
      <c r="F807" s="9">
        <f>'1_Du_lieu'!M153</f>
        <v>45.59</v>
      </c>
      <c r="G807" s="9">
        <f>'1_Du_lieu'!N153</f>
        <v>31.6</v>
      </c>
      <c r="H807" s="9">
        <f>'1_Du_lieu'!X153</f>
        <v>3.792556682003529</v>
      </c>
      <c r="I807" s="9">
        <f>'1_Du_lieu'!T153</f>
        <v>1.6721585599763931</v>
      </c>
      <c r="J807" s="9">
        <f>'1_Du_lieu'!Y153</f>
        <v>9.1293255252619065</v>
      </c>
      <c r="K807" s="5">
        <f t="shared" si="143"/>
        <v>1</v>
      </c>
      <c r="L807" s="5">
        <f t="shared" si="144"/>
        <v>0</v>
      </c>
      <c r="M807" s="5">
        <f t="shared" si="145"/>
        <v>0</v>
      </c>
      <c r="N807" s="5">
        <f t="shared" si="146"/>
        <v>0</v>
      </c>
      <c r="O807" s="5">
        <f t="shared" si="147"/>
        <v>0</v>
      </c>
      <c r="P807" s="5">
        <f t="shared" si="148"/>
        <v>0</v>
      </c>
    </row>
    <row r="808" spans="1:16" x14ac:dyDescent="0.25">
      <c r="A808" t="s">
        <v>115</v>
      </c>
      <c r="B808">
        <v>2019</v>
      </c>
      <c r="C808" s="7">
        <f>'1_Du_lieu'!V155</f>
        <v>3.7541989202345789</v>
      </c>
      <c r="D808" s="9">
        <f>'1_Du_lieu'!W155</f>
        <v>4.2541932631639972</v>
      </c>
      <c r="E808" s="9">
        <f>'1_Du_lieu'!L155</f>
        <v>8.9550000000000001</v>
      </c>
      <c r="F808" s="9">
        <f>'1_Du_lieu'!M155</f>
        <v>42.29</v>
      </c>
      <c r="G808" s="9">
        <f>'1_Du_lieu'!N155</f>
        <v>22.8</v>
      </c>
      <c r="H808" s="9">
        <f>'1_Du_lieu'!X155</f>
        <v>3.0142091251449474</v>
      </c>
      <c r="I808" s="9">
        <f>'1_Du_lieu'!T155</f>
        <v>3.3257624918883844</v>
      </c>
      <c r="J808" s="9">
        <f>'1_Du_lieu'!Y155</f>
        <v>8.1570264439353597</v>
      </c>
      <c r="K808" s="5">
        <f t="shared" si="143"/>
        <v>1</v>
      </c>
      <c r="L808" s="5">
        <f t="shared" si="144"/>
        <v>0</v>
      </c>
      <c r="M808" s="5">
        <f t="shared" si="145"/>
        <v>0</v>
      </c>
      <c r="N808" s="5">
        <f t="shared" si="146"/>
        <v>0</v>
      </c>
      <c r="O808" s="5">
        <f t="shared" si="147"/>
        <v>0</v>
      </c>
      <c r="P808" s="5">
        <f t="shared" si="148"/>
        <v>0</v>
      </c>
    </row>
    <row r="809" spans="1:16" x14ac:dyDescent="0.25">
      <c r="A809" t="s">
        <v>116</v>
      </c>
      <c r="B809">
        <v>2019</v>
      </c>
      <c r="C809" s="7">
        <f>'1_Du_lieu'!V156</f>
        <v>3.6216707044204863</v>
      </c>
      <c r="D809" s="9">
        <f>'1_Du_lieu'!W156</f>
        <v>4.01096295328305</v>
      </c>
      <c r="E809" s="9">
        <f>'1_Du_lieu'!L156</f>
        <v>4.2210000000000001</v>
      </c>
      <c r="F809" s="9">
        <f>'1_Du_lieu'!M156</f>
        <v>28.36</v>
      </c>
      <c r="G809" s="9">
        <f>'1_Du_lieu'!N156</f>
        <v>13.6</v>
      </c>
      <c r="H809" s="9">
        <f>'1_Du_lieu'!X156</f>
        <v>0.81888518665862431</v>
      </c>
      <c r="I809" s="9">
        <f>'1_Du_lieu'!T156</f>
        <v>0.63816209317166561</v>
      </c>
      <c r="J809" s="9">
        <f>'1_Du_lieu'!Y156</f>
        <v>7.9327210274819482</v>
      </c>
      <c r="K809" s="5">
        <f t="shared" si="143"/>
        <v>1</v>
      </c>
      <c r="L809" s="5">
        <f t="shared" si="144"/>
        <v>0</v>
      </c>
      <c r="M809" s="5">
        <f t="shared" si="145"/>
        <v>0</v>
      </c>
      <c r="N809" s="5">
        <f t="shared" si="146"/>
        <v>0</v>
      </c>
      <c r="O809" s="5">
        <f t="shared" si="147"/>
        <v>0</v>
      </c>
      <c r="P809" s="5">
        <f t="shared" si="148"/>
        <v>0</v>
      </c>
    </row>
    <row r="810" spans="1:16" x14ac:dyDescent="0.25">
      <c r="A810" t="s">
        <v>117</v>
      </c>
      <c r="B810">
        <v>2019</v>
      </c>
      <c r="C810" s="7">
        <f>'1_Du_lieu'!V157</f>
        <v>3.4210000089583352</v>
      </c>
      <c r="D810" s="9">
        <f>'1_Du_lieu'!W157</f>
        <v>3.6963514689526371</v>
      </c>
      <c r="E810" s="9">
        <f>'1_Du_lieu'!L157</f>
        <v>3.0249999999999999</v>
      </c>
      <c r="F810" s="9">
        <f>'1_Du_lieu'!M157</f>
        <v>31.97</v>
      </c>
      <c r="G810" s="9">
        <f>'1_Du_lieu'!N157</f>
        <v>12.9</v>
      </c>
      <c r="H810" s="9">
        <f>'1_Du_lieu'!X157</f>
        <v>2.3822823374177546</v>
      </c>
      <c r="I810" s="9">
        <f>'1_Du_lieu'!T157</f>
        <v>0.73610599926389408</v>
      </c>
      <c r="J810" s="9">
        <f>'1_Du_lieu'!Y157</f>
        <v>5.1579052128312917</v>
      </c>
      <c r="K810" s="5">
        <f t="shared" si="143"/>
        <v>1</v>
      </c>
      <c r="L810" s="5">
        <f t="shared" si="144"/>
        <v>0</v>
      </c>
      <c r="M810" s="5">
        <f t="shared" si="145"/>
        <v>0</v>
      </c>
      <c r="N810" s="5">
        <f t="shared" si="146"/>
        <v>0</v>
      </c>
      <c r="O810" s="5">
        <f t="shared" si="147"/>
        <v>0</v>
      </c>
      <c r="P810" s="5">
        <f t="shared" si="148"/>
        <v>0</v>
      </c>
    </row>
    <row r="811" spans="1:16" x14ac:dyDescent="0.25">
      <c r="A811" t="s">
        <v>119</v>
      </c>
      <c r="B811">
        <v>2019</v>
      </c>
      <c r="C811" s="7">
        <f>'1_Du_lieu'!V159</f>
        <v>3.6082115510464816</v>
      </c>
      <c r="D811" s="9">
        <f>'1_Du_lieu'!W159</f>
        <v>4.28771595520264</v>
      </c>
      <c r="E811" s="9">
        <f>'1_Du_lieu'!L159</f>
        <v>5.7190000000000003</v>
      </c>
      <c r="F811" s="9">
        <f>'1_Du_lieu'!M159</f>
        <v>16.079999999999998</v>
      </c>
      <c r="G811" s="9">
        <f>'1_Du_lieu'!N159</f>
        <v>16.7</v>
      </c>
      <c r="H811" s="9">
        <f>'1_Du_lieu'!X159</f>
        <v>1.221371158364279</v>
      </c>
      <c r="I811" s="9">
        <f>'1_Du_lieu'!T159</f>
        <v>0.53094212730812351</v>
      </c>
      <c r="J811" s="9">
        <f>'1_Du_lieu'!Y159</f>
        <v>8.4471998195957028</v>
      </c>
      <c r="K811" s="5">
        <f t="shared" si="143"/>
        <v>1</v>
      </c>
      <c r="L811" s="5">
        <f t="shared" si="144"/>
        <v>0</v>
      </c>
      <c r="M811" s="5">
        <f t="shared" si="145"/>
        <v>0</v>
      </c>
      <c r="N811" s="5">
        <f t="shared" si="146"/>
        <v>0</v>
      </c>
      <c r="O811" s="5">
        <f t="shared" si="147"/>
        <v>0</v>
      </c>
      <c r="P811" s="5">
        <f t="shared" si="148"/>
        <v>0</v>
      </c>
    </row>
    <row r="812" spans="1:16" x14ac:dyDescent="0.25">
      <c r="A812" t="s">
        <v>120</v>
      </c>
      <c r="B812">
        <v>2019</v>
      </c>
      <c r="C812" s="7">
        <f>'1_Du_lieu'!V160</f>
        <v>3.5695326964813701</v>
      </c>
      <c r="D812" s="9">
        <f>'1_Du_lieu'!W160</f>
        <v>4.220977213155467</v>
      </c>
      <c r="E812" s="9">
        <f>'1_Du_lieu'!L160</f>
        <v>3.516</v>
      </c>
      <c r="F812" s="9">
        <f>'1_Du_lieu'!M160</f>
        <v>23.39</v>
      </c>
      <c r="G812" s="9">
        <f>'1_Du_lieu'!N160</f>
        <v>19.5</v>
      </c>
      <c r="H812" s="9">
        <f>'1_Du_lieu'!X160</f>
        <v>2.1232809348141224</v>
      </c>
      <c r="I812" s="9">
        <f>'1_Du_lieu'!T160</f>
        <v>1.9091776898949955</v>
      </c>
      <c r="J812" s="9">
        <f>'1_Du_lieu'!Y160</f>
        <v>6.6682282484174031</v>
      </c>
      <c r="K812" s="5">
        <f t="shared" si="143"/>
        <v>1</v>
      </c>
      <c r="L812" s="5">
        <f t="shared" si="144"/>
        <v>0</v>
      </c>
      <c r="M812" s="5">
        <f t="shared" si="145"/>
        <v>0</v>
      </c>
      <c r="N812" s="5">
        <f t="shared" si="146"/>
        <v>0</v>
      </c>
      <c r="O812" s="5">
        <f t="shared" si="147"/>
        <v>0</v>
      </c>
      <c r="P812" s="5">
        <f t="shared" si="148"/>
        <v>0</v>
      </c>
    </row>
    <row r="813" spans="1:16" x14ac:dyDescent="0.25">
      <c r="A813" t="s">
        <v>121</v>
      </c>
      <c r="B813">
        <v>2019</v>
      </c>
      <c r="C813" s="7">
        <f>'1_Du_lieu'!V161</f>
        <v>3.6988297849671046</v>
      </c>
      <c r="D813" s="9">
        <f>'1_Du_lieu'!W161</f>
        <v>4.1026433650367959</v>
      </c>
      <c r="E813" s="9">
        <f>'1_Du_lieu'!L161</f>
        <v>4.8630000000000004</v>
      </c>
      <c r="F813" s="9">
        <f>'1_Du_lieu'!M161</f>
        <v>39.17</v>
      </c>
      <c r="G813" s="9">
        <f>'1_Du_lieu'!N161</f>
        <v>16.7</v>
      </c>
      <c r="H813" s="9">
        <f>'1_Du_lieu'!X161</f>
        <v>2.424660365279816</v>
      </c>
      <c r="I813" s="9">
        <f>'1_Du_lieu'!T161</f>
        <v>0.53875163549603633</v>
      </c>
      <c r="J813" s="9">
        <f>'1_Du_lieu'!Y161</f>
        <v>5.9957055413652363</v>
      </c>
      <c r="K813" s="5">
        <f t="shared" si="143"/>
        <v>1</v>
      </c>
      <c r="L813" s="5">
        <f t="shared" si="144"/>
        <v>0</v>
      </c>
      <c r="M813" s="5">
        <f t="shared" si="145"/>
        <v>0</v>
      </c>
      <c r="N813" s="5">
        <f t="shared" si="146"/>
        <v>0</v>
      </c>
      <c r="O813" s="5">
        <f t="shared" si="147"/>
        <v>0</v>
      </c>
      <c r="P813" s="5">
        <f t="shared" si="148"/>
        <v>0</v>
      </c>
    </row>
    <row r="814" spans="1:16" x14ac:dyDescent="0.25">
      <c r="A814" t="s">
        <v>122</v>
      </c>
      <c r="B814">
        <v>2019</v>
      </c>
      <c r="C814" s="7">
        <f>'1_Du_lieu'!V162</f>
        <v>3.3603753871419002</v>
      </c>
      <c r="D814" s="9">
        <f>'1_Du_lieu'!W162</f>
        <v>3.735285826928092</v>
      </c>
      <c r="E814" s="9">
        <f>'1_Du_lieu'!L162</f>
        <v>2.4340000000000002</v>
      </c>
      <c r="F814" s="9">
        <f>'1_Du_lieu'!M162</f>
        <v>20.48</v>
      </c>
      <c r="G814" s="9">
        <f>'1_Du_lieu'!N162</f>
        <v>16.5</v>
      </c>
      <c r="H814" s="9">
        <f>'1_Du_lieu'!X162</f>
        <v>2.1793949640432282</v>
      </c>
      <c r="I814" s="9">
        <f>'1_Du_lieu'!T162</f>
        <v>0.76647930505876349</v>
      </c>
      <c r="J814" s="9">
        <f>'1_Du_lieu'!Y162</f>
        <v>5.7212948997408324</v>
      </c>
      <c r="K814" s="5">
        <f t="shared" si="143"/>
        <v>1</v>
      </c>
      <c r="L814" s="5">
        <f t="shared" si="144"/>
        <v>0</v>
      </c>
      <c r="M814" s="5">
        <f t="shared" si="145"/>
        <v>0</v>
      </c>
      <c r="N814" s="5">
        <f t="shared" si="146"/>
        <v>0</v>
      </c>
      <c r="O814" s="5">
        <f t="shared" si="147"/>
        <v>0</v>
      </c>
      <c r="P814" s="5">
        <f t="shared" si="148"/>
        <v>0</v>
      </c>
    </row>
    <row r="815" spans="1:16" x14ac:dyDescent="0.25">
      <c r="A815" t="s">
        <v>123</v>
      </c>
      <c r="B815">
        <v>2019</v>
      </c>
      <c r="C815" s="7">
        <f>'1_Du_lieu'!V163</f>
        <v>3.6888794541139363</v>
      </c>
      <c r="D815" s="9">
        <f>'1_Du_lieu'!W163</f>
        <v>3.6635616461296463</v>
      </c>
      <c r="E815" s="9">
        <f>'1_Du_lieu'!L163</f>
        <v>3.1869999999999998</v>
      </c>
      <c r="F815" s="9">
        <f>'1_Du_lieu'!M163</f>
        <v>18.18</v>
      </c>
      <c r="G815" s="9">
        <f>'1_Du_lieu'!N163</f>
        <v>17.7</v>
      </c>
      <c r="H815" s="9">
        <f>'1_Du_lieu'!X163</f>
        <v>2.0236282045263727</v>
      </c>
      <c r="I815" s="9">
        <f>'1_Du_lieu'!T163</f>
        <v>1.010724914369139</v>
      </c>
      <c r="J815" s="9">
        <f>'1_Du_lieu'!Y163</f>
        <v>7.5857888217320344</v>
      </c>
      <c r="K815" s="5">
        <f t="shared" si="143"/>
        <v>1</v>
      </c>
      <c r="L815" s="5">
        <f t="shared" si="144"/>
        <v>0</v>
      </c>
      <c r="M815" s="5">
        <f t="shared" si="145"/>
        <v>0</v>
      </c>
      <c r="N815" s="5">
        <f t="shared" si="146"/>
        <v>0</v>
      </c>
      <c r="O815" s="5">
        <f t="shared" si="147"/>
        <v>0</v>
      </c>
      <c r="P815" s="5">
        <f t="shared" si="148"/>
        <v>0</v>
      </c>
    </row>
    <row r="816" spans="1:16" x14ac:dyDescent="0.25">
      <c r="A816" t="s">
        <v>124</v>
      </c>
      <c r="B816">
        <v>2019</v>
      </c>
      <c r="C816" s="7">
        <f>'1_Du_lieu'!V164</f>
        <v>3.7471483622379123</v>
      </c>
      <c r="D816" s="9">
        <f>'1_Du_lieu'!W164</f>
        <v>3.6838669122903918</v>
      </c>
      <c r="E816" s="9">
        <f>'1_Du_lieu'!L164</f>
        <v>3.2530000000000001</v>
      </c>
      <c r="F816" s="9">
        <f>'1_Du_lieu'!M164</f>
        <v>14.7</v>
      </c>
      <c r="G816" s="9">
        <f>'1_Du_lieu'!N164</f>
        <v>20.7</v>
      </c>
      <c r="H816" s="9">
        <f>'1_Du_lieu'!X164</f>
        <v>3.4398768452766815</v>
      </c>
      <c r="I816" s="9">
        <f>'1_Du_lieu'!T164</f>
        <v>3.1763154740501025</v>
      </c>
      <c r="J816" s="9">
        <f>'1_Du_lieu'!Y164</f>
        <v>6.4734276261888715</v>
      </c>
      <c r="K816" s="5">
        <f t="shared" si="143"/>
        <v>1</v>
      </c>
      <c r="L816" s="5">
        <f t="shared" si="144"/>
        <v>0</v>
      </c>
      <c r="M816" s="5">
        <f t="shared" si="145"/>
        <v>0</v>
      </c>
      <c r="N816" s="5">
        <f t="shared" si="146"/>
        <v>0</v>
      </c>
      <c r="O816" s="5">
        <f t="shared" si="147"/>
        <v>0</v>
      </c>
      <c r="P816" s="5">
        <f t="shared" si="148"/>
        <v>0</v>
      </c>
    </row>
    <row r="817" spans="1:16" x14ac:dyDescent="0.25">
      <c r="A817" t="s">
        <v>125</v>
      </c>
      <c r="B817">
        <v>2019</v>
      </c>
      <c r="C817" s="7">
        <f>'1_Du_lieu'!V165</f>
        <v>3.7184382563554808</v>
      </c>
      <c r="D817" s="9">
        <f>'1_Du_lieu'!W165</f>
        <v>4.1399550734741526</v>
      </c>
      <c r="E817" s="9">
        <f>'1_Du_lieu'!L165</f>
        <v>4.3440000000000003</v>
      </c>
      <c r="F817" s="9">
        <f>'1_Du_lieu'!M165</f>
        <v>21.11</v>
      </c>
      <c r="G817" s="9">
        <f>'1_Du_lieu'!N165</f>
        <v>28.9</v>
      </c>
      <c r="H817" s="9">
        <f>'1_Du_lieu'!X165</f>
        <v>3.2331082416068808</v>
      </c>
      <c r="I817" s="9">
        <f>'1_Du_lieu'!T165</f>
        <v>1.015744032503809</v>
      </c>
      <c r="J817" s="9">
        <f>'1_Du_lieu'!Y165</f>
        <v>7.2581304207723409</v>
      </c>
      <c r="K817" s="5">
        <f t="shared" si="143"/>
        <v>1</v>
      </c>
      <c r="L817" s="5">
        <f t="shared" si="144"/>
        <v>0</v>
      </c>
      <c r="M817" s="5">
        <f t="shared" si="145"/>
        <v>0</v>
      </c>
      <c r="N817" s="5">
        <f t="shared" si="146"/>
        <v>0</v>
      </c>
      <c r="O817" s="5">
        <f t="shared" si="147"/>
        <v>0</v>
      </c>
      <c r="P817" s="5">
        <f t="shared" si="148"/>
        <v>0</v>
      </c>
    </row>
    <row r="818" spans="1:16" x14ac:dyDescent="0.25">
      <c r="A818" t="s">
        <v>126</v>
      </c>
      <c r="B818">
        <v>2019</v>
      </c>
      <c r="C818" s="7">
        <f>'1_Du_lieu'!V166</f>
        <v>3.5085558999826545</v>
      </c>
      <c r="D818" s="9">
        <f>'1_Du_lieu'!W166</f>
        <v>3.9646154555473165</v>
      </c>
      <c r="E818" s="9">
        <f>'1_Du_lieu'!L166</f>
        <v>3.9630000000000001</v>
      </c>
      <c r="F818" s="9">
        <f>'1_Du_lieu'!M166</f>
        <v>35.75</v>
      </c>
      <c r="G818" s="9">
        <f>'1_Du_lieu'!N166</f>
        <v>18.899999999999999</v>
      </c>
      <c r="H818" s="9">
        <f>'1_Du_lieu'!X166</f>
        <v>2.3019927009824763</v>
      </c>
      <c r="I818" s="9">
        <f>'1_Du_lieu'!T166</f>
        <v>1.1844331641285957</v>
      </c>
      <c r="J818" s="9">
        <f>'1_Du_lieu'!Y166</f>
        <v>7.9710166903473212</v>
      </c>
      <c r="K818" s="5">
        <f t="shared" si="143"/>
        <v>1</v>
      </c>
      <c r="L818" s="5">
        <f t="shared" si="144"/>
        <v>0</v>
      </c>
      <c r="M818" s="5">
        <f t="shared" si="145"/>
        <v>0</v>
      </c>
      <c r="N818" s="5">
        <f t="shared" si="146"/>
        <v>0</v>
      </c>
      <c r="O818" s="5">
        <f t="shared" si="147"/>
        <v>0</v>
      </c>
      <c r="P818" s="5">
        <f t="shared" si="148"/>
        <v>0</v>
      </c>
    </row>
    <row r="819" spans="1:16" x14ac:dyDescent="0.25">
      <c r="A819" t="s">
        <v>127</v>
      </c>
      <c r="B819">
        <v>2019</v>
      </c>
      <c r="C819" s="7">
        <f>'1_Du_lieu'!V167</f>
        <v>3.6584202466292277</v>
      </c>
      <c r="D819" s="9">
        <f>'1_Du_lieu'!W167</f>
        <v>3.8522730010223722</v>
      </c>
      <c r="E819" s="9">
        <f>'1_Du_lieu'!L167</f>
        <v>3.35</v>
      </c>
      <c r="F819" s="9">
        <f>'1_Du_lieu'!M167</f>
        <v>18.37</v>
      </c>
      <c r="G819" s="9">
        <f>'1_Du_lieu'!N167</f>
        <v>24.6</v>
      </c>
      <c r="H819" s="9">
        <f>'1_Du_lieu'!X167</f>
        <v>2.9844819641613083</v>
      </c>
      <c r="I819" s="9">
        <f>'1_Du_lieu'!T167</f>
        <v>1.2956901254773594</v>
      </c>
      <c r="J819" s="9">
        <f>'1_Du_lieu'!Y167</f>
        <v>6.9939329752231894</v>
      </c>
      <c r="K819" s="5">
        <f t="shared" si="143"/>
        <v>1</v>
      </c>
      <c r="L819" s="5">
        <f t="shared" si="144"/>
        <v>0</v>
      </c>
      <c r="M819" s="5">
        <f t="shared" si="145"/>
        <v>0</v>
      </c>
      <c r="N819" s="5">
        <f t="shared" si="146"/>
        <v>0</v>
      </c>
      <c r="O819" s="5">
        <f t="shared" si="147"/>
        <v>0</v>
      </c>
      <c r="P819" s="5">
        <f t="shared" si="148"/>
        <v>0</v>
      </c>
    </row>
    <row r="820" spans="1:16" x14ac:dyDescent="0.25">
      <c r="A820" t="s">
        <v>128</v>
      </c>
      <c r="B820">
        <v>2019</v>
      </c>
      <c r="C820" s="7">
        <f>'1_Du_lieu'!V168</f>
        <v>3.5524868292083815</v>
      </c>
      <c r="D820" s="9">
        <f>'1_Du_lieu'!W168</f>
        <v>3.8836235309064482</v>
      </c>
      <c r="E820" s="9">
        <f>'1_Du_lieu'!L168</f>
        <v>3.1150000000000002</v>
      </c>
      <c r="F820" s="9">
        <f>'1_Du_lieu'!M168</f>
        <v>28.74</v>
      </c>
      <c r="G820" s="9">
        <f>'1_Du_lieu'!N168</f>
        <v>16.600000000000001</v>
      </c>
      <c r="H820" s="9">
        <f>'1_Du_lieu'!X168</f>
        <v>2.6973811817596256</v>
      </c>
      <c r="I820" s="9">
        <f>'1_Du_lieu'!T168</f>
        <v>0.68712780577187349</v>
      </c>
      <c r="J820" s="9">
        <f>'1_Du_lieu'!Y168</f>
        <v>7.731623657265092</v>
      </c>
      <c r="K820" s="5">
        <f t="shared" si="143"/>
        <v>1</v>
      </c>
      <c r="L820" s="5">
        <f t="shared" si="144"/>
        <v>0</v>
      </c>
      <c r="M820" s="5">
        <f t="shared" si="145"/>
        <v>0</v>
      </c>
      <c r="N820" s="5">
        <f t="shared" si="146"/>
        <v>0</v>
      </c>
      <c r="O820" s="5">
        <f t="shared" si="147"/>
        <v>0</v>
      </c>
      <c r="P820" s="5">
        <f t="shared" si="148"/>
        <v>0</v>
      </c>
    </row>
    <row r="821" spans="1:16" x14ac:dyDescent="0.25">
      <c r="A821" t="s">
        <v>129</v>
      </c>
      <c r="B821">
        <v>2019</v>
      </c>
      <c r="C821" s="7">
        <f>'1_Du_lieu'!V169</f>
        <v>3.459466289786131</v>
      </c>
      <c r="D821" s="9">
        <f>'1_Du_lieu'!W169</f>
        <v>3.7773481021015445</v>
      </c>
      <c r="E821" s="9">
        <f>'1_Du_lieu'!L169</f>
        <v>4.641</v>
      </c>
      <c r="F821" s="9">
        <f>'1_Du_lieu'!M169</f>
        <v>20.99</v>
      </c>
      <c r="G821" s="9">
        <f>'1_Du_lieu'!N169</f>
        <v>21.7</v>
      </c>
      <c r="H821" s="9">
        <f>'1_Du_lieu'!X169</f>
        <v>3.2311755139274179</v>
      </c>
      <c r="I821" s="9">
        <f>'1_Du_lieu'!T169</f>
        <v>0.89225964755743925</v>
      </c>
      <c r="J821" s="9">
        <f>'1_Du_lieu'!Y169</f>
        <v>6.752270376141742</v>
      </c>
      <c r="K821" s="5">
        <f t="shared" si="143"/>
        <v>1</v>
      </c>
      <c r="L821" s="5">
        <f t="shared" si="144"/>
        <v>0</v>
      </c>
      <c r="M821" s="5">
        <f t="shared" si="145"/>
        <v>0</v>
      </c>
      <c r="N821" s="5">
        <f t="shared" si="146"/>
        <v>0</v>
      </c>
      <c r="O821" s="5">
        <f t="shared" si="147"/>
        <v>0</v>
      </c>
      <c r="P821" s="5">
        <f t="shared" si="148"/>
        <v>0</v>
      </c>
    </row>
    <row r="822" spans="1:16" x14ac:dyDescent="0.25">
      <c r="A822" t="s">
        <v>130</v>
      </c>
      <c r="B822">
        <v>2019</v>
      </c>
      <c r="C822" s="7">
        <f>'1_Du_lieu'!V170</f>
        <v>3.6661224669913199</v>
      </c>
      <c r="D822" s="9">
        <f>'1_Du_lieu'!W170</f>
        <v>4.1896547420264252</v>
      </c>
      <c r="E822" s="9">
        <f>'1_Du_lieu'!L170</f>
        <v>4.843</v>
      </c>
      <c r="F822" s="9">
        <f>'1_Du_lieu'!M170</f>
        <v>25.35</v>
      </c>
      <c r="G822" s="9">
        <f>'1_Du_lieu'!N170</f>
        <v>18.7</v>
      </c>
      <c r="H822" s="9">
        <f>'1_Du_lieu'!X170</f>
        <v>2.4979541590756296</v>
      </c>
      <c r="I822" s="9">
        <f>'1_Du_lieu'!T170</f>
        <v>0.13355592654424039</v>
      </c>
      <c r="J822" s="9">
        <f>'1_Du_lieu'!Y170</f>
        <v>8.3168380017324584</v>
      </c>
      <c r="K822" s="5">
        <f t="shared" si="143"/>
        <v>1</v>
      </c>
      <c r="L822" s="5">
        <f t="shared" si="144"/>
        <v>0</v>
      </c>
      <c r="M822" s="5">
        <f t="shared" si="145"/>
        <v>0</v>
      </c>
      <c r="N822" s="5">
        <f t="shared" si="146"/>
        <v>0</v>
      </c>
      <c r="O822" s="5">
        <f t="shared" si="147"/>
        <v>0</v>
      </c>
      <c r="P822" s="5">
        <f t="shared" si="148"/>
        <v>0</v>
      </c>
    </row>
    <row r="823" spans="1:16" x14ac:dyDescent="0.25">
      <c r="A823" t="s">
        <v>131</v>
      </c>
      <c r="B823">
        <v>2019</v>
      </c>
      <c r="C823" s="7">
        <f>'1_Du_lieu'!V171</f>
        <v>3.4563166808832348</v>
      </c>
      <c r="D823" s="9">
        <f>'1_Du_lieu'!W171</f>
        <v>4.255612709818223</v>
      </c>
      <c r="E823" s="9">
        <f>'1_Du_lieu'!L171</f>
        <v>4.1289999999999996</v>
      </c>
      <c r="F823" s="9">
        <f>'1_Du_lieu'!M171</f>
        <v>16.36</v>
      </c>
      <c r="G823" s="9">
        <f>'1_Du_lieu'!N171</f>
        <v>20.9</v>
      </c>
      <c r="H823" s="9">
        <f>'1_Du_lieu'!X171</f>
        <v>2.4036054953092547</v>
      </c>
      <c r="I823" s="9">
        <f>'1_Du_lieu'!T171</f>
        <v>0.73057878074519034</v>
      </c>
      <c r="J823" s="9">
        <f>'1_Du_lieu'!Y171</f>
        <v>7.3121531511298787</v>
      </c>
      <c r="K823" s="5">
        <f t="shared" si="143"/>
        <v>1</v>
      </c>
      <c r="L823" s="5">
        <f t="shared" si="144"/>
        <v>0</v>
      </c>
      <c r="M823" s="5">
        <f t="shared" si="145"/>
        <v>0</v>
      </c>
      <c r="N823" s="5">
        <f t="shared" si="146"/>
        <v>0</v>
      </c>
      <c r="O823" s="5">
        <f t="shared" si="147"/>
        <v>0</v>
      </c>
      <c r="P823" s="5">
        <f t="shared" si="148"/>
        <v>0</v>
      </c>
    </row>
    <row r="824" spans="1:16" x14ac:dyDescent="0.25">
      <c r="A824" t="s">
        <v>132</v>
      </c>
      <c r="B824">
        <v>2019</v>
      </c>
      <c r="C824" s="7">
        <f>'1_Du_lieu'!V172</f>
        <v>3.8753590210565547</v>
      </c>
      <c r="D824" s="9">
        <f>'1_Du_lieu'!W172</f>
        <v>4.9649403348341261</v>
      </c>
      <c r="E824" s="9">
        <f>'1_Du_lieu'!L172</f>
        <v>6.7229999999999999</v>
      </c>
      <c r="F824" s="9">
        <f>'1_Du_lieu'!M172</f>
        <v>64.44</v>
      </c>
      <c r="G824" s="9">
        <f>'1_Du_lieu'!N172</f>
        <v>37.700000000000003</v>
      </c>
      <c r="H824" s="9">
        <f>'1_Du_lieu'!X172</f>
        <v>3.322961071193907</v>
      </c>
      <c r="I824" s="9">
        <f>'1_Du_lieu'!T172</f>
        <v>2.943840579710145</v>
      </c>
      <c r="J824" s="9">
        <f>'1_Du_lieu'!Y172</f>
        <v>8.4699548225893668</v>
      </c>
      <c r="K824" s="5">
        <f t="shared" si="143"/>
        <v>1</v>
      </c>
      <c r="L824" s="5">
        <f t="shared" si="144"/>
        <v>0</v>
      </c>
      <c r="M824" s="5">
        <f t="shared" si="145"/>
        <v>0</v>
      </c>
      <c r="N824" s="5">
        <f t="shared" si="146"/>
        <v>0</v>
      </c>
      <c r="O824" s="5">
        <f t="shared" si="147"/>
        <v>0</v>
      </c>
      <c r="P824" s="5">
        <f t="shared" si="148"/>
        <v>0</v>
      </c>
    </row>
    <row r="825" spans="1:16" x14ac:dyDescent="0.25">
      <c r="A825" t="s">
        <v>133</v>
      </c>
      <c r="B825">
        <v>2019</v>
      </c>
      <c r="C825" s="7">
        <f>'1_Du_lieu'!V173</f>
        <v>3.4242626545931514</v>
      </c>
      <c r="D825" s="9">
        <f>'1_Du_lieu'!W173</f>
        <v>3.9180050771056933</v>
      </c>
      <c r="E825" s="9">
        <f>'1_Du_lieu'!L173</f>
        <v>4.26</v>
      </c>
      <c r="F825" s="9">
        <f>'1_Du_lieu'!M173</f>
        <v>31.01</v>
      </c>
      <c r="G825" s="9">
        <f>'1_Du_lieu'!N173</f>
        <v>23.2</v>
      </c>
      <c r="H825" s="9">
        <f>'1_Du_lieu'!X173</f>
        <v>2.8207283673811534</v>
      </c>
      <c r="I825" s="9">
        <f>'1_Du_lieu'!T173</f>
        <v>3.4733185980423116</v>
      </c>
      <c r="J825" s="9">
        <f>'1_Du_lieu'!Y173</f>
        <v>4.9067551636088638</v>
      </c>
      <c r="K825" s="5">
        <f t="shared" si="143"/>
        <v>1</v>
      </c>
      <c r="L825" s="5">
        <f t="shared" si="144"/>
        <v>0</v>
      </c>
      <c r="M825" s="5">
        <f t="shared" si="145"/>
        <v>0</v>
      </c>
      <c r="N825" s="5">
        <f t="shared" si="146"/>
        <v>0</v>
      </c>
      <c r="O825" s="5">
        <f t="shared" si="147"/>
        <v>0</v>
      </c>
      <c r="P825" s="5">
        <f t="shared" si="148"/>
        <v>0</v>
      </c>
    </row>
    <row r="826" spans="1:16" x14ac:dyDescent="0.25">
      <c r="A826" t="s">
        <v>136</v>
      </c>
      <c r="B826">
        <v>2019</v>
      </c>
      <c r="C826" s="7">
        <f>'1_Du_lieu'!V176</f>
        <v>4.4636066216663046</v>
      </c>
      <c r="D826" s="9">
        <f>'1_Du_lieu'!W176</f>
        <v>5.0019308534661091</v>
      </c>
      <c r="E826" s="9">
        <f>'1_Du_lieu'!L176</f>
        <v>26.510999999999999</v>
      </c>
      <c r="F826" s="9">
        <f>'1_Du_lieu'!M176</f>
        <v>79.23</v>
      </c>
      <c r="G826" s="9">
        <f>'1_Du_lieu'!N176</f>
        <v>37.1</v>
      </c>
      <c r="H826" s="9">
        <f>'1_Du_lieu'!X176</f>
        <v>2.5840430585278642</v>
      </c>
      <c r="I826" s="9">
        <f>'1_Du_lieu'!T176</f>
        <v>2.821233376850397</v>
      </c>
      <c r="J826" s="9">
        <f>'1_Du_lieu'!Y176</f>
        <v>8.5646300593408586</v>
      </c>
      <c r="K826" s="5">
        <f t="shared" si="143"/>
        <v>1</v>
      </c>
      <c r="L826" s="5">
        <f t="shared" si="144"/>
        <v>0</v>
      </c>
      <c r="M826" s="5">
        <f t="shared" si="145"/>
        <v>0</v>
      </c>
      <c r="N826" s="5">
        <f t="shared" si="146"/>
        <v>0</v>
      </c>
      <c r="O826" s="5">
        <f t="shared" si="147"/>
        <v>0</v>
      </c>
      <c r="P826" s="5">
        <f t="shared" si="148"/>
        <v>0</v>
      </c>
    </row>
    <row r="827" spans="1:16" x14ac:dyDescent="0.25">
      <c r="A827" t="s">
        <v>137</v>
      </c>
      <c r="B827">
        <v>2019</v>
      </c>
      <c r="C827" s="7">
        <f>'1_Du_lieu'!V177</f>
        <v>3.648057459593681</v>
      </c>
      <c r="D827" s="9">
        <f>'1_Du_lieu'!W177</f>
        <v>3.8774315606585268</v>
      </c>
      <c r="E827" s="9">
        <f>'1_Du_lieu'!L177</f>
        <v>3.226</v>
      </c>
      <c r="F827" s="9">
        <f>'1_Du_lieu'!M177</f>
        <v>15.01</v>
      </c>
      <c r="G827" s="9">
        <f>'1_Du_lieu'!N177</f>
        <v>19.399999999999999</v>
      </c>
      <c r="H827" s="9">
        <f>'1_Du_lieu'!X177</f>
        <v>2.6995385736963504</v>
      </c>
      <c r="I827" s="9">
        <f>'1_Du_lieu'!T177</f>
        <v>0.60343408854023806</v>
      </c>
      <c r="J827" s="9">
        <f>'1_Du_lieu'!Y177</f>
        <v>8.267063775017041</v>
      </c>
      <c r="K827" s="5">
        <f t="shared" si="143"/>
        <v>1</v>
      </c>
      <c r="L827" s="5">
        <f t="shared" si="144"/>
        <v>0</v>
      </c>
      <c r="M827" s="5">
        <f t="shared" si="145"/>
        <v>0</v>
      </c>
      <c r="N827" s="5">
        <f t="shared" si="146"/>
        <v>0</v>
      </c>
      <c r="O827" s="5">
        <f t="shared" si="147"/>
        <v>0</v>
      </c>
      <c r="P827" s="5">
        <f t="shared" si="148"/>
        <v>0</v>
      </c>
    </row>
    <row r="828" spans="1:16" x14ac:dyDescent="0.25">
      <c r="A828" t="s">
        <v>138</v>
      </c>
      <c r="B828">
        <v>2019</v>
      </c>
      <c r="C828" s="7">
        <f>'1_Du_lieu'!V178</f>
        <v>3.6323091026255421</v>
      </c>
      <c r="D828" s="9">
        <f>'1_Du_lieu'!W178</f>
        <v>3.8110970868381857</v>
      </c>
      <c r="E828" s="9">
        <f>'1_Du_lieu'!L178</f>
        <v>2.68</v>
      </c>
      <c r="F828" s="9">
        <f>'1_Du_lieu'!M178</f>
        <v>10.58</v>
      </c>
      <c r="G828" s="9">
        <f>'1_Du_lieu'!N178</f>
        <v>15.3</v>
      </c>
      <c r="H828" s="9">
        <f>'1_Du_lieu'!X178</f>
        <v>1.4322625798606323</v>
      </c>
      <c r="I828" s="9">
        <f>'1_Du_lieu'!T178</f>
        <v>0.69809902266136825</v>
      </c>
      <c r="J828" s="9">
        <f>'1_Du_lieu'!Y178</f>
        <v>5.9409604149342137</v>
      </c>
      <c r="K828" s="5">
        <f t="shared" si="143"/>
        <v>1</v>
      </c>
      <c r="L828" s="5">
        <f t="shared" si="144"/>
        <v>0</v>
      </c>
      <c r="M828" s="5">
        <f t="shared" si="145"/>
        <v>0</v>
      </c>
      <c r="N828" s="5">
        <f t="shared" si="146"/>
        <v>0</v>
      </c>
      <c r="O828" s="5">
        <f t="shared" si="147"/>
        <v>0</v>
      </c>
      <c r="P828" s="5">
        <f t="shared" si="148"/>
        <v>0</v>
      </c>
    </row>
    <row r="829" spans="1:16" x14ac:dyDescent="0.25">
      <c r="A829" t="s">
        <v>139</v>
      </c>
      <c r="B829">
        <v>2019</v>
      </c>
      <c r="C829" s="7">
        <f>'1_Du_lieu'!V179</f>
        <v>3.597312260588446</v>
      </c>
      <c r="D829" s="9">
        <f>'1_Du_lieu'!W179</f>
        <v>4.5097600011834329</v>
      </c>
      <c r="E829" s="9">
        <f>'1_Du_lieu'!L179</f>
        <v>3.5059999999999998</v>
      </c>
      <c r="F829" s="9">
        <f>'1_Du_lieu'!M179</f>
        <v>32.06</v>
      </c>
      <c r="G829" s="9">
        <f>'1_Du_lieu'!N179</f>
        <v>27.2</v>
      </c>
      <c r="H829" s="9">
        <f>'1_Du_lieu'!X179</f>
        <v>3.2693842424150779</v>
      </c>
      <c r="I829" s="9">
        <f>'1_Du_lieu'!T179</f>
        <v>2.4788906964133552</v>
      </c>
      <c r="J829" s="9">
        <f>'1_Du_lieu'!Y179</f>
        <v>8.7663630996346544</v>
      </c>
      <c r="K829" s="5">
        <f t="shared" si="143"/>
        <v>1</v>
      </c>
      <c r="L829" s="5">
        <f t="shared" si="144"/>
        <v>0</v>
      </c>
      <c r="M829" s="5">
        <f t="shared" si="145"/>
        <v>0</v>
      </c>
      <c r="N829" s="5">
        <f t="shared" si="146"/>
        <v>0</v>
      </c>
      <c r="O829" s="5">
        <f t="shared" si="147"/>
        <v>0</v>
      </c>
      <c r="P829" s="5">
        <f t="shared" si="148"/>
        <v>0</v>
      </c>
    </row>
    <row r="830" spans="1:16" x14ac:dyDescent="0.25">
      <c r="A830" t="s">
        <v>141</v>
      </c>
      <c r="B830">
        <v>2019</v>
      </c>
      <c r="C830" s="7">
        <f>'1_Du_lieu'!V181</f>
        <v>3.572345637857985</v>
      </c>
      <c r="D830" s="9">
        <f>'1_Du_lieu'!W181</f>
        <v>4.0000338827508592</v>
      </c>
      <c r="E830" s="9">
        <f>'1_Du_lieu'!L181</f>
        <v>2.5539999999999998</v>
      </c>
      <c r="F830" s="9">
        <f>'1_Du_lieu'!M181</f>
        <v>14</v>
      </c>
      <c r="G830" s="9">
        <f>'1_Du_lieu'!N181</f>
        <v>11.7</v>
      </c>
      <c r="H830" s="9">
        <f>'1_Du_lieu'!X181</f>
        <v>1.0239539783474703</v>
      </c>
      <c r="I830" s="9">
        <f>'1_Du_lieu'!T181</f>
        <v>0.79261733567344161</v>
      </c>
      <c r="J830" s="9">
        <f>'1_Du_lieu'!Y181</f>
        <v>7.2878342006998853</v>
      </c>
      <c r="K830" s="5">
        <f t="shared" si="143"/>
        <v>1</v>
      </c>
      <c r="L830" s="5">
        <f t="shared" si="144"/>
        <v>0</v>
      </c>
      <c r="M830" s="5">
        <f t="shared" si="145"/>
        <v>0</v>
      </c>
      <c r="N830" s="5">
        <f t="shared" si="146"/>
        <v>0</v>
      </c>
      <c r="O830" s="5">
        <f t="shared" si="147"/>
        <v>0</v>
      </c>
      <c r="P830" s="5">
        <f t="shared" si="148"/>
        <v>0</v>
      </c>
    </row>
    <row r="831" spans="1:16" x14ac:dyDescent="0.25">
      <c r="A831" t="s">
        <v>142</v>
      </c>
      <c r="B831">
        <v>2019</v>
      </c>
      <c r="C831" s="7">
        <f>'1_Du_lieu'!V182</f>
        <v>3.4307561839036995</v>
      </c>
      <c r="D831" s="9">
        <f>'1_Du_lieu'!W182</f>
        <v>4.0758410906575406</v>
      </c>
      <c r="E831" s="9">
        <f>'1_Du_lieu'!L182</f>
        <v>2.0179999999999998</v>
      </c>
      <c r="F831" s="9">
        <f>'1_Du_lieu'!M182</f>
        <v>17.25</v>
      </c>
      <c r="G831" s="9">
        <f>'1_Du_lieu'!N182</f>
        <v>11.8</v>
      </c>
      <c r="H831" s="9">
        <f>'1_Du_lieu'!X182</f>
        <v>1.6547827063630074</v>
      </c>
      <c r="I831" s="9">
        <f>'1_Du_lieu'!T182</f>
        <v>0.79262855444367386</v>
      </c>
      <c r="J831" s="9">
        <f>'1_Du_lieu'!Y182</f>
        <v>8.1019807318531925</v>
      </c>
      <c r="K831" s="5">
        <f t="shared" si="143"/>
        <v>1</v>
      </c>
      <c r="L831" s="5">
        <f t="shared" si="144"/>
        <v>0</v>
      </c>
      <c r="M831" s="5">
        <f t="shared" si="145"/>
        <v>0</v>
      </c>
      <c r="N831" s="5">
        <f t="shared" si="146"/>
        <v>0</v>
      </c>
      <c r="O831" s="5">
        <f t="shared" si="147"/>
        <v>0</v>
      </c>
      <c r="P831" s="5">
        <f t="shared" si="148"/>
        <v>0</v>
      </c>
    </row>
    <row r="832" spans="1:16" x14ac:dyDescent="0.25">
      <c r="A832" t="s">
        <v>143</v>
      </c>
      <c r="B832">
        <v>2019</v>
      </c>
      <c r="C832" s="7">
        <f>'1_Du_lieu'!V183</f>
        <v>3.3638415951183864</v>
      </c>
      <c r="D832" s="9">
        <f>'1_Du_lieu'!W183</f>
        <v>3.6788291182604347</v>
      </c>
      <c r="E832" s="9">
        <f>'1_Du_lieu'!L183</f>
        <v>1.69</v>
      </c>
      <c r="F832" s="9">
        <f>'1_Du_lieu'!M183</f>
        <v>13.81</v>
      </c>
      <c r="G832" s="9">
        <f>'1_Du_lieu'!N183</f>
        <v>20.7</v>
      </c>
      <c r="H832" s="9">
        <f>'1_Du_lieu'!X183</f>
        <v>2.9899096829905254</v>
      </c>
      <c r="I832" s="9">
        <f>'1_Du_lieu'!T183</f>
        <v>1.0174233753020476</v>
      </c>
      <c r="J832" s="9">
        <f>'1_Du_lieu'!Y183</f>
        <v>5.5629866646907447</v>
      </c>
      <c r="K832" s="5">
        <f t="shared" si="143"/>
        <v>1</v>
      </c>
      <c r="L832" s="5">
        <f t="shared" si="144"/>
        <v>0</v>
      </c>
      <c r="M832" s="5">
        <f t="shared" si="145"/>
        <v>0</v>
      </c>
      <c r="N832" s="5">
        <f t="shared" si="146"/>
        <v>0</v>
      </c>
      <c r="O832" s="5">
        <f t="shared" si="147"/>
        <v>0</v>
      </c>
      <c r="P832" s="5">
        <f t="shared" si="148"/>
        <v>0</v>
      </c>
    </row>
    <row r="833" spans="1:16" x14ac:dyDescent="0.25">
      <c r="A833" t="s">
        <v>144</v>
      </c>
      <c r="B833">
        <v>2019</v>
      </c>
      <c r="C833" s="7">
        <f>'1_Du_lieu'!V184</f>
        <v>3.655839600035736</v>
      </c>
      <c r="D833" s="9">
        <f>'1_Du_lieu'!W184</f>
        <v>4.257030144499196</v>
      </c>
      <c r="E833" s="9">
        <f>'1_Du_lieu'!L184</f>
        <v>3.41</v>
      </c>
      <c r="F833" s="9">
        <f>'1_Du_lieu'!M184</f>
        <v>17.78</v>
      </c>
      <c r="G833" s="9">
        <f>'1_Du_lieu'!N184</f>
        <v>12.7</v>
      </c>
      <c r="H833" s="9">
        <f>'1_Du_lieu'!X184</f>
        <v>2.5903525078824048</v>
      </c>
      <c r="I833" s="9">
        <f>'1_Du_lieu'!T184</f>
        <v>1.1948450968677991</v>
      </c>
      <c r="J833" s="9">
        <f>'1_Du_lieu'!Y184</f>
        <v>8.6939995675220825</v>
      </c>
      <c r="K833" s="5">
        <f t="shared" si="143"/>
        <v>1</v>
      </c>
      <c r="L833" s="5">
        <f t="shared" si="144"/>
        <v>0</v>
      </c>
      <c r="M833" s="5">
        <f t="shared" si="145"/>
        <v>0</v>
      </c>
      <c r="N833" s="5">
        <f t="shared" si="146"/>
        <v>0</v>
      </c>
      <c r="O833" s="5">
        <f t="shared" si="147"/>
        <v>0</v>
      </c>
      <c r="P833" s="5">
        <f t="shared" si="148"/>
        <v>0</v>
      </c>
    </row>
    <row r="834" spans="1:16" x14ac:dyDescent="0.25">
      <c r="A834" t="s">
        <v>145</v>
      </c>
      <c r="B834">
        <v>2019</v>
      </c>
      <c r="C834" s="7">
        <f>'1_Du_lieu'!V185</f>
        <v>3.4468078929142076</v>
      </c>
      <c r="D834" s="9">
        <f>'1_Du_lieu'!W185</f>
        <v>3.9684033388642534</v>
      </c>
      <c r="E834" s="9">
        <f>'1_Du_lieu'!L185</f>
        <v>2.4279999999999999</v>
      </c>
      <c r="F834" s="9">
        <f>'1_Du_lieu'!M185</f>
        <v>16.600000000000001</v>
      </c>
      <c r="G834" s="9">
        <f>'1_Du_lieu'!N185</f>
        <v>15.3</v>
      </c>
      <c r="H834" s="9">
        <f>'1_Du_lieu'!X185</f>
        <v>0.60091264943201705</v>
      </c>
      <c r="I834" s="9">
        <f>'1_Du_lieu'!T185</f>
        <v>0.58673968316057112</v>
      </c>
      <c r="J834" s="9">
        <f>'1_Du_lieu'!Y185</f>
        <v>6.5878254589802356</v>
      </c>
      <c r="K834" s="5">
        <f t="shared" si="143"/>
        <v>1</v>
      </c>
      <c r="L834" s="5">
        <f t="shared" si="144"/>
        <v>0</v>
      </c>
      <c r="M834" s="5">
        <f t="shared" si="145"/>
        <v>0</v>
      </c>
      <c r="N834" s="5">
        <f t="shared" si="146"/>
        <v>0</v>
      </c>
      <c r="O834" s="5">
        <f t="shared" si="147"/>
        <v>0</v>
      </c>
      <c r="P834" s="5">
        <f t="shared" si="148"/>
        <v>0</v>
      </c>
    </row>
    <row r="835" spans="1:16" x14ac:dyDescent="0.25">
      <c r="A835" t="s">
        <v>146</v>
      </c>
      <c r="B835">
        <v>2019</v>
      </c>
      <c r="C835" s="7">
        <f>'1_Du_lieu'!V186</f>
        <v>3.7727609380946383</v>
      </c>
      <c r="D835" s="9">
        <f>'1_Du_lieu'!W186</f>
        <v>4.6298627985784631</v>
      </c>
      <c r="E835" s="9">
        <f>'1_Du_lieu'!L186</f>
        <v>6.1210000000000004</v>
      </c>
      <c r="F835" s="9">
        <f>'1_Du_lieu'!M186</f>
        <v>25.56</v>
      </c>
      <c r="G835" s="9">
        <f>'1_Du_lieu'!N186</f>
        <v>24.9</v>
      </c>
      <c r="H835" s="9">
        <f>'1_Du_lieu'!X186</f>
        <v>3.0937468575223277</v>
      </c>
      <c r="I835" s="9">
        <f>'1_Du_lieu'!T186</f>
        <v>0.77935573259438873</v>
      </c>
      <c r="J835" s="9">
        <f>'1_Du_lieu'!Y186</f>
        <v>8.3891552535295322</v>
      </c>
      <c r="K835" s="5">
        <f t="shared" si="143"/>
        <v>1</v>
      </c>
      <c r="L835" s="5">
        <f t="shared" si="144"/>
        <v>0</v>
      </c>
      <c r="M835" s="5">
        <f t="shared" si="145"/>
        <v>0</v>
      </c>
      <c r="N835" s="5">
        <f t="shared" si="146"/>
        <v>0</v>
      </c>
      <c r="O835" s="5">
        <f t="shared" si="147"/>
        <v>0</v>
      </c>
      <c r="P835" s="5">
        <f t="shared" si="148"/>
        <v>0</v>
      </c>
    </row>
    <row r="836" spans="1:16" x14ac:dyDescent="0.25">
      <c r="A836" t="s">
        <v>147</v>
      </c>
      <c r="B836">
        <v>2019</v>
      </c>
      <c r="C836" s="7">
        <f>'1_Du_lieu'!V187</f>
        <v>3.487375077903208</v>
      </c>
      <c r="D836" s="9">
        <f>'1_Du_lieu'!W187</f>
        <v>3.6136169696133895</v>
      </c>
      <c r="E836" s="9">
        <f>'1_Du_lieu'!L187</f>
        <v>1.9550000000000001</v>
      </c>
      <c r="F836" s="9">
        <f>'1_Du_lieu'!M187</f>
        <v>19.84</v>
      </c>
      <c r="G836" s="9">
        <f>'1_Du_lieu'!N187</f>
        <v>17.5</v>
      </c>
      <c r="H836" s="9">
        <f>'1_Du_lieu'!X187</f>
        <v>2.5830387949817473</v>
      </c>
      <c r="I836" s="9">
        <f>'1_Du_lieu'!T187</f>
        <v>0.48602673147023084</v>
      </c>
      <c r="J836" s="9">
        <f>'1_Du_lieu'!Y187</f>
        <v>6.1681452240118508</v>
      </c>
      <c r="K836" s="5">
        <f t="shared" si="143"/>
        <v>1</v>
      </c>
      <c r="L836" s="5">
        <f t="shared" si="144"/>
        <v>0</v>
      </c>
      <c r="M836" s="5">
        <f t="shared" si="145"/>
        <v>0</v>
      </c>
      <c r="N836" s="5">
        <f t="shared" si="146"/>
        <v>0</v>
      </c>
      <c r="O836" s="5">
        <f t="shared" si="147"/>
        <v>0</v>
      </c>
      <c r="P836" s="5">
        <f t="shared" si="148"/>
        <v>0</v>
      </c>
    </row>
    <row r="837" spans="1:16" x14ac:dyDescent="0.25">
      <c r="A837" t="s">
        <v>149</v>
      </c>
      <c r="B837">
        <v>2019</v>
      </c>
      <c r="C837" s="7">
        <f>'1_Du_lieu'!V189</f>
        <v>4.0517849478033048</v>
      </c>
      <c r="D837" s="9">
        <f>'1_Du_lieu'!W189</f>
        <v>4.5788262106484892</v>
      </c>
      <c r="E837" s="9">
        <f>'1_Du_lieu'!L189</f>
        <v>19.776</v>
      </c>
      <c r="F837" s="9">
        <f>'1_Du_lieu'!M189</f>
        <v>87.16</v>
      </c>
      <c r="G837" s="9">
        <f>'1_Du_lieu'!N189</f>
        <v>44.6</v>
      </c>
      <c r="H837" s="9">
        <f>'1_Du_lieu'!X189</f>
        <v>3.4355746767835438</v>
      </c>
      <c r="I837" s="9">
        <f>'1_Du_lieu'!T189</f>
        <v>6.7478748575935512</v>
      </c>
      <c r="J837" s="9">
        <f>'1_Du_lieu'!Y189</f>
        <v>8.4870432144653538</v>
      </c>
      <c r="K837" s="5">
        <f t="shared" si="143"/>
        <v>1</v>
      </c>
      <c r="L837" s="5">
        <f t="shared" si="144"/>
        <v>0</v>
      </c>
      <c r="M837" s="5">
        <f t="shared" si="145"/>
        <v>0</v>
      </c>
      <c r="N837" s="5">
        <f t="shared" si="146"/>
        <v>0</v>
      </c>
      <c r="O837" s="5">
        <f t="shared" si="147"/>
        <v>0</v>
      </c>
      <c r="P837" s="5">
        <f t="shared" si="148"/>
        <v>0</v>
      </c>
    </row>
    <row r="838" spans="1:16" x14ac:dyDescent="0.25">
      <c r="A838" t="s">
        <v>150</v>
      </c>
      <c r="B838">
        <v>2019</v>
      </c>
      <c r="C838" s="7">
        <f>'1_Du_lieu'!V190</f>
        <v>3.572345637857985</v>
      </c>
      <c r="D838" s="9">
        <f>'1_Du_lieu'!W190</f>
        <v>3.730501128804756</v>
      </c>
      <c r="E838" s="9">
        <f>'1_Du_lieu'!L190</f>
        <v>3.1760000000000002</v>
      </c>
      <c r="F838" s="9">
        <f>'1_Du_lieu'!M190</f>
        <v>24.74</v>
      </c>
      <c r="G838" s="9">
        <f>'1_Du_lieu'!N190</f>
        <v>14.6</v>
      </c>
      <c r="H838" s="9">
        <f>'1_Du_lieu'!X190</f>
        <v>2.1800728531691727</v>
      </c>
      <c r="I838" s="9">
        <f>'1_Du_lieu'!T190</f>
        <v>0.48061518743992315</v>
      </c>
      <c r="J838" s="9">
        <f>'1_Du_lieu'!Y190</f>
        <v>4.4188406077965983</v>
      </c>
      <c r="K838" s="5">
        <f t="shared" si="143"/>
        <v>1</v>
      </c>
      <c r="L838" s="5">
        <f t="shared" si="144"/>
        <v>0</v>
      </c>
      <c r="M838" s="5">
        <f t="shared" si="145"/>
        <v>0</v>
      </c>
      <c r="N838" s="5">
        <f t="shared" si="146"/>
        <v>0</v>
      </c>
      <c r="O838" s="5">
        <f t="shared" si="147"/>
        <v>0</v>
      </c>
      <c r="P838" s="5">
        <f t="shared" si="148"/>
        <v>0</v>
      </c>
    </row>
    <row r="839" spans="1:16" x14ac:dyDescent="0.25">
      <c r="A839" t="s">
        <v>151</v>
      </c>
      <c r="B839">
        <v>2019</v>
      </c>
      <c r="C839" s="7">
        <f>'1_Du_lieu'!V191</f>
        <v>3.4626060097907989</v>
      </c>
      <c r="D839" s="9">
        <f>'1_Du_lieu'!W191</f>
        <v>3.8177123259569048</v>
      </c>
      <c r="E839" s="9">
        <f>'1_Du_lieu'!L191</f>
        <v>3.19</v>
      </c>
      <c r="F839" s="9">
        <f>'1_Du_lieu'!M191</f>
        <v>15.24</v>
      </c>
      <c r="G839" s="9">
        <f>'1_Du_lieu'!N191</f>
        <v>14.1</v>
      </c>
      <c r="H839" s="9">
        <f>'1_Du_lieu'!X191</f>
        <v>0.97782859061500571</v>
      </c>
      <c r="I839" s="9">
        <f>'1_Du_lieu'!T191</f>
        <v>0.4793863854266539</v>
      </c>
      <c r="J839" s="9">
        <f>'1_Du_lieu'!Y191</f>
        <v>5.4971682252932021</v>
      </c>
      <c r="K839" s="5">
        <f t="shared" si="143"/>
        <v>1</v>
      </c>
      <c r="L839" s="5">
        <f t="shared" si="144"/>
        <v>0</v>
      </c>
      <c r="M839" s="5">
        <f t="shared" si="145"/>
        <v>0</v>
      </c>
      <c r="N839" s="5">
        <f t="shared" si="146"/>
        <v>0</v>
      </c>
      <c r="O839" s="5">
        <f t="shared" si="147"/>
        <v>0</v>
      </c>
      <c r="P839" s="5">
        <f t="shared" si="148"/>
        <v>0</v>
      </c>
    </row>
    <row r="840" spans="1:16" x14ac:dyDescent="0.25">
      <c r="A840" t="s">
        <v>152</v>
      </c>
      <c r="B840">
        <v>2019</v>
      </c>
      <c r="C840" s="7">
        <f>'1_Du_lieu'!V192</f>
        <v>3.9454577815143836</v>
      </c>
      <c r="D840" s="9">
        <f>'1_Du_lieu'!W192</f>
        <v>4.7068238397145912</v>
      </c>
      <c r="E840" s="9">
        <f>'1_Du_lieu'!L192</f>
        <v>7.1929999999999996</v>
      </c>
      <c r="F840" s="9">
        <f>'1_Du_lieu'!M192</f>
        <v>44.06</v>
      </c>
      <c r="G840" s="9">
        <f>'1_Du_lieu'!N192</f>
        <v>20</v>
      </c>
      <c r="H840" s="9">
        <f>'1_Du_lieu'!X192</f>
        <v>2.7089661617799434</v>
      </c>
      <c r="I840" s="9">
        <f>'1_Du_lieu'!T192</f>
        <v>0.57809037479525971</v>
      </c>
      <c r="J840" s="9">
        <f>'1_Du_lieu'!Y192</f>
        <v>9.2135252947209469</v>
      </c>
      <c r="K840" s="5">
        <f t="shared" si="143"/>
        <v>1</v>
      </c>
      <c r="L840" s="5">
        <f t="shared" si="144"/>
        <v>0</v>
      </c>
      <c r="M840" s="5">
        <f t="shared" si="145"/>
        <v>0</v>
      </c>
      <c r="N840" s="5">
        <f t="shared" si="146"/>
        <v>0</v>
      </c>
      <c r="O840" s="5">
        <f t="shared" si="147"/>
        <v>0</v>
      </c>
      <c r="P840" s="5">
        <f t="shared" si="148"/>
        <v>0</v>
      </c>
    </row>
    <row r="841" spans="1:16" x14ac:dyDescent="0.25">
      <c r="A841" t="s">
        <v>153</v>
      </c>
      <c r="B841">
        <v>2019</v>
      </c>
      <c r="C841" s="7">
        <f>'1_Du_lieu'!V193</f>
        <v>3.5524868292083815</v>
      </c>
      <c r="D841" s="9">
        <f>'1_Du_lieu'!W193</f>
        <v>3.9415818076696905</v>
      </c>
      <c r="E841" s="9">
        <f>'1_Du_lieu'!L193</f>
        <v>2.129</v>
      </c>
      <c r="F841" s="9">
        <f>'1_Du_lieu'!M193</f>
        <v>19.059999999999999</v>
      </c>
      <c r="G841" s="9">
        <f>'1_Du_lieu'!N193</f>
        <v>13.5</v>
      </c>
      <c r="H841" s="9">
        <f>'1_Du_lieu'!X193</f>
        <v>0.41004139433239756</v>
      </c>
      <c r="I841" s="9">
        <f>'1_Du_lieu'!T193</f>
        <v>0.56292219164373281</v>
      </c>
      <c r="J841" s="9">
        <f>'1_Du_lieu'!Y193</f>
        <v>4.6681449851494801</v>
      </c>
      <c r="K841" s="5">
        <f t="shared" si="143"/>
        <v>1</v>
      </c>
      <c r="L841" s="5">
        <f t="shared" si="144"/>
        <v>0</v>
      </c>
      <c r="M841" s="5">
        <f t="shared" si="145"/>
        <v>0</v>
      </c>
      <c r="N841" s="5">
        <f t="shared" si="146"/>
        <v>0</v>
      </c>
      <c r="O841" s="5">
        <f t="shared" si="147"/>
        <v>0</v>
      </c>
      <c r="P841" s="5">
        <f t="shared" si="148"/>
        <v>0</v>
      </c>
    </row>
    <row r="842" spans="1:16" x14ac:dyDescent="0.25">
      <c r="A842" t="s">
        <v>85</v>
      </c>
      <c r="B842">
        <v>2020</v>
      </c>
      <c r="C842" s="7">
        <f>'1_Du_lieu'!V194</f>
        <v>3.6686767467964168</v>
      </c>
      <c r="D842" s="9">
        <f>'1_Du_lieu'!W194</f>
        <v>3.8416005411316001</v>
      </c>
      <c r="E842" s="9">
        <f>'1_Du_lieu'!L194</f>
        <v>2.5169999999999999</v>
      </c>
      <c r="F842" s="9">
        <f>'1_Du_lieu'!M194</f>
        <v>31.59</v>
      </c>
      <c r="G842" s="9">
        <f>'1_Du_lieu'!N194</f>
        <v>13.9</v>
      </c>
      <c r="H842" s="9">
        <f>'1_Du_lieu'!X194</f>
        <v>1.3825989091536561</v>
      </c>
      <c r="I842" s="9">
        <f>'1_Du_lieu'!T194</f>
        <v>0.47256497768443162</v>
      </c>
      <c r="J842" s="9">
        <f>'1_Du_lieu'!Y194</f>
        <v>4.9642422545265452</v>
      </c>
      <c r="K842" s="5">
        <f t="shared" si="143"/>
        <v>0</v>
      </c>
      <c r="L842" s="5">
        <f t="shared" si="144"/>
        <v>1</v>
      </c>
      <c r="M842" s="5">
        <f t="shared" si="145"/>
        <v>0</v>
      </c>
      <c r="N842" s="5">
        <f t="shared" si="146"/>
        <v>0</v>
      </c>
      <c r="O842" s="5">
        <f t="shared" si="147"/>
        <v>0</v>
      </c>
      <c r="P842" s="5">
        <f t="shared" si="148"/>
        <v>0</v>
      </c>
    </row>
    <row r="843" spans="1:16" x14ac:dyDescent="0.25">
      <c r="A843" t="s">
        <v>87</v>
      </c>
      <c r="B843">
        <v>2020</v>
      </c>
      <c r="C843" s="7">
        <f>'1_Du_lieu'!V195</f>
        <v>3.8836235309064482</v>
      </c>
      <c r="D843" s="9">
        <f>'1_Du_lieu'!W195</f>
        <v>5.5262494345940434</v>
      </c>
      <c r="E843" s="9">
        <f>'1_Du_lieu'!L195</f>
        <v>9.3719999999999999</v>
      </c>
      <c r="F843" s="9">
        <f>'1_Du_lieu'!M195</f>
        <v>57.56</v>
      </c>
      <c r="G843" s="9">
        <f>'1_Du_lieu'!N195</f>
        <v>30.1</v>
      </c>
      <c r="H843" s="9">
        <f>'1_Du_lieu'!X195</f>
        <v>1.8354030636708374</v>
      </c>
      <c r="I843" s="9">
        <f>'1_Du_lieu'!T195</f>
        <v>1.2843565373747752</v>
      </c>
      <c r="J843" s="9">
        <f>'1_Du_lieu'!Y195</f>
        <v>10.241262511674343</v>
      </c>
      <c r="K843" s="5">
        <f t="shared" si="143"/>
        <v>0</v>
      </c>
      <c r="L843" s="5">
        <f t="shared" si="144"/>
        <v>1</v>
      </c>
      <c r="M843" s="5">
        <f t="shared" si="145"/>
        <v>0</v>
      </c>
      <c r="N843" s="5">
        <f t="shared" si="146"/>
        <v>0</v>
      </c>
      <c r="O843" s="5">
        <f t="shared" si="147"/>
        <v>0</v>
      </c>
      <c r="P843" s="5">
        <f t="shared" si="148"/>
        <v>0</v>
      </c>
    </row>
    <row r="844" spans="1:16" x14ac:dyDescent="0.25">
      <c r="A844" t="s">
        <v>89</v>
      </c>
      <c r="B844">
        <v>2020</v>
      </c>
      <c r="C844" s="7">
        <f>'1_Du_lieu'!V196</f>
        <v>4.0055133485154846</v>
      </c>
      <c r="D844" s="9">
        <f>'1_Du_lieu'!W196</f>
        <v>5.01396308418893</v>
      </c>
      <c r="E844" s="9">
        <f>'1_Du_lieu'!L196</f>
        <v>13.499000000000001</v>
      </c>
      <c r="F844" s="9">
        <f>'1_Du_lieu'!M196</f>
        <v>84.41</v>
      </c>
      <c r="G844" s="9">
        <f>'1_Du_lieu'!N196</f>
        <v>20.100000000000001</v>
      </c>
      <c r="H844" s="9">
        <f>'1_Du_lieu'!X196</f>
        <v>3.1207945456849679</v>
      </c>
      <c r="I844" s="9">
        <f>'1_Du_lieu'!T196</f>
        <v>0.65876152832674573</v>
      </c>
      <c r="J844" s="9">
        <f>'1_Du_lieu'!Y196</f>
        <v>9.5862599444214673</v>
      </c>
      <c r="K844" s="5">
        <f t="shared" si="143"/>
        <v>0</v>
      </c>
      <c r="L844" s="5">
        <f t="shared" si="144"/>
        <v>1</v>
      </c>
      <c r="M844" s="5">
        <f t="shared" si="145"/>
        <v>0</v>
      </c>
      <c r="N844" s="5">
        <f t="shared" si="146"/>
        <v>0</v>
      </c>
      <c r="O844" s="5">
        <f t="shared" si="147"/>
        <v>0</v>
      </c>
      <c r="P844" s="5">
        <f t="shared" si="148"/>
        <v>0</v>
      </c>
    </row>
    <row r="845" spans="1:16" x14ac:dyDescent="0.25">
      <c r="A845" t="s">
        <v>90</v>
      </c>
      <c r="B845">
        <v>2020</v>
      </c>
      <c r="C845" s="7">
        <f>'1_Du_lieu'!V197</f>
        <v>3.3945083935113587</v>
      </c>
      <c r="D845" s="9">
        <f>'1_Du_lieu'!W197</f>
        <v>4.2150861799182291</v>
      </c>
      <c r="E845" s="9">
        <f>'1_Du_lieu'!L197</f>
        <v>5.7670000000000003</v>
      </c>
      <c r="F845" s="9">
        <f>'1_Du_lieu'!M197</f>
        <v>24.03</v>
      </c>
      <c r="G845" s="9">
        <f>'1_Du_lieu'!N197</f>
        <v>18.100000000000001</v>
      </c>
      <c r="H845" s="9">
        <f>'1_Du_lieu'!X197</f>
        <v>1.0237813084651139</v>
      </c>
      <c r="I845" s="9">
        <f>'1_Du_lieu'!T197</f>
        <v>1.087924043121353</v>
      </c>
      <c r="J845" s="9">
        <f>'1_Du_lieu'!Y197</f>
        <v>8.0796490078443259</v>
      </c>
      <c r="K845" s="5">
        <f t="shared" si="143"/>
        <v>0</v>
      </c>
      <c r="L845" s="5">
        <f t="shared" si="144"/>
        <v>1</v>
      </c>
      <c r="M845" s="5">
        <f t="shared" si="145"/>
        <v>0</v>
      </c>
      <c r="N845" s="5">
        <f t="shared" si="146"/>
        <v>0</v>
      </c>
      <c r="O845" s="5">
        <f t="shared" si="147"/>
        <v>0</v>
      </c>
      <c r="P845" s="5">
        <f t="shared" si="148"/>
        <v>0</v>
      </c>
    </row>
    <row r="846" spans="1:16" x14ac:dyDescent="0.25">
      <c r="A846" t="s">
        <v>91</v>
      </c>
      <c r="B846">
        <v>2020</v>
      </c>
      <c r="C846" s="7">
        <f>'1_Du_lieu'!V198</f>
        <v>3.6109179126442243</v>
      </c>
      <c r="D846" s="9">
        <f>'1_Du_lieu'!W198</f>
        <v>4.2370008626236242</v>
      </c>
      <c r="E846" s="9">
        <f>'1_Du_lieu'!L198</f>
        <v>4.2119999999999997</v>
      </c>
      <c r="F846" s="9">
        <f>'1_Du_lieu'!M198</f>
        <v>38.090000000000003</v>
      </c>
      <c r="G846" s="9">
        <f>'1_Du_lieu'!N198</f>
        <v>15.7</v>
      </c>
      <c r="H846" s="9">
        <f>'1_Du_lieu'!X198</f>
        <v>1.6399841007239431</v>
      </c>
      <c r="I846" s="9">
        <f>'1_Du_lieu'!T198</f>
        <v>0.32276284999596544</v>
      </c>
      <c r="J846" s="9">
        <f>'1_Du_lieu'!Y198</f>
        <v>8.0311252187759727</v>
      </c>
      <c r="K846" s="5">
        <f t="shared" si="143"/>
        <v>0</v>
      </c>
      <c r="L846" s="5">
        <f t="shared" si="144"/>
        <v>1</v>
      </c>
      <c r="M846" s="5">
        <f t="shared" si="145"/>
        <v>0</v>
      </c>
      <c r="N846" s="5">
        <f t="shared" si="146"/>
        <v>0</v>
      </c>
      <c r="O846" s="5">
        <f t="shared" si="147"/>
        <v>0</v>
      </c>
      <c r="P846" s="5">
        <f t="shared" si="148"/>
        <v>0</v>
      </c>
    </row>
    <row r="847" spans="1:16" x14ac:dyDescent="0.25">
      <c r="A847" t="s">
        <v>93</v>
      </c>
      <c r="B847">
        <v>2020</v>
      </c>
      <c r="C847" s="7">
        <f>'1_Du_lieu'!V199</f>
        <v>3.7471483622379123</v>
      </c>
      <c r="D847" s="9">
        <f>'1_Du_lieu'!W199</f>
        <v>4.0960098415411617</v>
      </c>
      <c r="E847" s="9">
        <f>'1_Du_lieu'!L199</f>
        <v>4.5309999999999997</v>
      </c>
      <c r="F847" s="9">
        <f>'1_Du_lieu'!M199</f>
        <v>40.32</v>
      </c>
      <c r="G847" s="9">
        <f>'1_Du_lieu'!N199</f>
        <v>21.8</v>
      </c>
      <c r="H847" s="9">
        <f>'1_Du_lieu'!X199</f>
        <v>2.8198086483769287</v>
      </c>
      <c r="I847" s="9">
        <f>'1_Du_lieu'!T199</f>
        <v>0.80650581356273943</v>
      </c>
      <c r="J847" s="9">
        <f>'1_Du_lieu'!Y199</f>
        <v>6.5935923292807583</v>
      </c>
      <c r="K847" s="5">
        <f t="shared" si="143"/>
        <v>0</v>
      </c>
      <c r="L847" s="5">
        <f t="shared" si="144"/>
        <v>1</v>
      </c>
      <c r="M847" s="5">
        <f t="shared" si="145"/>
        <v>0</v>
      </c>
      <c r="N847" s="5">
        <f t="shared" si="146"/>
        <v>0</v>
      </c>
      <c r="O847" s="5">
        <f t="shared" si="147"/>
        <v>0</v>
      </c>
      <c r="P847" s="5">
        <f t="shared" si="148"/>
        <v>0</v>
      </c>
    </row>
    <row r="848" spans="1:16" x14ac:dyDescent="0.25">
      <c r="A848" t="s">
        <v>95</v>
      </c>
      <c r="B848">
        <v>2020</v>
      </c>
      <c r="C848" s="7">
        <f>'1_Du_lieu'!V201</f>
        <v>3.7796338173824005</v>
      </c>
      <c r="D848" s="9">
        <f>'1_Du_lieu'!W201</f>
        <v>4.1835756959500436</v>
      </c>
      <c r="E848" s="9">
        <f>'1_Du_lieu'!L201</f>
        <v>3.556</v>
      </c>
      <c r="F848" s="9">
        <f>'1_Du_lieu'!M201</f>
        <v>18.14</v>
      </c>
      <c r="G848" s="9">
        <f>'1_Du_lieu'!N201</f>
        <v>19.8</v>
      </c>
      <c r="H848" s="9">
        <f>'1_Du_lieu'!X201</f>
        <v>2.5279850021170573</v>
      </c>
      <c r="I848" s="9">
        <f>'1_Du_lieu'!T201</f>
        <v>0.86880973066898359</v>
      </c>
      <c r="J848" s="9">
        <f>'1_Du_lieu'!Y201</f>
        <v>8.262584772471449</v>
      </c>
      <c r="K848" s="5">
        <f t="shared" si="143"/>
        <v>0</v>
      </c>
      <c r="L848" s="5">
        <f t="shared" si="144"/>
        <v>1</v>
      </c>
      <c r="M848" s="5">
        <f t="shared" si="145"/>
        <v>0</v>
      </c>
      <c r="N848" s="5">
        <f t="shared" si="146"/>
        <v>0</v>
      </c>
      <c r="O848" s="5">
        <f t="shared" si="147"/>
        <v>0</v>
      </c>
      <c r="P848" s="5">
        <f t="shared" si="148"/>
        <v>0</v>
      </c>
    </row>
    <row r="849" spans="1:16" x14ac:dyDescent="0.25">
      <c r="A849" t="s">
        <v>97</v>
      </c>
      <c r="B849">
        <v>2020</v>
      </c>
      <c r="C849" s="7">
        <f>'1_Du_lieu'!V202</f>
        <v>3.3286266888273199</v>
      </c>
      <c r="D849" s="9">
        <f>'1_Du_lieu'!W202</f>
        <v>3.7160081215021892</v>
      </c>
      <c r="E849" s="9">
        <f>'1_Du_lieu'!L202</f>
        <v>1.9019999999999999</v>
      </c>
      <c r="F849" s="9">
        <f>'1_Du_lieu'!M202</f>
        <v>22.59</v>
      </c>
      <c r="G849" s="9">
        <f>'1_Du_lieu'!N202</f>
        <v>16.3</v>
      </c>
      <c r="H849" s="9">
        <f>'1_Du_lieu'!X202</f>
        <v>1.2939261370366355</v>
      </c>
      <c r="I849" s="9">
        <f>'1_Du_lieu'!T202</f>
        <v>0.94786729857819907</v>
      </c>
      <c r="J849" s="9">
        <f>'1_Du_lieu'!Y202</f>
        <v>3.039749158970765</v>
      </c>
      <c r="K849" s="5">
        <f t="shared" si="143"/>
        <v>0</v>
      </c>
      <c r="L849" s="5">
        <f t="shared" si="144"/>
        <v>1</v>
      </c>
      <c r="M849" s="5">
        <f t="shared" si="145"/>
        <v>0</v>
      </c>
      <c r="N849" s="5">
        <f t="shared" si="146"/>
        <v>0</v>
      </c>
      <c r="O849" s="5">
        <f t="shared" si="147"/>
        <v>0</v>
      </c>
      <c r="P849" s="5">
        <f t="shared" si="148"/>
        <v>0</v>
      </c>
    </row>
    <row r="850" spans="1:16" x14ac:dyDescent="0.25">
      <c r="A850" t="s">
        <v>98</v>
      </c>
      <c r="B850">
        <v>2020</v>
      </c>
      <c r="C850" s="7">
        <f>'1_Du_lieu'!V203</f>
        <v>3.9721769282478934</v>
      </c>
      <c r="D850" s="9">
        <f>'1_Du_lieu'!W203</f>
        <v>4.9924713234685845</v>
      </c>
      <c r="E850" s="9">
        <f>'1_Du_lieu'!L203</f>
        <v>8.9979999999999993</v>
      </c>
      <c r="F850" s="9">
        <f>'1_Du_lieu'!M203</f>
        <v>31.47</v>
      </c>
      <c r="G850" s="9">
        <f>'1_Du_lieu'!N203</f>
        <v>27.8</v>
      </c>
      <c r="H850" s="9">
        <f>'1_Du_lieu'!X203</f>
        <v>2.6688349373973557</v>
      </c>
      <c r="I850" s="9">
        <f>'1_Du_lieu'!T203</f>
        <v>2.1140159255866395</v>
      </c>
      <c r="J850" s="9">
        <f>'1_Du_lieu'!Y203</f>
        <v>9.5441304433774565</v>
      </c>
      <c r="K850" s="5">
        <f t="shared" si="143"/>
        <v>0</v>
      </c>
      <c r="L850" s="5">
        <f t="shared" si="144"/>
        <v>1</v>
      </c>
      <c r="M850" s="5">
        <f t="shared" si="145"/>
        <v>0</v>
      </c>
      <c r="N850" s="5">
        <f t="shared" si="146"/>
        <v>0</v>
      </c>
      <c r="O850" s="5">
        <f t="shared" si="147"/>
        <v>0</v>
      </c>
      <c r="P850" s="5">
        <f t="shared" si="148"/>
        <v>0</v>
      </c>
    </row>
    <row r="851" spans="1:16" x14ac:dyDescent="0.25">
      <c r="A851" t="s">
        <v>100</v>
      </c>
      <c r="B851">
        <v>2020</v>
      </c>
      <c r="C851" s="7">
        <f>'1_Du_lieu'!V204</f>
        <v>3.7750571503549888</v>
      </c>
      <c r="D851" s="9">
        <f>'1_Du_lieu'!W204</f>
        <v>3.735285826928092</v>
      </c>
      <c r="E851" s="9">
        <f>'1_Du_lieu'!L204</f>
        <v>2.5739999999999998</v>
      </c>
      <c r="F851" s="9">
        <f>'1_Du_lieu'!M204</f>
        <v>9.8000000000000007</v>
      </c>
      <c r="G851" s="9">
        <f>'1_Du_lieu'!N204</f>
        <v>12.6</v>
      </c>
      <c r="H851" s="9">
        <f>'1_Du_lieu'!X204</f>
        <v>0.92153846733122535</v>
      </c>
      <c r="I851" s="9">
        <f>'1_Du_lieu'!T204</f>
        <v>0.46425255338904359</v>
      </c>
      <c r="J851" s="9">
        <f>'1_Du_lieu'!Y204</f>
        <v>7.1294577924999425</v>
      </c>
      <c r="K851" s="5">
        <f t="shared" si="143"/>
        <v>0</v>
      </c>
      <c r="L851" s="5">
        <f t="shared" si="144"/>
        <v>1</v>
      </c>
      <c r="M851" s="5">
        <f t="shared" si="145"/>
        <v>0</v>
      </c>
      <c r="N851" s="5">
        <f t="shared" si="146"/>
        <v>0</v>
      </c>
      <c r="O851" s="5">
        <f t="shared" si="147"/>
        <v>0</v>
      </c>
      <c r="P851" s="5">
        <f t="shared" si="148"/>
        <v>0</v>
      </c>
    </row>
    <row r="852" spans="1:16" x14ac:dyDescent="0.25">
      <c r="A852" t="s">
        <v>102</v>
      </c>
      <c r="B852">
        <v>2020</v>
      </c>
      <c r="C852" s="7">
        <f>'1_Du_lieu'!V206</f>
        <v>3.3499040872746049</v>
      </c>
      <c r="D852" s="9">
        <f>'1_Du_lieu'!W206</f>
        <v>3.9357395320454622</v>
      </c>
      <c r="E852" s="9">
        <f>'1_Du_lieu'!L206</f>
        <v>2.9929999999999999</v>
      </c>
      <c r="F852" s="9">
        <f>'1_Du_lieu'!M206</f>
        <v>22.71</v>
      </c>
      <c r="G852" s="9">
        <f>'1_Du_lieu'!N206</f>
        <v>13</v>
      </c>
      <c r="H852" s="9">
        <f>'1_Du_lieu'!X206</f>
        <v>-0.64931105481926565</v>
      </c>
      <c r="I852" s="9">
        <f>'1_Du_lieu'!T206</f>
        <v>0.67007287042465857</v>
      </c>
      <c r="J852" s="9">
        <f>'1_Du_lieu'!Y206</f>
        <v>4.8418220873270936</v>
      </c>
      <c r="K852" s="5">
        <f t="shared" si="143"/>
        <v>0</v>
      </c>
      <c r="L852" s="5">
        <f t="shared" si="144"/>
        <v>1</v>
      </c>
      <c r="M852" s="5">
        <f t="shared" si="145"/>
        <v>0</v>
      </c>
      <c r="N852" s="5">
        <f t="shared" si="146"/>
        <v>0</v>
      </c>
      <c r="O852" s="5">
        <f t="shared" si="147"/>
        <v>0</v>
      </c>
      <c r="P852" s="5">
        <f t="shared" si="148"/>
        <v>0</v>
      </c>
    </row>
    <row r="853" spans="1:16" x14ac:dyDescent="0.25">
      <c r="A853" t="s">
        <v>103</v>
      </c>
      <c r="B853">
        <v>2020</v>
      </c>
      <c r="C853" s="7">
        <f>'1_Du_lieu'!V207</f>
        <v>3.8877303128591016</v>
      </c>
      <c r="D853" s="9">
        <f>'1_Du_lieu'!W207</f>
        <v>4.282206299391671</v>
      </c>
      <c r="E853" s="9">
        <f>'1_Du_lieu'!L207</f>
        <v>7.3250000000000002</v>
      </c>
      <c r="F853" s="9">
        <f>'1_Du_lieu'!M207</f>
        <v>70.02</v>
      </c>
      <c r="G853" s="9">
        <f>'1_Du_lieu'!N207</f>
        <v>20.6</v>
      </c>
      <c r="H853" s="9">
        <f>'1_Du_lieu'!X207</f>
        <v>0.83164325781387038</v>
      </c>
      <c r="I853" s="9">
        <f>'1_Du_lieu'!T207</f>
        <v>1.3701942451841702</v>
      </c>
      <c r="J853" s="9">
        <f>'1_Du_lieu'!Y207</f>
        <v>6.3919171133926023</v>
      </c>
      <c r="K853" s="5">
        <f t="shared" si="143"/>
        <v>0</v>
      </c>
      <c r="L853" s="5">
        <f t="shared" si="144"/>
        <v>1</v>
      </c>
      <c r="M853" s="5">
        <f t="shared" si="145"/>
        <v>0</v>
      </c>
      <c r="N853" s="5">
        <f t="shared" si="146"/>
        <v>0</v>
      </c>
      <c r="O853" s="5">
        <f t="shared" si="147"/>
        <v>0</v>
      </c>
      <c r="P853" s="5">
        <f t="shared" si="148"/>
        <v>0</v>
      </c>
    </row>
    <row r="854" spans="1:16" x14ac:dyDescent="0.25">
      <c r="A854" t="s">
        <v>104</v>
      </c>
      <c r="B854">
        <v>2020</v>
      </c>
      <c r="C854" s="7">
        <f>'1_Du_lieu'!V208</f>
        <v>3.475067230228611</v>
      </c>
      <c r="D854" s="9">
        <f>'1_Du_lieu'!W208</f>
        <v>3.751854253275325</v>
      </c>
      <c r="E854" s="9">
        <f>'1_Du_lieu'!L208</f>
        <v>2.92</v>
      </c>
      <c r="F854" s="9">
        <f>'1_Du_lieu'!M208</f>
        <v>29.01</v>
      </c>
      <c r="G854" s="9">
        <f>'1_Du_lieu'!N208</f>
        <v>14.9</v>
      </c>
      <c r="H854" s="9">
        <f>'1_Du_lieu'!X208</f>
        <v>2.6839279710629196</v>
      </c>
      <c r="I854" s="9">
        <f>'1_Du_lieu'!T208</f>
        <v>1.2971851083149566</v>
      </c>
      <c r="J854" s="9">
        <f>'1_Du_lieu'!Y208</f>
        <v>2.631888840136646</v>
      </c>
      <c r="K854" s="5">
        <f t="shared" si="143"/>
        <v>0</v>
      </c>
      <c r="L854" s="5">
        <f t="shared" si="144"/>
        <v>1</v>
      </c>
      <c r="M854" s="5">
        <f t="shared" si="145"/>
        <v>0</v>
      </c>
      <c r="N854" s="5">
        <f t="shared" si="146"/>
        <v>0</v>
      </c>
      <c r="O854" s="5">
        <f t="shared" si="147"/>
        <v>0</v>
      </c>
      <c r="P854" s="5">
        <f t="shared" si="148"/>
        <v>0</v>
      </c>
    </row>
    <row r="855" spans="1:16" x14ac:dyDescent="0.25">
      <c r="A855" t="s">
        <v>107</v>
      </c>
      <c r="B855">
        <v>2020</v>
      </c>
      <c r="C855" s="7">
        <f>'1_Du_lieu'!V210</f>
        <v>3.7376696182833684</v>
      </c>
      <c r="D855" s="9">
        <f>'1_Du_lieu'!W210</f>
        <v>4.2413267525707461</v>
      </c>
      <c r="E855" s="9">
        <f>'1_Du_lieu'!L210</f>
        <v>5.218</v>
      </c>
      <c r="F855" s="9">
        <f>'1_Du_lieu'!M210</f>
        <v>27.81</v>
      </c>
      <c r="G855" s="9">
        <f>'1_Du_lieu'!N210</f>
        <v>22.1</v>
      </c>
      <c r="H855" s="9">
        <f>'1_Du_lieu'!X210</f>
        <v>2.7133351974907103</v>
      </c>
      <c r="I855" s="9">
        <f>'1_Du_lieu'!T210</f>
        <v>1.1603620329542819</v>
      </c>
      <c r="J855" s="9">
        <f>'1_Du_lieu'!Y210</f>
        <v>8.4877643807254248</v>
      </c>
      <c r="K855" s="5">
        <f t="shared" si="143"/>
        <v>0</v>
      </c>
      <c r="L855" s="5">
        <f t="shared" si="144"/>
        <v>1</v>
      </c>
      <c r="M855" s="5">
        <f t="shared" si="145"/>
        <v>0</v>
      </c>
      <c r="N855" s="5">
        <f t="shared" si="146"/>
        <v>0</v>
      </c>
      <c r="O855" s="5">
        <f t="shared" si="147"/>
        <v>0</v>
      </c>
      <c r="P855" s="5">
        <f t="shared" si="148"/>
        <v>0</v>
      </c>
    </row>
    <row r="856" spans="1:16" x14ac:dyDescent="0.25">
      <c r="A856" t="s">
        <v>108</v>
      </c>
      <c r="B856">
        <v>2020</v>
      </c>
      <c r="C856" s="7">
        <f>'1_Du_lieu'!V211</f>
        <v>4.4508528256037341</v>
      </c>
      <c r="D856" s="9">
        <f>'1_Du_lieu'!W211</f>
        <v>4.8154311114712876</v>
      </c>
      <c r="E856" s="9">
        <f>'1_Du_lieu'!L211</f>
        <v>20.114999999999998</v>
      </c>
      <c r="F856" s="9">
        <f>'1_Du_lieu'!M211</f>
        <v>49.25</v>
      </c>
      <c r="G856" s="9">
        <f>'1_Du_lieu'!N211</f>
        <v>48.5</v>
      </c>
      <c r="H856" s="9">
        <f>'1_Du_lieu'!X211</f>
        <v>2.7241116343221288</v>
      </c>
      <c r="I856" s="9">
        <f>'1_Du_lieu'!T211</f>
        <v>1.9280907051476386</v>
      </c>
      <c r="J856" s="9">
        <f>'1_Du_lieu'!Y211</f>
        <v>8.3882683153410103</v>
      </c>
      <c r="K856" s="5">
        <f t="shared" si="143"/>
        <v>0</v>
      </c>
      <c r="L856" s="5">
        <f t="shared" si="144"/>
        <v>1</v>
      </c>
      <c r="M856" s="5">
        <f t="shared" si="145"/>
        <v>0</v>
      </c>
      <c r="N856" s="5">
        <f t="shared" si="146"/>
        <v>0</v>
      </c>
      <c r="O856" s="5">
        <f t="shared" si="147"/>
        <v>0</v>
      </c>
      <c r="P856" s="5">
        <f t="shared" si="148"/>
        <v>0</v>
      </c>
    </row>
    <row r="857" spans="1:16" x14ac:dyDescent="0.25">
      <c r="A857" t="s">
        <v>109</v>
      </c>
      <c r="B857">
        <v>2020</v>
      </c>
      <c r="C857" s="7">
        <f>'1_Du_lieu'!V212</f>
        <v>3.5890591188317256</v>
      </c>
      <c r="D857" s="9">
        <f>'1_Du_lieu'!W212</f>
        <v>4.1526134703460764</v>
      </c>
      <c r="E857" s="9">
        <f>'1_Du_lieu'!L212</f>
        <v>3.73</v>
      </c>
      <c r="F857" s="9">
        <f>'1_Du_lieu'!M212</f>
        <v>22.2</v>
      </c>
      <c r="G857" s="9">
        <f>'1_Du_lieu'!N212</f>
        <v>25.7</v>
      </c>
      <c r="H857" s="9">
        <f>'1_Du_lieu'!X212</f>
        <v>3.2259676934436348</v>
      </c>
      <c r="I857" s="9">
        <f>'1_Du_lieu'!T212</f>
        <v>0.38562393953416629</v>
      </c>
      <c r="J857" s="9">
        <f>'1_Du_lieu'!Y212</f>
        <v>9.1110502828289714</v>
      </c>
      <c r="K857" s="5">
        <f t="shared" si="143"/>
        <v>0</v>
      </c>
      <c r="L857" s="5">
        <f t="shared" si="144"/>
        <v>1</v>
      </c>
      <c r="M857" s="5">
        <f t="shared" si="145"/>
        <v>0</v>
      </c>
      <c r="N857" s="5">
        <f t="shared" si="146"/>
        <v>0</v>
      </c>
      <c r="O857" s="5">
        <f t="shared" si="147"/>
        <v>0</v>
      </c>
      <c r="P857" s="5">
        <f t="shared" si="148"/>
        <v>0</v>
      </c>
    </row>
    <row r="858" spans="1:16" x14ac:dyDescent="0.25">
      <c r="A858" t="s">
        <v>110</v>
      </c>
      <c r="B858">
        <v>2020</v>
      </c>
      <c r="C858" s="7">
        <f>'1_Du_lieu'!V213</f>
        <v>3.5085558999826545</v>
      </c>
      <c r="D858" s="9">
        <f>'1_Du_lieu'!W213</f>
        <v>4.0552571735140539</v>
      </c>
      <c r="E858" s="9">
        <f>'1_Du_lieu'!L213</f>
        <v>2.8610000000000002</v>
      </c>
      <c r="F858" s="9">
        <f>'1_Du_lieu'!M213</f>
        <v>23.85</v>
      </c>
      <c r="G858" s="9">
        <f>'1_Du_lieu'!N213</f>
        <v>18.600000000000001</v>
      </c>
      <c r="H858" s="9">
        <f>'1_Du_lieu'!X213</f>
        <v>2.3219390891201424</v>
      </c>
      <c r="I858" s="9">
        <f>'1_Du_lieu'!T213</f>
        <v>1.0450534138411518</v>
      </c>
      <c r="J858" s="9">
        <f>'1_Du_lieu'!Y213</f>
        <v>6.7341159225710161</v>
      </c>
      <c r="K858" s="5">
        <f t="shared" si="143"/>
        <v>0</v>
      </c>
      <c r="L858" s="5">
        <f t="shared" si="144"/>
        <v>1</v>
      </c>
      <c r="M858" s="5">
        <f t="shared" si="145"/>
        <v>0</v>
      </c>
      <c r="N858" s="5">
        <f t="shared" si="146"/>
        <v>0</v>
      </c>
      <c r="O858" s="5">
        <f t="shared" si="147"/>
        <v>0</v>
      </c>
      <c r="P858" s="5">
        <f t="shared" si="148"/>
        <v>0</v>
      </c>
    </row>
    <row r="859" spans="1:16" x14ac:dyDescent="0.25">
      <c r="A859" t="s">
        <v>111</v>
      </c>
      <c r="B859">
        <v>2020</v>
      </c>
      <c r="C859" s="7">
        <f>'1_Du_lieu'!V214</f>
        <v>3.7471483622379123</v>
      </c>
      <c r="D859" s="9">
        <f>'1_Du_lieu'!W214</f>
        <v>4.3694478524670215</v>
      </c>
      <c r="E859" s="9">
        <f>'1_Du_lieu'!L214</f>
        <v>6.0430000000000001</v>
      </c>
      <c r="F859" s="9">
        <f>'1_Du_lieu'!M214</f>
        <v>16.52</v>
      </c>
      <c r="G859" s="9">
        <f>'1_Du_lieu'!N214</f>
        <v>26.4</v>
      </c>
      <c r="H859" s="9">
        <f>'1_Du_lieu'!X214</f>
        <v>3.1917424454682166</v>
      </c>
      <c r="I859" s="9">
        <f>'1_Du_lieu'!T214</f>
        <v>1.8123079347569144</v>
      </c>
      <c r="J859" s="9">
        <f>'1_Du_lieu'!Y214</f>
        <v>8.3331501537239419</v>
      </c>
      <c r="K859" s="5">
        <f t="shared" si="143"/>
        <v>0</v>
      </c>
      <c r="L859" s="5">
        <f t="shared" si="144"/>
        <v>1</v>
      </c>
      <c r="M859" s="5">
        <f t="shared" si="145"/>
        <v>0</v>
      </c>
      <c r="N859" s="5">
        <f t="shared" si="146"/>
        <v>0</v>
      </c>
      <c r="O859" s="5">
        <f t="shared" si="147"/>
        <v>0</v>
      </c>
      <c r="P859" s="5">
        <f t="shared" si="148"/>
        <v>0</v>
      </c>
    </row>
    <row r="860" spans="1:16" x14ac:dyDescent="0.25">
      <c r="A860" t="s">
        <v>112</v>
      </c>
      <c r="B860">
        <v>2020</v>
      </c>
      <c r="C860" s="7">
        <f>'1_Du_lieu'!V215</f>
        <v>3.8607297110405954</v>
      </c>
      <c r="D860" s="9">
        <f>'1_Du_lieu'!W215</f>
        <v>4.2253728246285052</v>
      </c>
      <c r="E860" s="9">
        <f>'1_Du_lieu'!L215</f>
        <v>5.0540000000000003</v>
      </c>
      <c r="F860" s="9">
        <f>'1_Du_lieu'!M215</f>
        <v>31.47</v>
      </c>
      <c r="G860" s="9">
        <f>'1_Du_lieu'!N215</f>
        <v>24.8</v>
      </c>
      <c r="H860" s="9">
        <f>'1_Du_lieu'!X215</f>
        <v>2.9572562746849327</v>
      </c>
      <c r="I860" s="9">
        <f>'1_Du_lieu'!T215</f>
        <v>0.52170283806343909</v>
      </c>
      <c r="J860" s="9">
        <f>'1_Du_lieu'!Y215</f>
        <v>8.4325499173471332</v>
      </c>
      <c r="K860" s="5">
        <f t="shared" si="143"/>
        <v>0</v>
      </c>
      <c r="L860" s="5">
        <f t="shared" si="144"/>
        <v>1</v>
      </c>
      <c r="M860" s="5">
        <f t="shared" si="145"/>
        <v>0</v>
      </c>
      <c r="N860" s="5">
        <f t="shared" si="146"/>
        <v>0</v>
      </c>
      <c r="O860" s="5">
        <f t="shared" si="147"/>
        <v>0</v>
      </c>
      <c r="P860" s="5">
        <f t="shared" si="148"/>
        <v>0</v>
      </c>
    </row>
    <row r="861" spans="1:16" x14ac:dyDescent="0.25">
      <c r="A861" t="s">
        <v>113</v>
      </c>
      <c r="B861">
        <v>2020</v>
      </c>
      <c r="C861" s="7">
        <f>'1_Du_lieu'!V216</f>
        <v>4.1042948930752692</v>
      </c>
      <c r="D861" s="9">
        <f>'1_Du_lieu'!W216</f>
        <v>4.8970932526971271</v>
      </c>
      <c r="E861" s="9">
        <f>'1_Du_lieu'!L216</f>
        <v>9.8339999999999996</v>
      </c>
      <c r="F861" s="9">
        <f>'1_Du_lieu'!M216</f>
        <v>45.41</v>
      </c>
      <c r="G861" s="9">
        <f>'1_Du_lieu'!N216</f>
        <v>34.700000000000003</v>
      </c>
      <c r="H861" s="9">
        <f>'1_Du_lieu'!X216</f>
        <v>3.8170726342718257</v>
      </c>
      <c r="I861" s="9">
        <f>'1_Du_lieu'!T216</f>
        <v>1.7531044558071585</v>
      </c>
      <c r="J861" s="9">
        <f>'1_Du_lieu'!Y216</f>
        <v>9.199623147134977</v>
      </c>
      <c r="K861" s="5">
        <f t="shared" si="143"/>
        <v>0</v>
      </c>
      <c r="L861" s="5">
        <f t="shared" si="144"/>
        <v>1</v>
      </c>
      <c r="M861" s="5">
        <f t="shared" si="145"/>
        <v>0</v>
      </c>
      <c r="N861" s="5">
        <f t="shared" si="146"/>
        <v>0</v>
      </c>
      <c r="O861" s="5">
        <f t="shared" si="147"/>
        <v>0</v>
      </c>
      <c r="P861" s="5">
        <f t="shared" si="148"/>
        <v>0</v>
      </c>
    </row>
    <row r="862" spans="1:16" x14ac:dyDescent="0.25">
      <c r="A862" t="s">
        <v>115</v>
      </c>
      <c r="B862">
        <v>2020</v>
      </c>
      <c r="C862" s="7">
        <f>'1_Du_lieu'!V218</f>
        <v>3.7704594411063592</v>
      </c>
      <c r="D862" s="9">
        <f>'1_Du_lieu'!W218</f>
        <v>4.1635596312435741</v>
      </c>
      <c r="E862" s="9">
        <f>'1_Du_lieu'!L218</f>
        <v>9.0410000000000004</v>
      </c>
      <c r="F862" s="9">
        <f>'1_Du_lieu'!M218</f>
        <v>42.4</v>
      </c>
      <c r="G862" s="9">
        <f>'1_Du_lieu'!N218</f>
        <v>23.9</v>
      </c>
      <c r="H862" s="9">
        <f>'1_Du_lieu'!X218</f>
        <v>2.7153971117261362</v>
      </c>
      <c r="I862" s="9">
        <f>'1_Du_lieu'!T218</f>
        <v>3.3053853595614315</v>
      </c>
      <c r="J862" s="9">
        <f>'1_Du_lieu'!Y218</f>
        <v>8.1649654866904893</v>
      </c>
      <c r="K862" s="5">
        <f t="shared" si="143"/>
        <v>0</v>
      </c>
      <c r="L862" s="5">
        <f t="shared" si="144"/>
        <v>1</v>
      </c>
      <c r="M862" s="5">
        <f t="shared" si="145"/>
        <v>0</v>
      </c>
      <c r="N862" s="5">
        <f t="shared" si="146"/>
        <v>0</v>
      </c>
      <c r="O862" s="5">
        <f t="shared" si="147"/>
        <v>0</v>
      </c>
      <c r="P862" s="5">
        <f t="shared" si="148"/>
        <v>0</v>
      </c>
    </row>
    <row r="863" spans="1:16" x14ac:dyDescent="0.25">
      <c r="A863" t="s">
        <v>116</v>
      </c>
      <c r="B863">
        <v>2020</v>
      </c>
      <c r="C863" s="7">
        <f>'1_Du_lieu'!V219</f>
        <v>3.6375861597263857</v>
      </c>
      <c r="D863" s="9">
        <f>'1_Du_lieu'!W219</f>
        <v>4.0181832012565364</v>
      </c>
      <c r="E863" s="9">
        <f>'1_Du_lieu'!L219</f>
        <v>4.4980000000000002</v>
      </c>
      <c r="F863" s="9">
        <f>'1_Du_lieu'!M219</f>
        <v>28.45</v>
      </c>
      <c r="G863" s="9">
        <f>'1_Du_lieu'!N219</f>
        <v>14.8</v>
      </c>
      <c r="H863" s="9">
        <f>'1_Du_lieu'!X219</f>
        <v>0.64897932070702102</v>
      </c>
      <c r="I863" s="9">
        <f>'1_Du_lieu'!T219</f>
        <v>0.98328416912487704</v>
      </c>
      <c r="J863" s="9">
        <f>'1_Du_lieu'!Y219</f>
        <v>7.9309253724833884</v>
      </c>
      <c r="K863" s="5">
        <f t="shared" si="143"/>
        <v>0</v>
      </c>
      <c r="L863" s="5">
        <f t="shared" si="144"/>
        <v>1</v>
      </c>
      <c r="M863" s="5">
        <f t="shared" si="145"/>
        <v>0</v>
      </c>
      <c r="N863" s="5">
        <f t="shared" si="146"/>
        <v>0</v>
      </c>
      <c r="O863" s="5">
        <f t="shared" si="147"/>
        <v>0</v>
      </c>
      <c r="P863" s="5">
        <f t="shared" si="148"/>
        <v>0</v>
      </c>
    </row>
    <row r="864" spans="1:16" x14ac:dyDescent="0.25">
      <c r="A864" t="s">
        <v>117</v>
      </c>
      <c r="B864">
        <v>2020</v>
      </c>
      <c r="C864" s="7">
        <f>'1_Du_lieu'!V220</f>
        <v>3.4372078191851885</v>
      </c>
      <c r="D864" s="9">
        <f>'1_Du_lieu'!W220</f>
        <v>3.7612001156935624</v>
      </c>
      <c r="E864" s="9">
        <f>'1_Du_lieu'!L220</f>
        <v>3.3119999999999998</v>
      </c>
      <c r="F864" s="9">
        <f>'1_Du_lieu'!M220</f>
        <v>32.74</v>
      </c>
      <c r="G864" s="9">
        <f>'1_Du_lieu'!N220</f>
        <v>16</v>
      </c>
      <c r="H864" s="9">
        <f>'1_Du_lieu'!X220</f>
        <v>2.4049714277383649</v>
      </c>
      <c r="I864" s="9">
        <f>'1_Du_lieu'!T220</f>
        <v>0.89992800575953924</v>
      </c>
      <c r="J864" s="9">
        <f>'1_Du_lieu'!Y220</f>
        <v>5.1357984370502621</v>
      </c>
      <c r="K864" s="5">
        <f t="shared" ref="K864:K927" si="149">IF(B864=2019,1,0)</f>
        <v>0</v>
      </c>
      <c r="L864" s="5">
        <f t="shared" ref="L864:L927" si="150">IF(B864=2020,1,0)</f>
        <v>1</v>
      </c>
      <c r="M864" s="5">
        <f t="shared" ref="M864:M927" si="151">IF(B864=2021,1,0)</f>
        <v>0</v>
      </c>
      <c r="N864" s="5">
        <f t="shared" ref="N864:N927" si="152">IF(B864=2022,1,0)</f>
        <v>0</v>
      </c>
      <c r="O864" s="5">
        <f t="shared" ref="O864:O927" si="153">IF(B864=2023,1,0)</f>
        <v>0</v>
      </c>
      <c r="P864" s="5">
        <f t="shared" ref="P864:P927" si="154">IF(B864=2024,1,0)</f>
        <v>0</v>
      </c>
    </row>
    <row r="865" spans="1:16" x14ac:dyDescent="0.25">
      <c r="A865" t="s">
        <v>119</v>
      </c>
      <c r="B865">
        <v>2020</v>
      </c>
      <c r="C865" s="7">
        <f>'1_Du_lieu'!V222</f>
        <v>3.7612001156935624</v>
      </c>
      <c r="D865" s="9">
        <f>'1_Du_lieu'!W222</f>
        <v>4.3359826961724748</v>
      </c>
      <c r="E865" s="9">
        <f>'1_Du_lieu'!L222</f>
        <v>6.1130000000000004</v>
      </c>
      <c r="F865" s="9">
        <f>'1_Du_lieu'!M222</f>
        <v>18.239999999999998</v>
      </c>
      <c r="G865" s="9">
        <f>'1_Du_lieu'!N222</f>
        <v>15.9</v>
      </c>
      <c r="H865" s="9">
        <f>'1_Du_lieu'!X222</f>
        <v>1.2452909119757585</v>
      </c>
      <c r="I865" s="9">
        <f>'1_Du_lieu'!T222</f>
        <v>0.46682616560658224</v>
      </c>
      <c r="J865" s="9">
        <f>'1_Du_lieu'!Y222</f>
        <v>8.5092416616286179</v>
      </c>
      <c r="K865" s="5">
        <f t="shared" si="149"/>
        <v>0</v>
      </c>
      <c r="L865" s="5">
        <f t="shared" si="150"/>
        <v>1</v>
      </c>
      <c r="M865" s="5">
        <f t="shared" si="151"/>
        <v>0</v>
      </c>
      <c r="N865" s="5">
        <f t="shared" si="152"/>
        <v>0</v>
      </c>
      <c r="O865" s="5">
        <f t="shared" si="153"/>
        <v>0</v>
      </c>
      <c r="P865" s="5">
        <f t="shared" si="154"/>
        <v>0</v>
      </c>
    </row>
    <row r="866" spans="1:16" x14ac:dyDescent="0.25">
      <c r="A866" t="s">
        <v>120</v>
      </c>
      <c r="B866">
        <v>2020</v>
      </c>
      <c r="C866" s="7">
        <f>'1_Du_lieu'!V223</f>
        <v>3.5862928653388351</v>
      </c>
      <c r="D866" s="9">
        <f>'1_Du_lieu'!W223</f>
        <v>4.2766661190160553</v>
      </c>
      <c r="E866" s="9">
        <f>'1_Du_lieu'!L223</f>
        <v>3.8340000000000001</v>
      </c>
      <c r="F866" s="9">
        <f>'1_Du_lieu'!M223</f>
        <v>26.42</v>
      </c>
      <c r="G866" s="9">
        <f>'1_Du_lieu'!N223</f>
        <v>21</v>
      </c>
      <c r="H866" s="9">
        <f>'1_Du_lieu'!X223</f>
        <v>1.8359413008432575</v>
      </c>
      <c r="I866" s="9">
        <f>'1_Du_lieu'!T223</f>
        <v>1.741693461950697</v>
      </c>
      <c r="J866" s="9">
        <f>'1_Du_lieu'!Y223</f>
        <v>6.6545390434116349</v>
      </c>
      <c r="K866" s="5">
        <f t="shared" si="149"/>
        <v>0</v>
      </c>
      <c r="L866" s="5">
        <f t="shared" si="150"/>
        <v>1</v>
      </c>
      <c r="M866" s="5">
        <f t="shared" si="151"/>
        <v>0</v>
      </c>
      <c r="N866" s="5">
        <f t="shared" si="152"/>
        <v>0</v>
      </c>
      <c r="O866" s="5">
        <f t="shared" si="153"/>
        <v>0</v>
      </c>
      <c r="P866" s="5">
        <f t="shared" si="154"/>
        <v>0</v>
      </c>
    </row>
    <row r="867" spans="1:16" x14ac:dyDescent="0.25">
      <c r="A867" t="s">
        <v>121</v>
      </c>
      <c r="B867">
        <v>2020</v>
      </c>
      <c r="C867" s="7">
        <f>'1_Du_lieu'!V224</f>
        <v>3.7160081215021892</v>
      </c>
      <c r="D867" s="9">
        <f>'1_Du_lieu'!W224</f>
        <v>4.1415461637063951</v>
      </c>
      <c r="E867" s="9">
        <f>'1_Du_lieu'!L224</f>
        <v>5.3209999999999997</v>
      </c>
      <c r="F867" s="9">
        <f>'1_Du_lieu'!M224</f>
        <v>39.26</v>
      </c>
      <c r="G867" s="9">
        <f>'1_Du_lieu'!N224</f>
        <v>18.5</v>
      </c>
      <c r="H867" s="9">
        <f>'1_Du_lieu'!X224</f>
        <v>2.5379004113395909</v>
      </c>
      <c r="I867" s="9">
        <f>'1_Du_lieu'!T224</f>
        <v>0.45808520384791573</v>
      </c>
      <c r="J867" s="9">
        <f>'1_Du_lieu'!Y224</f>
        <v>5.9804035997485574</v>
      </c>
      <c r="K867" s="5">
        <f t="shared" si="149"/>
        <v>0</v>
      </c>
      <c r="L867" s="5">
        <f t="shared" si="150"/>
        <v>1</v>
      </c>
      <c r="M867" s="5">
        <f t="shared" si="151"/>
        <v>0</v>
      </c>
      <c r="N867" s="5">
        <f t="shared" si="152"/>
        <v>0</v>
      </c>
      <c r="O867" s="5">
        <f t="shared" si="153"/>
        <v>0</v>
      </c>
      <c r="P867" s="5">
        <f t="shared" si="154"/>
        <v>0</v>
      </c>
    </row>
    <row r="868" spans="1:16" x14ac:dyDescent="0.25">
      <c r="A868" t="s">
        <v>122</v>
      </c>
      <c r="B868">
        <v>2020</v>
      </c>
      <c r="C868" s="7">
        <f>'1_Du_lieu'!V225</f>
        <v>3.3775875160230218</v>
      </c>
      <c r="D868" s="9">
        <f>'1_Du_lieu'!W225</f>
        <v>3.7887247890836524</v>
      </c>
      <c r="E868" s="9">
        <f>'1_Du_lieu'!L225</f>
        <v>2.5550000000000002</v>
      </c>
      <c r="F868" s="9">
        <f>'1_Du_lieu'!M225</f>
        <v>23.04</v>
      </c>
      <c r="G868" s="9">
        <f>'1_Du_lieu'!N225</f>
        <v>21</v>
      </c>
      <c r="H868" s="9">
        <f>'1_Du_lieu'!X225</f>
        <v>2.1034164457094953</v>
      </c>
      <c r="I868" s="9">
        <f>'1_Du_lieu'!T225</f>
        <v>0.63395460885000632</v>
      </c>
      <c r="J868" s="9">
        <f>'1_Du_lieu'!Y225</f>
        <v>5.7137328055093688</v>
      </c>
      <c r="K868" s="5">
        <f t="shared" si="149"/>
        <v>0</v>
      </c>
      <c r="L868" s="5">
        <f t="shared" si="150"/>
        <v>1</v>
      </c>
      <c r="M868" s="5">
        <f t="shared" si="151"/>
        <v>0</v>
      </c>
      <c r="N868" s="5">
        <f t="shared" si="152"/>
        <v>0</v>
      </c>
      <c r="O868" s="5">
        <f t="shared" si="153"/>
        <v>0</v>
      </c>
      <c r="P868" s="5">
        <f t="shared" si="154"/>
        <v>0</v>
      </c>
    </row>
    <row r="869" spans="1:16" x14ac:dyDescent="0.25">
      <c r="A869" t="s">
        <v>123</v>
      </c>
      <c r="B869">
        <v>2020</v>
      </c>
      <c r="C869" s="7">
        <f>'1_Du_lieu'!V226</f>
        <v>3.7062280924485496</v>
      </c>
      <c r="D869" s="9">
        <f>'1_Du_lieu'!W226</f>
        <v>3.7541989202345789</v>
      </c>
      <c r="E869" s="9">
        <f>'1_Du_lieu'!L226</f>
        <v>3.36</v>
      </c>
      <c r="F869" s="9">
        <f>'1_Du_lieu'!M226</f>
        <v>20.23</v>
      </c>
      <c r="G869" s="9">
        <f>'1_Du_lieu'!N226</f>
        <v>20.100000000000001</v>
      </c>
      <c r="H869" s="9">
        <f>'1_Du_lieu'!X226</f>
        <v>1.9318494249643563</v>
      </c>
      <c r="I869" s="9">
        <f>'1_Du_lieu'!T226</f>
        <v>1.0110655507498738</v>
      </c>
      <c r="J869" s="9">
        <f>'1_Du_lieu'!Y226</f>
        <v>7.60668570429781</v>
      </c>
      <c r="K869" s="5">
        <f t="shared" si="149"/>
        <v>0</v>
      </c>
      <c r="L869" s="5">
        <f t="shared" si="150"/>
        <v>1</v>
      </c>
      <c r="M869" s="5">
        <f t="shared" si="151"/>
        <v>0</v>
      </c>
      <c r="N869" s="5">
        <f t="shared" si="152"/>
        <v>0</v>
      </c>
      <c r="O869" s="5">
        <f t="shared" si="153"/>
        <v>0</v>
      </c>
      <c r="P869" s="5">
        <f t="shared" si="154"/>
        <v>0</v>
      </c>
    </row>
    <row r="870" spans="1:16" x14ac:dyDescent="0.25">
      <c r="A870" t="s">
        <v>124</v>
      </c>
      <c r="B870">
        <v>2020</v>
      </c>
      <c r="C870" s="7">
        <f>'1_Du_lieu'!V227</f>
        <v>3.8351419610921882</v>
      </c>
      <c r="D870" s="9">
        <f>'1_Du_lieu'!W227</f>
        <v>3.763522997109702</v>
      </c>
      <c r="E870" s="9">
        <f>'1_Du_lieu'!L227</f>
        <v>3.4580000000000002</v>
      </c>
      <c r="F870" s="9">
        <f>'1_Du_lieu'!M227</f>
        <v>15.5</v>
      </c>
      <c r="G870" s="9">
        <f>'1_Du_lieu'!N227</f>
        <v>20.8</v>
      </c>
      <c r="H870" s="9">
        <f>'1_Du_lieu'!X227</f>
        <v>3.5320636705213357</v>
      </c>
      <c r="I870" s="9">
        <f>'1_Du_lieu'!T227</f>
        <v>3.3876144062760014</v>
      </c>
      <c r="J870" s="9">
        <f>'1_Du_lieu'!Y227</f>
        <v>6.4864656205270013</v>
      </c>
      <c r="K870" s="5">
        <f t="shared" si="149"/>
        <v>0</v>
      </c>
      <c r="L870" s="5">
        <f t="shared" si="150"/>
        <v>1</v>
      </c>
      <c r="M870" s="5">
        <f t="shared" si="151"/>
        <v>0</v>
      </c>
      <c r="N870" s="5">
        <f t="shared" si="152"/>
        <v>0</v>
      </c>
      <c r="O870" s="5">
        <f t="shared" si="153"/>
        <v>0</v>
      </c>
      <c r="P870" s="5">
        <f t="shared" si="154"/>
        <v>0</v>
      </c>
    </row>
    <row r="871" spans="1:16" x14ac:dyDescent="0.25">
      <c r="A871" t="s">
        <v>125</v>
      </c>
      <c r="B871">
        <v>2020</v>
      </c>
      <c r="C871" s="7">
        <f>'1_Du_lieu'!V228</f>
        <v>3.7658404952500648</v>
      </c>
      <c r="D871" s="9">
        <f>'1_Du_lieu'!W228</f>
        <v>4.2121275978784842</v>
      </c>
      <c r="E871" s="9">
        <f>'1_Du_lieu'!L228</f>
        <v>4.6379999999999999</v>
      </c>
      <c r="F871" s="9">
        <f>'1_Du_lieu'!M228</f>
        <v>21.39</v>
      </c>
      <c r="G871" s="9">
        <f>'1_Du_lieu'!N228</f>
        <v>30.2</v>
      </c>
      <c r="H871" s="9">
        <f>'1_Du_lieu'!X228</f>
        <v>3.2384949632101967</v>
      </c>
      <c r="I871" s="9">
        <f>'1_Du_lieu'!T228</f>
        <v>3.5214810343092866</v>
      </c>
      <c r="J871" s="9">
        <f>'1_Du_lieu'!Y228</f>
        <v>7.2911792562134208</v>
      </c>
      <c r="K871" s="5">
        <f t="shared" si="149"/>
        <v>0</v>
      </c>
      <c r="L871" s="5">
        <f t="shared" si="150"/>
        <v>1</v>
      </c>
      <c r="M871" s="5">
        <f t="shared" si="151"/>
        <v>0</v>
      </c>
      <c r="N871" s="5">
        <f t="shared" si="152"/>
        <v>0</v>
      </c>
      <c r="O871" s="5">
        <f t="shared" si="153"/>
        <v>0</v>
      </c>
      <c r="P871" s="5">
        <f t="shared" si="154"/>
        <v>0</v>
      </c>
    </row>
    <row r="872" spans="1:16" x14ac:dyDescent="0.25">
      <c r="A872" t="s">
        <v>126</v>
      </c>
      <c r="B872">
        <v>2020</v>
      </c>
      <c r="C872" s="7">
        <f>'1_Du_lieu'!V229</f>
        <v>3.5263605246161616</v>
      </c>
      <c r="D872" s="9">
        <f>'1_Du_lieu'!W229</f>
        <v>4.0792309244120526</v>
      </c>
      <c r="E872" s="9">
        <f>'1_Du_lieu'!L229</f>
        <v>4.55</v>
      </c>
      <c r="F872" s="9">
        <f>'1_Du_lieu'!M229</f>
        <v>35.31</v>
      </c>
      <c r="G872" s="9">
        <f>'1_Du_lieu'!N229</f>
        <v>16.2</v>
      </c>
      <c r="H872" s="9">
        <f>'1_Du_lieu'!X229</f>
        <v>2.2531343333209515</v>
      </c>
      <c r="I872" s="9">
        <f>'1_Du_lieu'!T229</f>
        <v>1.3477088948787062</v>
      </c>
      <c r="J872" s="9">
        <f>'1_Du_lieu'!Y229</f>
        <v>7.8694399381461775</v>
      </c>
      <c r="K872" s="5">
        <f t="shared" si="149"/>
        <v>0</v>
      </c>
      <c r="L872" s="5">
        <f t="shared" si="150"/>
        <v>1</v>
      </c>
      <c r="M872" s="5">
        <f t="shared" si="151"/>
        <v>0</v>
      </c>
      <c r="N872" s="5">
        <f t="shared" si="152"/>
        <v>0</v>
      </c>
      <c r="O872" s="5">
        <f t="shared" si="153"/>
        <v>0</v>
      </c>
      <c r="P872" s="5">
        <f t="shared" si="154"/>
        <v>0</v>
      </c>
    </row>
    <row r="873" spans="1:16" x14ac:dyDescent="0.25">
      <c r="A873" t="s">
        <v>127</v>
      </c>
      <c r="B873">
        <v>2020</v>
      </c>
      <c r="C873" s="7">
        <f>'1_Du_lieu'!V230</f>
        <v>3.673765816303888</v>
      </c>
      <c r="D873" s="9">
        <f>'1_Du_lieu'!W230</f>
        <v>3.9259259105971376</v>
      </c>
      <c r="E873" s="9">
        <f>'1_Du_lieu'!L230</f>
        <v>3.5779999999999998</v>
      </c>
      <c r="F873" s="9">
        <f>'1_Du_lieu'!M230</f>
        <v>19.02</v>
      </c>
      <c r="G873" s="9">
        <f>'1_Du_lieu'!N230</f>
        <v>25.2</v>
      </c>
      <c r="H873" s="9">
        <f>'1_Du_lieu'!X230</f>
        <v>3.0163959043890363</v>
      </c>
      <c r="I873" s="9">
        <f>'1_Du_lieu'!T230</f>
        <v>1.4170996693434104</v>
      </c>
      <c r="J873" s="9">
        <f>'1_Du_lieu'!Y230</f>
        <v>7.1620098253213991</v>
      </c>
      <c r="K873" s="5">
        <f t="shared" si="149"/>
        <v>0</v>
      </c>
      <c r="L873" s="5">
        <f t="shared" si="150"/>
        <v>1</v>
      </c>
      <c r="M873" s="5">
        <f t="shared" si="151"/>
        <v>0</v>
      </c>
      <c r="N873" s="5">
        <f t="shared" si="152"/>
        <v>0</v>
      </c>
      <c r="O873" s="5">
        <f t="shared" si="153"/>
        <v>0</v>
      </c>
      <c r="P873" s="5">
        <f t="shared" si="154"/>
        <v>0</v>
      </c>
    </row>
    <row r="874" spans="1:16" x14ac:dyDescent="0.25">
      <c r="A874" t="s">
        <v>128</v>
      </c>
      <c r="B874">
        <v>2020</v>
      </c>
      <c r="C874" s="7">
        <f>'1_Du_lieu'!V231</f>
        <v>3.5695326964813701</v>
      </c>
      <c r="D874" s="9">
        <f>'1_Du_lieu'!W231</f>
        <v>3.9219733362813143</v>
      </c>
      <c r="E874" s="9">
        <f>'1_Du_lieu'!L231</f>
        <v>3.4209999999999998</v>
      </c>
      <c r="F874" s="9">
        <f>'1_Du_lieu'!M231</f>
        <v>32.700000000000003</v>
      </c>
      <c r="G874" s="9">
        <f>'1_Du_lieu'!N231</f>
        <v>17.5</v>
      </c>
      <c r="H874" s="9">
        <f>'1_Du_lieu'!X231</f>
        <v>2.6356774965350644</v>
      </c>
      <c r="I874" s="9">
        <f>'1_Du_lieu'!T231</f>
        <v>0.57188608029280563</v>
      </c>
      <c r="J874" s="9">
        <f>'1_Du_lieu'!Y231</f>
        <v>7.752979562422432</v>
      </c>
      <c r="K874" s="5">
        <f t="shared" si="149"/>
        <v>0</v>
      </c>
      <c r="L874" s="5">
        <f t="shared" si="150"/>
        <v>1</v>
      </c>
      <c r="M874" s="5">
        <f t="shared" si="151"/>
        <v>0</v>
      </c>
      <c r="N874" s="5">
        <f t="shared" si="152"/>
        <v>0</v>
      </c>
      <c r="O874" s="5">
        <f t="shared" si="153"/>
        <v>0</v>
      </c>
      <c r="P874" s="5">
        <f t="shared" si="154"/>
        <v>0</v>
      </c>
    </row>
    <row r="875" spans="1:16" x14ac:dyDescent="0.25">
      <c r="A875" t="s">
        <v>129</v>
      </c>
      <c r="B875">
        <v>2020</v>
      </c>
      <c r="C875" s="7">
        <f>'1_Du_lieu'!V232</f>
        <v>3.4781584227982836</v>
      </c>
      <c r="D875" s="9">
        <f>'1_Du_lieu'!W232</f>
        <v>3.8351419610921882</v>
      </c>
      <c r="E875" s="9">
        <f>'1_Du_lieu'!L232</f>
        <v>4.952</v>
      </c>
      <c r="F875" s="9">
        <f>'1_Du_lieu'!M232</f>
        <v>22.96</v>
      </c>
      <c r="G875" s="9">
        <f>'1_Du_lieu'!N232</f>
        <v>21.9</v>
      </c>
      <c r="H875" s="9">
        <f>'1_Du_lieu'!X232</f>
        <v>3.2330323529100875</v>
      </c>
      <c r="I875" s="9">
        <f>'1_Du_lieu'!T232</f>
        <v>0.99778270509977818</v>
      </c>
      <c r="J875" s="9">
        <f>'1_Du_lieu'!Y232</f>
        <v>7.0716582502520735</v>
      </c>
      <c r="K875" s="5">
        <f t="shared" si="149"/>
        <v>0</v>
      </c>
      <c r="L875" s="5">
        <f t="shared" si="150"/>
        <v>1</v>
      </c>
      <c r="M875" s="5">
        <f t="shared" si="151"/>
        <v>0</v>
      </c>
      <c r="N875" s="5">
        <f t="shared" si="152"/>
        <v>0</v>
      </c>
      <c r="O875" s="5">
        <f t="shared" si="153"/>
        <v>0</v>
      </c>
      <c r="P875" s="5">
        <f t="shared" si="154"/>
        <v>0</v>
      </c>
    </row>
    <row r="876" spans="1:16" x14ac:dyDescent="0.25">
      <c r="A876" t="s">
        <v>130</v>
      </c>
      <c r="B876">
        <v>2020</v>
      </c>
      <c r="C876" s="7">
        <f>'1_Du_lieu'!V233</f>
        <v>3.6838669122903918</v>
      </c>
      <c r="D876" s="9">
        <f>'1_Du_lieu'!W233</f>
        <v>4.180522258463153</v>
      </c>
      <c r="E876" s="9">
        <f>'1_Du_lieu'!L233</f>
        <v>5.1319999999999997</v>
      </c>
      <c r="F876" s="9">
        <f>'1_Du_lieu'!M233</f>
        <v>26.33</v>
      </c>
      <c r="G876" s="9">
        <f>'1_Du_lieu'!N233</f>
        <v>21.5</v>
      </c>
      <c r="H876" s="9">
        <f>'1_Du_lieu'!X233</f>
        <v>2.1939412307003638</v>
      </c>
      <c r="I876" s="9">
        <f>'1_Du_lieu'!T233</f>
        <v>0.26578073089700999</v>
      </c>
      <c r="J876" s="9">
        <f>'1_Du_lieu'!Y233</f>
        <v>8.2999820087551353</v>
      </c>
      <c r="K876" s="5">
        <f t="shared" si="149"/>
        <v>0</v>
      </c>
      <c r="L876" s="5">
        <f t="shared" si="150"/>
        <v>1</v>
      </c>
      <c r="M876" s="5">
        <f t="shared" si="151"/>
        <v>0</v>
      </c>
      <c r="N876" s="5">
        <f t="shared" si="152"/>
        <v>0</v>
      </c>
      <c r="O876" s="5">
        <f t="shared" si="153"/>
        <v>0</v>
      </c>
      <c r="P876" s="5">
        <f t="shared" si="154"/>
        <v>0</v>
      </c>
    </row>
    <row r="877" spans="1:16" x14ac:dyDescent="0.25">
      <c r="A877" t="s">
        <v>131</v>
      </c>
      <c r="B877">
        <v>2020</v>
      </c>
      <c r="C877" s="7">
        <f>'1_Du_lieu'!V234</f>
        <v>3.5553480614894135</v>
      </c>
      <c r="D877" s="9">
        <f>'1_Du_lieu'!W234</f>
        <v>4.2413267525707461</v>
      </c>
      <c r="E877" s="9">
        <f>'1_Du_lieu'!L234</f>
        <v>4.2949999999999999</v>
      </c>
      <c r="F877" s="9">
        <f>'1_Du_lieu'!M234</f>
        <v>21.1</v>
      </c>
      <c r="G877" s="9">
        <f>'1_Du_lieu'!N234</f>
        <v>22</v>
      </c>
      <c r="H877" s="9">
        <f>'1_Du_lieu'!X234</f>
        <v>2.1421719389565141</v>
      </c>
      <c r="I877" s="9">
        <f>'1_Du_lieu'!T234</f>
        <v>0.81076698556834748</v>
      </c>
      <c r="J877" s="9">
        <f>'1_Du_lieu'!Y234</f>
        <v>7.3729347908623808</v>
      </c>
      <c r="K877" s="5">
        <f t="shared" si="149"/>
        <v>0</v>
      </c>
      <c r="L877" s="5">
        <f t="shared" si="150"/>
        <v>1</v>
      </c>
      <c r="M877" s="5">
        <f t="shared" si="151"/>
        <v>0</v>
      </c>
      <c r="N877" s="5">
        <f t="shared" si="152"/>
        <v>0</v>
      </c>
      <c r="O877" s="5">
        <f t="shared" si="153"/>
        <v>0</v>
      </c>
      <c r="P877" s="5">
        <f t="shared" si="154"/>
        <v>0</v>
      </c>
    </row>
    <row r="878" spans="1:16" x14ac:dyDescent="0.25">
      <c r="A878" t="s">
        <v>132</v>
      </c>
      <c r="B878">
        <v>2020</v>
      </c>
      <c r="C878" s="7">
        <f>'1_Du_lieu'!V235</f>
        <v>3.8979240810486444</v>
      </c>
      <c r="D878" s="9">
        <f>'1_Du_lieu'!W235</f>
        <v>5.0472886117442908</v>
      </c>
      <c r="E878" s="9">
        <f>'1_Du_lieu'!L235</f>
        <v>6.9009999999999998</v>
      </c>
      <c r="F878" s="9">
        <f>'1_Du_lieu'!M235</f>
        <v>64.44</v>
      </c>
      <c r="G878" s="9">
        <f>'1_Du_lieu'!N235</f>
        <v>38.700000000000003</v>
      </c>
      <c r="H878" s="9">
        <f>'1_Du_lieu'!X235</f>
        <v>3.4470021567975442</v>
      </c>
      <c r="I878" s="9">
        <f>'1_Du_lieu'!T235</f>
        <v>2.5418660287081343</v>
      </c>
      <c r="J878" s="9">
        <f>'1_Du_lieu'!Y235</f>
        <v>8.5321803212244856</v>
      </c>
      <c r="K878" s="5">
        <f t="shared" si="149"/>
        <v>0</v>
      </c>
      <c r="L878" s="5">
        <f t="shared" si="150"/>
        <v>1</v>
      </c>
      <c r="M878" s="5">
        <f t="shared" si="151"/>
        <v>0</v>
      </c>
      <c r="N878" s="5">
        <f t="shared" si="152"/>
        <v>0</v>
      </c>
      <c r="O878" s="5">
        <f t="shared" si="153"/>
        <v>0</v>
      </c>
      <c r="P878" s="5">
        <f t="shared" si="154"/>
        <v>0</v>
      </c>
    </row>
    <row r="879" spans="1:16" x14ac:dyDescent="0.25">
      <c r="A879" t="s">
        <v>133</v>
      </c>
      <c r="B879">
        <v>2020</v>
      </c>
      <c r="C879" s="7">
        <f>'1_Du_lieu'!V236</f>
        <v>3.4404180948154366</v>
      </c>
      <c r="D879" s="9">
        <f>'1_Du_lieu'!W236</f>
        <v>3.9665111907122159</v>
      </c>
      <c r="E879" s="9">
        <f>'1_Du_lieu'!L236</f>
        <v>4.49</v>
      </c>
      <c r="F879" s="9">
        <f>'1_Du_lieu'!M236</f>
        <v>32.46</v>
      </c>
      <c r="G879" s="9">
        <f>'1_Du_lieu'!N236</f>
        <v>25.6</v>
      </c>
      <c r="H879" s="9">
        <f>'1_Du_lieu'!X236</f>
        <v>2.7821133472927264</v>
      </c>
      <c r="I879" s="9">
        <f>'1_Du_lieu'!T236</f>
        <v>3.4515218073423282</v>
      </c>
      <c r="J879" s="9">
        <f>'1_Du_lieu'!Y236</f>
        <v>5.2246708263797386</v>
      </c>
      <c r="K879" s="5">
        <f t="shared" si="149"/>
        <v>0</v>
      </c>
      <c r="L879" s="5">
        <f t="shared" si="150"/>
        <v>1</v>
      </c>
      <c r="M879" s="5">
        <f t="shared" si="151"/>
        <v>0</v>
      </c>
      <c r="N879" s="5">
        <f t="shared" si="152"/>
        <v>0</v>
      </c>
      <c r="O879" s="5">
        <f t="shared" si="153"/>
        <v>0</v>
      </c>
      <c r="P879" s="5">
        <f t="shared" si="154"/>
        <v>0</v>
      </c>
    </row>
    <row r="880" spans="1:16" x14ac:dyDescent="0.25">
      <c r="A880" t="s">
        <v>136</v>
      </c>
      <c r="B880">
        <v>2020</v>
      </c>
      <c r="C880" s="7">
        <f>'1_Du_lieu'!V239</f>
        <v>4.4897593344767639</v>
      </c>
      <c r="D880" s="9">
        <f>'1_Du_lieu'!W239</f>
        <v>5.0012581322836587</v>
      </c>
      <c r="E880" s="9">
        <f>'1_Du_lieu'!L239</f>
        <v>27.602</v>
      </c>
      <c r="F880" s="9">
        <f>'1_Du_lieu'!M239</f>
        <v>79.010000000000005</v>
      </c>
      <c r="G880" s="9">
        <f>'1_Du_lieu'!N239</f>
        <v>38.700000000000003</v>
      </c>
      <c r="H880" s="9">
        <f>'1_Du_lieu'!X239</f>
        <v>2.441180665348742</v>
      </c>
      <c r="I880" s="9">
        <f>'1_Du_lieu'!T239</f>
        <v>3.0560492435736268</v>
      </c>
      <c r="J880" s="9">
        <f>'1_Du_lieu'!Y239</f>
        <v>8.561573647096969</v>
      </c>
      <c r="K880" s="5">
        <f t="shared" si="149"/>
        <v>0</v>
      </c>
      <c r="L880" s="5">
        <f t="shared" si="150"/>
        <v>1</v>
      </c>
      <c r="M880" s="5">
        <f t="shared" si="151"/>
        <v>0</v>
      </c>
      <c r="N880" s="5">
        <f t="shared" si="152"/>
        <v>0</v>
      </c>
      <c r="O880" s="5">
        <f t="shared" si="153"/>
        <v>0</v>
      </c>
      <c r="P880" s="5">
        <f t="shared" si="154"/>
        <v>0</v>
      </c>
    </row>
    <row r="881" spans="1:16" x14ac:dyDescent="0.25">
      <c r="A881" t="s">
        <v>137</v>
      </c>
      <c r="B881">
        <v>2020</v>
      </c>
      <c r="C881" s="7">
        <f>'1_Du_lieu'!V240</f>
        <v>3.7541989202345789</v>
      </c>
      <c r="D881" s="9">
        <f>'1_Du_lieu'!W240</f>
        <v>3.9376907521767239</v>
      </c>
      <c r="E881" s="9">
        <f>'1_Du_lieu'!L240</f>
        <v>3.589</v>
      </c>
      <c r="F881" s="9">
        <f>'1_Du_lieu'!M240</f>
        <v>23.28</v>
      </c>
      <c r="G881" s="9">
        <f>'1_Du_lieu'!N240</f>
        <v>21.4</v>
      </c>
      <c r="H881" s="9">
        <f>'1_Du_lieu'!X240</f>
        <v>2.5701808339622447</v>
      </c>
      <c r="I881" s="9">
        <f>'1_Du_lieu'!T240</f>
        <v>0.70943272667739909</v>
      </c>
      <c r="J881" s="9">
        <f>'1_Du_lieu'!Y240</f>
        <v>8.2849332114557459</v>
      </c>
      <c r="K881" s="5">
        <f t="shared" si="149"/>
        <v>0</v>
      </c>
      <c r="L881" s="5">
        <f t="shared" si="150"/>
        <v>1</v>
      </c>
      <c r="M881" s="5">
        <f t="shared" si="151"/>
        <v>0</v>
      </c>
      <c r="N881" s="5">
        <f t="shared" si="152"/>
        <v>0</v>
      </c>
      <c r="O881" s="5">
        <f t="shared" si="153"/>
        <v>0</v>
      </c>
      <c r="P881" s="5">
        <f t="shared" si="154"/>
        <v>0</v>
      </c>
    </row>
    <row r="882" spans="1:16" x14ac:dyDescent="0.25">
      <c r="A882" t="s">
        <v>138</v>
      </c>
      <c r="B882">
        <v>2020</v>
      </c>
      <c r="C882" s="7">
        <f>'1_Du_lieu'!V241</f>
        <v>3.6506582412937387</v>
      </c>
      <c r="D882" s="9">
        <f>'1_Du_lieu'!W241</f>
        <v>3.8691155044168695</v>
      </c>
      <c r="E882" s="9">
        <f>'1_Du_lieu'!L241</f>
        <v>2.7549999999999999</v>
      </c>
      <c r="F882" s="9">
        <f>'1_Du_lieu'!M241</f>
        <v>11.74</v>
      </c>
      <c r="G882" s="9">
        <f>'1_Du_lieu'!N241</f>
        <v>17.899999999999999</v>
      </c>
      <c r="H882" s="9">
        <f>'1_Du_lieu'!X241</f>
        <v>1.4077709866343509</v>
      </c>
      <c r="I882" s="9">
        <f>'1_Du_lieu'!T241</f>
        <v>0.74858303924713931</v>
      </c>
      <c r="J882" s="9">
        <f>'1_Du_lieu'!Y241</f>
        <v>6.081990573807353</v>
      </c>
      <c r="K882" s="5">
        <f t="shared" si="149"/>
        <v>0</v>
      </c>
      <c r="L882" s="5">
        <f t="shared" si="150"/>
        <v>1</v>
      </c>
      <c r="M882" s="5">
        <f t="shared" si="151"/>
        <v>0</v>
      </c>
      <c r="N882" s="5">
        <f t="shared" si="152"/>
        <v>0</v>
      </c>
      <c r="O882" s="5">
        <f t="shared" si="153"/>
        <v>0</v>
      </c>
      <c r="P882" s="5">
        <f t="shared" si="154"/>
        <v>0</v>
      </c>
    </row>
    <row r="883" spans="1:16" x14ac:dyDescent="0.25">
      <c r="A883" t="s">
        <v>139</v>
      </c>
      <c r="B883">
        <v>2020</v>
      </c>
      <c r="C883" s="7">
        <f>'1_Du_lieu'!V242</f>
        <v>3.6838669122903918</v>
      </c>
      <c r="D883" s="9">
        <f>'1_Du_lieu'!W242</f>
        <v>4.5464811896394117</v>
      </c>
      <c r="E883" s="9">
        <f>'1_Du_lieu'!L242</f>
        <v>3.6619999999999999</v>
      </c>
      <c r="F883" s="9">
        <f>'1_Du_lieu'!M242</f>
        <v>32.090000000000003</v>
      </c>
      <c r="G883" s="9">
        <f>'1_Du_lieu'!N242</f>
        <v>28.2</v>
      </c>
      <c r="H883" s="9">
        <f>'1_Du_lieu'!X242</f>
        <v>3.2720030509182005</v>
      </c>
      <c r="I883" s="9">
        <f>'1_Du_lieu'!T242</f>
        <v>1.1468766725284807</v>
      </c>
      <c r="J883" s="9">
        <f>'1_Du_lieu'!Y242</f>
        <v>8.8088473646204193</v>
      </c>
      <c r="K883" s="5">
        <f t="shared" si="149"/>
        <v>0</v>
      </c>
      <c r="L883" s="5">
        <f t="shared" si="150"/>
        <v>1</v>
      </c>
      <c r="M883" s="5">
        <f t="shared" si="151"/>
        <v>0</v>
      </c>
      <c r="N883" s="5">
        <f t="shared" si="152"/>
        <v>0</v>
      </c>
      <c r="O883" s="5">
        <f t="shared" si="153"/>
        <v>0</v>
      </c>
      <c r="P883" s="5">
        <f t="shared" si="154"/>
        <v>0</v>
      </c>
    </row>
    <row r="884" spans="1:16" x14ac:dyDescent="0.25">
      <c r="A884" t="s">
        <v>141</v>
      </c>
      <c r="B884">
        <v>2020</v>
      </c>
      <c r="C884" s="7">
        <f>'1_Du_lieu'!V244</f>
        <v>3.6888794541139363</v>
      </c>
      <c r="D884" s="9">
        <f>'1_Du_lieu'!W244</f>
        <v>4.0217738693872649</v>
      </c>
      <c r="E884" s="9">
        <f>'1_Du_lieu'!L244</f>
        <v>2.738</v>
      </c>
      <c r="F884" s="9">
        <f>'1_Du_lieu'!M244</f>
        <v>14.21</v>
      </c>
      <c r="G884" s="9">
        <f>'1_Du_lieu'!N244</f>
        <v>14.2</v>
      </c>
      <c r="H884" s="9">
        <f>'1_Du_lieu'!X244</f>
        <v>0.66499725844119417</v>
      </c>
      <c r="I884" s="9">
        <f>'1_Du_lieu'!T244</f>
        <v>0.7334273624823695</v>
      </c>
      <c r="J884" s="9">
        <f>'1_Du_lieu'!Y244</f>
        <v>7.3458166427932889</v>
      </c>
      <c r="K884" s="5">
        <f t="shared" si="149"/>
        <v>0</v>
      </c>
      <c r="L884" s="5">
        <f t="shared" si="150"/>
        <v>1</v>
      </c>
      <c r="M884" s="5">
        <f t="shared" si="151"/>
        <v>0</v>
      </c>
      <c r="N884" s="5">
        <f t="shared" si="152"/>
        <v>0</v>
      </c>
      <c r="O884" s="5">
        <f t="shared" si="153"/>
        <v>0</v>
      </c>
      <c r="P884" s="5">
        <f t="shared" si="154"/>
        <v>0</v>
      </c>
    </row>
    <row r="885" spans="1:16" x14ac:dyDescent="0.25">
      <c r="A885" t="s">
        <v>142</v>
      </c>
      <c r="B885">
        <v>2020</v>
      </c>
      <c r="C885" s="7">
        <f>'1_Du_lieu'!V245</f>
        <v>3.4468078929142076</v>
      </c>
      <c r="D885" s="9">
        <f>'1_Du_lieu'!W245</f>
        <v>4.1108738641733114</v>
      </c>
      <c r="E885" s="9">
        <f>'1_Du_lieu'!L245</f>
        <v>2.278</v>
      </c>
      <c r="F885" s="9">
        <f>'1_Du_lieu'!M245</f>
        <v>17.41</v>
      </c>
      <c r="G885" s="9">
        <f>'1_Du_lieu'!N245</f>
        <v>11.6</v>
      </c>
      <c r="H885" s="9">
        <f>'1_Du_lieu'!X245</f>
        <v>1.2813078499544777</v>
      </c>
      <c r="I885" s="9">
        <f>'1_Du_lieu'!T245</f>
        <v>0.89117734429151396</v>
      </c>
      <c r="J885" s="9">
        <f>'1_Du_lieu'!Y245</f>
        <v>8.1018898461721687</v>
      </c>
      <c r="K885" s="5">
        <f t="shared" si="149"/>
        <v>0</v>
      </c>
      <c r="L885" s="5">
        <f t="shared" si="150"/>
        <v>1</v>
      </c>
      <c r="M885" s="5">
        <f t="shared" si="151"/>
        <v>0</v>
      </c>
      <c r="N885" s="5">
        <f t="shared" si="152"/>
        <v>0</v>
      </c>
      <c r="O885" s="5">
        <f t="shared" si="153"/>
        <v>0</v>
      </c>
      <c r="P885" s="5">
        <f t="shared" si="154"/>
        <v>0</v>
      </c>
    </row>
    <row r="886" spans="1:16" x14ac:dyDescent="0.25">
      <c r="A886" t="s">
        <v>143</v>
      </c>
      <c r="B886">
        <v>2020</v>
      </c>
      <c r="C886" s="7">
        <f>'1_Du_lieu'!V246</f>
        <v>3.380994674344636</v>
      </c>
      <c r="D886" s="9">
        <f>'1_Du_lieu'!W246</f>
        <v>3.7727609380946383</v>
      </c>
      <c r="E886" s="9">
        <f>'1_Du_lieu'!L246</f>
        <v>1.841</v>
      </c>
      <c r="F886" s="9">
        <f>'1_Du_lieu'!M246</f>
        <v>13.82</v>
      </c>
      <c r="G886" s="9">
        <f>'1_Du_lieu'!N246</f>
        <v>21.3</v>
      </c>
      <c r="H886" s="9">
        <f>'1_Du_lieu'!X246</f>
        <v>2.8888922654216747</v>
      </c>
      <c r="I886" s="9">
        <f>'1_Du_lieu'!T246</f>
        <v>0.88283516206331192</v>
      </c>
      <c r="J886" s="9">
        <f>'1_Du_lieu'!Y246</f>
        <v>5.6182245862945548</v>
      </c>
      <c r="K886" s="5">
        <f t="shared" si="149"/>
        <v>0</v>
      </c>
      <c r="L886" s="5">
        <f t="shared" si="150"/>
        <v>1</v>
      </c>
      <c r="M886" s="5">
        <f t="shared" si="151"/>
        <v>0</v>
      </c>
      <c r="N886" s="5">
        <f t="shared" si="152"/>
        <v>0</v>
      </c>
      <c r="O886" s="5">
        <f t="shared" si="153"/>
        <v>0</v>
      </c>
      <c r="P886" s="5">
        <f t="shared" si="154"/>
        <v>0</v>
      </c>
    </row>
    <row r="887" spans="1:16" x14ac:dyDescent="0.25">
      <c r="A887" t="s">
        <v>144</v>
      </c>
      <c r="B887">
        <v>2020</v>
      </c>
      <c r="C887" s="7">
        <f>'1_Du_lieu'!V247</f>
        <v>3.673765816303888</v>
      </c>
      <c r="D887" s="9">
        <f>'1_Du_lieu'!W247</f>
        <v>4.3040650932041702</v>
      </c>
      <c r="E887" s="9">
        <f>'1_Du_lieu'!L247</f>
        <v>3.6930000000000001</v>
      </c>
      <c r="F887" s="9">
        <f>'1_Du_lieu'!M247</f>
        <v>32.340000000000003</v>
      </c>
      <c r="G887" s="9">
        <f>'1_Du_lieu'!N247</f>
        <v>14.7</v>
      </c>
      <c r="H887" s="9">
        <f>'1_Du_lieu'!X247</f>
        <v>2.5556293321054997</v>
      </c>
      <c r="I887" s="9">
        <f>'1_Du_lieu'!T247</f>
        <v>1.1881524229822626</v>
      </c>
      <c r="J887" s="9">
        <f>'1_Du_lieu'!Y247</f>
        <v>8.7825376261463042</v>
      </c>
      <c r="K887" s="5">
        <f t="shared" si="149"/>
        <v>0</v>
      </c>
      <c r="L887" s="5">
        <f t="shared" si="150"/>
        <v>1</v>
      </c>
      <c r="M887" s="5">
        <f t="shared" si="151"/>
        <v>0</v>
      </c>
      <c r="N887" s="5">
        <f t="shared" si="152"/>
        <v>0</v>
      </c>
      <c r="O887" s="5">
        <f t="shared" si="153"/>
        <v>0</v>
      </c>
      <c r="P887" s="5">
        <f t="shared" si="154"/>
        <v>0</v>
      </c>
    </row>
    <row r="888" spans="1:16" x14ac:dyDescent="0.25">
      <c r="A888" t="s">
        <v>145</v>
      </c>
      <c r="B888">
        <v>2020</v>
      </c>
      <c r="C888" s="7">
        <f>'1_Du_lieu'!V248</f>
        <v>3.4626060097907989</v>
      </c>
      <c r="D888" s="9">
        <f>'1_Du_lieu'!W248</f>
        <v>4.048300623720694</v>
      </c>
      <c r="E888" s="9">
        <f>'1_Du_lieu'!L248</f>
        <v>2.6030000000000002</v>
      </c>
      <c r="F888" s="9">
        <f>'1_Du_lieu'!M248</f>
        <v>22.69</v>
      </c>
      <c r="G888" s="9">
        <f>'1_Du_lieu'!N248</f>
        <v>15.8</v>
      </c>
      <c r="H888" s="9">
        <f>'1_Du_lieu'!X248</f>
        <v>0.63000227895541705</v>
      </c>
      <c r="I888" s="9">
        <f>'1_Du_lieu'!T248</f>
        <v>0.5865102639296188</v>
      </c>
      <c r="J888" s="9">
        <f>'1_Du_lieu'!Y248</f>
        <v>6.6849866573730008</v>
      </c>
      <c r="K888" s="5">
        <f t="shared" si="149"/>
        <v>0</v>
      </c>
      <c r="L888" s="5">
        <f t="shared" si="150"/>
        <v>1</v>
      </c>
      <c r="M888" s="5">
        <f t="shared" si="151"/>
        <v>0</v>
      </c>
      <c r="N888" s="5">
        <f t="shared" si="152"/>
        <v>0</v>
      </c>
      <c r="O888" s="5">
        <f t="shared" si="153"/>
        <v>0</v>
      </c>
      <c r="P888" s="5">
        <f t="shared" si="154"/>
        <v>0</v>
      </c>
    </row>
    <row r="889" spans="1:16" x14ac:dyDescent="0.25">
      <c r="A889" t="s">
        <v>146</v>
      </c>
      <c r="B889">
        <v>2020</v>
      </c>
      <c r="C889" s="7">
        <f>'1_Du_lieu'!V249</f>
        <v>3.7887247890836524</v>
      </c>
      <c r="D889" s="9">
        <f>'1_Du_lieu'!W249</f>
        <v>4.6624952526073606</v>
      </c>
      <c r="E889" s="9">
        <f>'1_Du_lieu'!L249</f>
        <v>6.6239999999999997</v>
      </c>
      <c r="F889" s="9">
        <f>'1_Du_lieu'!M249</f>
        <v>29.97</v>
      </c>
      <c r="G889" s="9">
        <f>'1_Du_lieu'!N249</f>
        <v>28.6</v>
      </c>
      <c r="H889" s="9">
        <f>'1_Du_lieu'!X249</f>
        <v>2.9784778824002407</v>
      </c>
      <c r="I889" s="9">
        <f>'1_Du_lieu'!T249</f>
        <v>0.76844262295081966</v>
      </c>
      <c r="J889" s="9">
        <f>'1_Du_lieu'!Y249</f>
        <v>8.4123214451800639</v>
      </c>
      <c r="K889" s="5">
        <f t="shared" si="149"/>
        <v>0</v>
      </c>
      <c r="L889" s="5">
        <f t="shared" si="150"/>
        <v>1</v>
      </c>
      <c r="M889" s="5">
        <f t="shared" si="151"/>
        <v>0</v>
      </c>
      <c r="N889" s="5">
        <f t="shared" si="152"/>
        <v>0</v>
      </c>
      <c r="O889" s="5">
        <f t="shared" si="153"/>
        <v>0</v>
      </c>
      <c r="P889" s="5">
        <f t="shared" si="154"/>
        <v>0</v>
      </c>
    </row>
    <row r="890" spans="1:16" x14ac:dyDescent="0.25">
      <c r="A890" t="s">
        <v>147</v>
      </c>
      <c r="B890">
        <v>2020</v>
      </c>
      <c r="C890" s="7">
        <f>'1_Du_lieu'!V250</f>
        <v>3.535145354171894</v>
      </c>
      <c r="D890" s="9">
        <f>'1_Du_lieu'!W250</f>
        <v>3.6863763238958178</v>
      </c>
      <c r="E890" s="9">
        <f>'1_Du_lieu'!L250</f>
        <v>2.0760000000000001</v>
      </c>
      <c r="F890" s="9">
        <f>'1_Du_lieu'!M250</f>
        <v>20.63</v>
      </c>
      <c r="G890" s="9">
        <f>'1_Du_lieu'!N250</f>
        <v>19.100000000000001</v>
      </c>
      <c r="H890" s="9">
        <f>'1_Du_lieu'!X250</f>
        <v>2.5107639346430943</v>
      </c>
      <c r="I890" s="9">
        <f>'1_Du_lieu'!T250</f>
        <v>0.36075036075036077</v>
      </c>
      <c r="J890" s="9">
        <f>'1_Du_lieu'!Y250</f>
        <v>6.1791881531909318</v>
      </c>
      <c r="K890" s="5">
        <f t="shared" si="149"/>
        <v>0</v>
      </c>
      <c r="L890" s="5">
        <f t="shared" si="150"/>
        <v>1</v>
      </c>
      <c r="M890" s="5">
        <f t="shared" si="151"/>
        <v>0</v>
      </c>
      <c r="N890" s="5">
        <f t="shared" si="152"/>
        <v>0</v>
      </c>
      <c r="O890" s="5">
        <f t="shared" si="153"/>
        <v>0</v>
      </c>
      <c r="P890" s="5">
        <f t="shared" si="154"/>
        <v>0</v>
      </c>
    </row>
    <row r="891" spans="1:16" x14ac:dyDescent="0.25">
      <c r="A891" t="s">
        <v>149</v>
      </c>
      <c r="B891">
        <v>2020</v>
      </c>
      <c r="C891" s="7">
        <f>'1_Du_lieu'!V252</f>
        <v>4.0673158898341812</v>
      </c>
      <c r="D891" s="9">
        <f>'1_Du_lieu'!W252</f>
        <v>4.4863866499981242</v>
      </c>
      <c r="E891" s="9">
        <f>'1_Du_lieu'!L252</f>
        <v>20.236000000000001</v>
      </c>
      <c r="F891" s="9">
        <f>'1_Du_lieu'!M252</f>
        <v>87.25</v>
      </c>
      <c r="G891" s="9">
        <f>'1_Du_lieu'!N252</f>
        <v>44</v>
      </c>
      <c r="H891" s="9">
        <f>'1_Du_lieu'!X252</f>
        <v>3.2759808431445858</v>
      </c>
      <c r="I891" s="9">
        <f>'1_Du_lieu'!T252</f>
        <v>6.7550235143223603</v>
      </c>
      <c r="J891" s="9">
        <f>'1_Du_lieu'!Y252</f>
        <v>8.4658998970286863</v>
      </c>
      <c r="K891" s="5">
        <f t="shared" si="149"/>
        <v>0</v>
      </c>
      <c r="L891" s="5">
        <f t="shared" si="150"/>
        <v>1</v>
      </c>
      <c r="M891" s="5">
        <f t="shared" si="151"/>
        <v>0</v>
      </c>
      <c r="N891" s="5">
        <f t="shared" si="152"/>
        <v>0</v>
      </c>
      <c r="O891" s="5">
        <f t="shared" si="153"/>
        <v>0</v>
      </c>
      <c r="P891" s="5">
        <f t="shared" si="154"/>
        <v>0</v>
      </c>
    </row>
    <row r="892" spans="1:16" x14ac:dyDescent="0.25">
      <c r="A892" t="s">
        <v>150</v>
      </c>
      <c r="B892">
        <v>2020</v>
      </c>
      <c r="C892" s="7">
        <f>'1_Du_lieu'!V253</f>
        <v>3.5890591188317256</v>
      </c>
      <c r="D892" s="9">
        <f>'1_Du_lieu'!W253</f>
        <v>3.8308129500026027</v>
      </c>
      <c r="E892" s="9">
        <f>'1_Du_lieu'!L253</f>
        <v>3.5859999999999999</v>
      </c>
      <c r="F892" s="9">
        <f>'1_Du_lieu'!M253</f>
        <v>24.72</v>
      </c>
      <c r="G892" s="9">
        <f>'1_Du_lieu'!N253</f>
        <v>17.2</v>
      </c>
      <c r="H892" s="9">
        <f>'1_Du_lieu'!X253</f>
        <v>2.25137268546117</v>
      </c>
      <c r="I892" s="9">
        <f>'1_Du_lieu'!T253</f>
        <v>0.52996979172187186</v>
      </c>
      <c r="J892" s="9">
        <f>'1_Du_lieu'!Y253</f>
        <v>5.0807830539983376</v>
      </c>
      <c r="K892" s="5">
        <f t="shared" si="149"/>
        <v>0</v>
      </c>
      <c r="L892" s="5">
        <f t="shared" si="150"/>
        <v>1</v>
      </c>
      <c r="M892" s="5">
        <f t="shared" si="151"/>
        <v>0</v>
      </c>
      <c r="N892" s="5">
        <f t="shared" si="152"/>
        <v>0</v>
      </c>
      <c r="O892" s="5">
        <f t="shared" si="153"/>
        <v>0</v>
      </c>
      <c r="P892" s="5">
        <f t="shared" si="154"/>
        <v>0</v>
      </c>
    </row>
    <row r="893" spans="1:16" x14ac:dyDescent="0.25">
      <c r="A893" t="s">
        <v>151</v>
      </c>
      <c r="B893">
        <v>2020</v>
      </c>
      <c r="C893" s="7">
        <f>'1_Du_lieu'!V254</f>
        <v>3.4781584227982836</v>
      </c>
      <c r="D893" s="9">
        <f>'1_Du_lieu'!W254</f>
        <v>3.8732821771117156</v>
      </c>
      <c r="E893" s="9">
        <f>'1_Du_lieu'!L254</f>
        <v>3.4820000000000002</v>
      </c>
      <c r="F893" s="9">
        <f>'1_Du_lieu'!M254</f>
        <v>15.28</v>
      </c>
      <c r="G893" s="9">
        <f>'1_Du_lieu'!N254</f>
        <v>14.3</v>
      </c>
      <c r="H893" s="9">
        <f>'1_Du_lieu'!X254</f>
        <v>1.0246128398138439</v>
      </c>
      <c r="I893" s="9">
        <f>'1_Du_lieu'!T254</f>
        <v>0.47029314939645711</v>
      </c>
      <c r="J893" s="9">
        <f>'1_Du_lieu'!Y254</f>
        <v>5.5138318906977553</v>
      </c>
      <c r="K893" s="5">
        <f t="shared" si="149"/>
        <v>0</v>
      </c>
      <c r="L893" s="5">
        <f t="shared" si="150"/>
        <v>1</v>
      </c>
      <c r="M893" s="5">
        <f t="shared" si="151"/>
        <v>0</v>
      </c>
      <c r="N893" s="5">
        <f t="shared" si="152"/>
        <v>0</v>
      </c>
      <c r="O893" s="5">
        <f t="shared" si="153"/>
        <v>0</v>
      </c>
      <c r="P893" s="5">
        <f t="shared" si="154"/>
        <v>0</v>
      </c>
    </row>
    <row r="894" spans="1:16" x14ac:dyDescent="0.25">
      <c r="A894" t="s">
        <v>152</v>
      </c>
      <c r="B894">
        <v>2020</v>
      </c>
      <c r="C894" s="7">
        <f>'1_Du_lieu'!V255</f>
        <v>4.0055133485154846</v>
      </c>
      <c r="D894" s="9">
        <f>'1_Du_lieu'!W255</f>
        <v>4.7458013157278369</v>
      </c>
      <c r="E894" s="9">
        <f>'1_Du_lieu'!L255</f>
        <v>7.6379999999999999</v>
      </c>
      <c r="F894" s="9">
        <f>'1_Du_lieu'!M255</f>
        <v>44.27</v>
      </c>
      <c r="G894" s="9">
        <f>'1_Du_lieu'!N255</f>
        <v>22.5</v>
      </c>
      <c r="H894" s="9">
        <f>'1_Du_lieu'!X255</f>
        <v>2.6366918656208997</v>
      </c>
      <c r="I894" s="9">
        <f>'1_Du_lieu'!T255</f>
        <v>0.59797318562346569</v>
      </c>
      <c r="J894" s="9">
        <f>'1_Du_lieu'!Y255</f>
        <v>9.2098302418819493</v>
      </c>
      <c r="K894" s="5">
        <f t="shared" si="149"/>
        <v>0</v>
      </c>
      <c r="L894" s="5">
        <f t="shared" si="150"/>
        <v>1</v>
      </c>
      <c r="M894" s="5">
        <f t="shared" si="151"/>
        <v>0</v>
      </c>
      <c r="N894" s="5">
        <f t="shared" si="152"/>
        <v>0</v>
      </c>
      <c r="O894" s="5">
        <f t="shared" si="153"/>
        <v>0</v>
      </c>
      <c r="P894" s="5">
        <f t="shared" si="154"/>
        <v>0</v>
      </c>
    </row>
    <row r="895" spans="1:16" x14ac:dyDescent="0.25">
      <c r="A895" t="s">
        <v>153</v>
      </c>
      <c r="B895">
        <v>2020</v>
      </c>
      <c r="C895" s="7">
        <f>'1_Du_lieu'!V256</f>
        <v>3.6532522764707851</v>
      </c>
      <c r="D895" s="9">
        <f>'1_Du_lieu'!W256</f>
        <v>3.9778107459661491</v>
      </c>
      <c r="E895" s="9">
        <f>'1_Du_lieu'!L256</f>
        <v>2.2570000000000001</v>
      </c>
      <c r="F895" s="9">
        <f>'1_Du_lieu'!M256</f>
        <v>19.13</v>
      </c>
      <c r="G895" s="9">
        <f>'1_Du_lieu'!N256</f>
        <v>15</v>
      </c>
      <c r="H895" s="9">
        <f>'1_Du_lieu'!X256</f>
        <v>0.47662230242449244</v>
      </c>
      <c r="I895" s="9">
        <f>'1_Du_lieu'!T256</f>
        <v>0.625</v>
      </c>
      <c r="J895" s="9">
        <f>'1_Du_lieu'!Y256</f>
        <v>4.6876714074998347</v>
      </c>
      <c r="K895" s="5">
        <f t="shared" si="149"/>
        <v>0</v>
      </c>
      <c r="L895" s="5">
        <f t="shared" si="150"/>
        <v>1</v>
      </c>
      <c r="M895" s="5">
        <f t="shared" si="151"/>
        <v>0</v>
      </c>
      <c r="N895" s="5">
        <f t="shared" si="152"/>
        <v>0</v>
      </c>
      <c r="O895" s="5">
        <f t="shared" si="153"/>
        <v>0</v>
      </c>
      <c r="P895" s="5">
        <f t="shared" si="154"/>
        <v>0</v>
      </c>
    </row>
    <row r="896" spans="1:16" x14ac:dyDescent="0.25">
      <c r="A896" t="s">
        <v>85</v>
      </c>
      <c r="B896">
        <v>2021</v>
      </c>
      <c r="C896" s="7">
        <f>'1_Du_lieu'!V257</f>
        <v>1.6937790608678513</v>
      </c>
      <c r="D896" s="9">
        <f>'1_Du_lieu'!W257</f>
        <v>3.8649313978942956</v>
      </c>
      <c r="E896" s="9">
        <f>'1_Du_lieu'!L257</f>
        <v>2.5430000000000001</v>
      </c>
      <c r="F896" s="9">
        <f>'1_Du_lieu'!M257</f>
        <v>33.83</v>
      </c>
      <c r="G896" s="9">
        <f>'1_Du_lieu'!N257</f>
        <v>13.4</v>
      </c>
      <c r="H896" s="9">
        <f>'1_Du_lieu'!X257</f>
        <v>1.4629474402226359</v>
      </c>
      <c r="I896" s="9">
        <f>'1_Du_lieu'!T257</f>
        <v>0.47132757266300079</v>
      </c>
      <c r="J896" s="9">
        <f>'1_Du_lieu'!Y257</f>
        <v>5.0388987593691148</v>
      </c>
      <c r="K896" s="5">
        <f t="shared" si="149"/>
        <v>0</v>
      </c>
      <c r="L896" s="5">
        <f t="shared" si="150"/>
        <v>0</v>
      </c>
      <c r="M896" s="5">
        <f t="shared" si="151"/>
        <v>1</v>
      </c>
      <c r="N896" s="5">
        <f t="shared" si="152"/>
        <v>0</v>
      </c>
      <c r="O896" s="5">
        <f t="shared" si="153"/>
        <v>0</v>
      </c>
      <c r="P896" s="5">
        <f t="shared" si="154"/>
        <v>0</v>
      </c>
    </row>
    <row r="897" spans="1:16" x14ac:dyDescent="0.25">
      <c r="A897" t="s">
        <v>87</v>
      </c>
      <c r="B897">
        <v>2021</v>
      </c>
      <c r="C897" s="7">
        <f>'1_Du_lieu'!V258</f>
        <v>2.3015845926604621</v>
      </c>
      <c r="D897" s="9">
        <f>'1_Du_lieu'!W258</f>
        <v>5.6957503029589365</v>
      </c>
      <c r="E897" s="9">
        <f>'1_Du_lieu'!L258</f>
        <v>9.6869999999999994</v>
      </c>
      <c r="F897" s="9">
        <f>'1_Du_lieu'!M258</f>
        <v>58.4</v>
      </c>
      <c r="G897" s="9">
        <f>'1_Du_lieu'!N258</f>
        <v>29.9</v>
      </c>
      <c r="H897" s="9">
        <f>'1_Du_lieu'!X258</f>
        <v>1.9398671720527669</v>
      </c>
      <c r="I897" s="9">
        <f>'1_Du_lieu'!T258</f>
        <v>1.1903749681149565</v>
      </c>
      <c r="J897" s="9">
        <f>'1_Du_lieu'!Y258</f>
        <v>10.242531479525159</v>
      </c>
      <c r="K897" s="5">
        <f t="shared" si="149"/>
        <v>0</v>
      </c>
      <c r="L897" s="5">
        <f t="shared" si="150"/>
        <v>0</v>
      </c>
      <c r="M897" s="5">
        <f t="shared" si="151"/>
        <v>1</v>
      </c>
      <c r="N897" s="5">
        <f t="shared" si="152"/>
        <v>0</v>
      </c>
      <c r="O897" s="5">
        <f t="shared" si="153"/>
        <v>0</v>
      </c>
      <c r="P897" s="5">
        <f t="shared" si="154"/>
        <v>0</v>
      </c>
    </row>
    <row r="898" spans="1:16" x14ac:dyDescent="0.25">
      <c r="A898" t="s">
        <v>89</v>
      </c>
      <c r="B898">
        <v>2021</v>
      </c>
      <c r="C898" s="7">
        <f>'1_Du_lieu'!V259</f>
        <v>2.6919208191723265</v>
      </c>
      <c r="D898" s="9">
        <f>'1_Du_lieu'!W259</f>
        <v>5.0587903359833026</v>
      </c>
      <c r="E898" s="9">
        <f>'1_Du_lieu'!L259</f>
        <v>14.506</v>
      </c>
      <c r="F898" s="9">
        <f>'1_Du_lieu'!M259</f>
        <v>84.32</v>
      </c>
      <c r="G898" s="9">
        <f>'1_Du_lieu'!N259</f>
        <v>21</v>
      </c>
      <c r="H898" s="9">
        <f>'1_Du_lieu'!X259</f>
        <v>3.1894784236488696</v>
      </c>
      <c r="I898" s="9">
        <f>'1_Du_lieu'!T259</f>
        <v>0.65465187923598278</v>
      </c>
      <c r="J898" s="9">
        <f>'1_Du_lieu'!Y259</f>
        <v>9.5856280198467356</v>
      </c>
      <c r="K898" s="5">
        <f t="shared" si="149"/>
        <v>0</v>
      </c>
      <c r="L898" s="5">
        <f t="shared" si="150"/>
        <v>0</v>
      </c>
      <c r="M898" s="5">
        <f t="shared" si="151"/>
        <v>1</v>
      </c>
      <c r="N898" s="5">
        <f t="shared" si="152"/>
        <v>0</v>
      </c>
      <c r="O898" s="5">
        <f t="shared" si="153"/>
        <v>0</v>
      </c>
      <c r="P898" s="5">
        <f t="shared" si="154"/>
        <v>0</v>
      </c>
    </row>
    <row r="899" spans="1:16" x14ac:dyDescent="0.25">
      <c r="A899" t="s">
        <v>90</v>
      </c>
      <c r="B899">
        <v>2021</v>
      </c>
      <c r="C899" s="7">
        <f>'1_Du_lieu'!V260</f>
        <v>1.6272778305624314</v>
      </c>
      <c r="D899" s="9">
        <f>'1_Du_lieu'!W260</f>
        <v>4.3320482648676402</v>
      </c>
      <c r="E899" s="9">
        <f>'1_Du_lieu'!L260</f>
        <v>6.069</v>
      </c>
      <c r="F899" s="9">
        <f>'1_Du_lieu'!M260</f>
        <v>24.16</v>
      </c>
      <c r="G899" s="9">
        <f>'1_Du_lieu'!N260</f>
        <v>19.2</v>
      </c>
      <c r="H899" s="9">
        <f>'1_Du_lieu'!X260</f>
        <v>0.91400363148611896</v>
      </c>
      <c r="I899" s="9">
        <f>'1_Du_lieu'!T260</f>
        <v>0.87864883334960475</v>
      </c>
      <c r="J899" s="9">
        <f>'1_Du_lieu'!Y260</f>
        <v>8.2010842092241667</v>
      </c>
      <c r="K899" s="5">
        <f t="shared" si="149"/>
        <v>0</v>
      </c>
      <c r="L899" s="5">
        <f t="shared" si="150"/>
        <v>0</v>
      </c>
      <c r="M899" s="5">
        <f t="shared" si="151"/>
        <v>1</v>
      </c>
      <c r="N899" s="5">
        <f t="shared" si="152"/>
        <v>0</v>
      </c>
      <c r="O899" s="5">
        <f t="shared" si="153"/>
        <v>0</v>
      </c>
      <c r="P899" s="5">
        <f t="shared" si="154"/>
        <v>0</v>
      </c>
    </row>
    <row r="900" spans="1:16" x14ac:dyDescent="0.25">
      <c r="A900" t="s">
        <v>91</v>
      </c>
      <c r="B900">
        <v>2021</v>
      </c>
      <c r="C900" s="7">
        <f>'1_Du_lieu'!V261</f>
        <v>1.7613002617433464</v>
      </c>
      <c r="D900" s="9">
        <f>'1_Du_lieu'!W261</f>
        <v>4.2959239356204701</v>
      </c>
      <c r="E900" s="9">
        <f>'1_Du_lieu'!L261</f>
        <v>4.3860000000000001</v>
      </c>
      <c r="F900" s="9">
        <f>'1_Du_lieu'!M261</f>
        <v>38.5</v>
      </c>
      <c r="G900" s="9">
        <f>'1_Du_lieu'!N261</f>
        <v>18.3</v>
      </c>
      <c r="H900" s="9">
        <f>'1_Du_lieu'!X261</f>
        <v>1.3082655913743744</v>
      </c>
      <c r="I900" s="9">
        <f>'1_Du_lieu'!T261</f>
        <v>0.32095001203562545</v>
      </c>
      <c r="J900" s="9">
        <f>'1_Du_lieu'!Y261</f>
        <v>8.0287485674318138</v>
      </c>
      <c r="K900" s="5">
        <f t="shared" si="149"/>
        <v>0</v>
      </c>
      <c r="L900" s="5">
        <f t="shared" si="150"/>
        <v>0</v>
      </c>
      <c r="M900" s="5">
        <f t="shared" si="151"/>
        <v>1</v>
      </c>
      <c r="N900" s="5">
        <f t="shared" si="152"/>
        <v>0</v>
      </c>
      <c r="O900" s="5">
        <f t="shared" si="153"/>
        <v>0</v>
      </c>
      <c r="P900" s="5">
        <f t="shared" si="154"/>
        <v>0</v>
      </c>
    </row>
    <row r="901" spans="1:16" x14ac:dyDescent="0.25">
      <c r="A901" t="s">
        <v>93</v>
      </c>
      <c r="B901">
        <v>2021</v>
      </c>
      <c r="C901" s="7">
        <f>'1_Du_lieu'!V262</f>
        <v>1.8453002361560848</v>
      </c>
      <c r="D901" s="9">
        <f>'1_Du_lieu'!W262</f>
        <v>4.1541845625781173</v>
      </c>
      <c r="E901" s="9">
        <f>'1_Du_lieu'!L262</f>
        <v>4.6790000000000003</v>
      </c>
      <c r="F901" s="9">
        <f>'1_Du_lieu'!M262</f>
        <v>41.16</v>
      </c>
      <c r="G901" s="9">
        <f>'1_Du_lieu'!N262</f>
        <v>25</v>
      </c>
      <c r="H901" s="9">
        <f>'1_Du_lieu'!X262</f>
        <v>2.8253474112841697</v>
      </c>
      <c r="I901" s="9">
        <f>'1_Du_lieu'!T262</f>
        <v>0.79559769276669101</v>
      </c>
      <c r="J901" s="9">
        <f>'1_Du_lieu'!Y262</f>
        <v>6.6705128032884256</v>
      </c>
      <c r="K901" s="5">
        <f t="shared" si="149"/>
        <v>0</v>
      </c>
      <c r="L901" s="5">
        <f t="shared" si="150"/>
        <v>0</v>
      </c>
      <c r="M901" s="5">
        <f t="shared" si="151"/>
        <v>1</v>
      </c>
      <c r="N901" s="5">
        <f t="shared" si="152"/>
        <v>0</v>
      </c>
      <c r="O901" s="5">
        <f t="shared" si="153"/>
        <v>0</v>
      </c>
      <c r="P901" s="5">
        <f t="shared" si="154"/>
        <v>0</v>
      </c>
    </row>
    <row r="902" spans="1:16" x14ac:dyDescent="0.25">
      <c r="A902" t="s">
        <v>95</v>
      </c>
      <c r="B902">
        <v>2021</v>
      </c>
      <c r="C902" s="7">
        <f>'1_Du_lieu'!V264</f>
        <v>1.8578592709325787</v>
      </c>
      <c r="D902" s="9">
        <f>'1_Du_lieu'!W264</f>
        <v>4.2527717988166192</v>
      </c>
      <c r="E902" s="9">
        <f>'1_Du_lieu'!L264</f>
        <v>3.7949999999999999</v>
      </c>
      <c r="F902" s="9">
        <f>'1_Du_lieu'!M264</f>
        <v>18.22</v>
      </c>
      <c r="G902" s="9">
        <f>'1_Du_lieu'!N264</f>
        <v>26.7</v>
      </c>
      <c r="H902" s="9">
        <f>'1_Du_lieu'!X264</f>
        <v>2.5595528323543606</v>
      </c>
      <c r="I902" s="9">
        <f>'1_Du_lieu'!T264</f>
        <v>0.63993174061433444</v>
      </c>
      <c r="J902" s="9">
        <f>'1_Du_lieu'!Y264</f>
        <v>8.4331156882250244</v>
      </c>
      <c r="K902" s="5">
        <f t="shared" si="149"/>
        <v>0</v>
      </c>
      <c r="L902" s="5">
        <f t="shared" si="150"/>
        <v>0</v>
      </c>
      <c r="M902" s="5">
        <f t="shared" si="151"/>
        <v>1</v>
      </c>
      <c r="N902" s="5">
        <f t="shared" si="152"/>
        <v>0</v>
      </c>
      <c r="O902" s="5">
        <f t="shared" si="153"/>
        <v>0</v>
      </c>
      <c r="P902" s="5">
        <f t="shared" si="154"/>
        <v>0</v>
      </c>
    </row>
    <row r="903" spans="1:16" x14ac:dyDescent="0.25">
      <c r="A903" t="s">
        <v>97</v>
      </c>
      <c r="B903">
        <v>2021</v>
      </c>
      <c r="C903" s="7">
        <f>'1_Du_lieu'!V265</f>
        <v>1.3812818192963463</v>
      </c>
      <c r="D903" s="9">
        <f>'1_Du_lieu'!W265</f>
        <v>3.7495040759303713</v>
      </c>
      <c r="E903" s="9">
        <f>'1_Du_lieu'!L265</f>
        <v>2.0230000000000001</v>
      </c>
      <c r="F903" s="9">
        <f>'1_Du_lieu'!M265</f>
        <v>22.58</v>
      </c>
      <c r="G903" s="9">
        <f>'1_Du_lieu'!N265</f>
        <v>27</v>
      </c>
      <c r="H903" s="9">
        <f>'1_Du_lieu'!X265</f>
        <v>1.3645900193889404</v>
      </c>
      <c r="I903" s="9">
        <f>'1_Du_lieu'!T265</f>
        <v>0.92678405931417984</v>
      </c>
      <c r="J903" s="9">
        <f>'1_Du_lieu'!Y265</f>
        <v>3.2347491740244907</v>
      </c>
      <c r="K903" s="5">
        <f t="shared" si="149"/>
        <v>0</v>
      </c>
      <c r="L903" s="5">
        <f t="shared" si="150"/>
        <v>0</v>
      </c>
      <c r="M903" s="5">
        <f t="shared" si="151"/>
        <v>1</v>
      </c>
      <c r="N903" s="5">
        <f t="shared" si="152"/>
        <v>0</v>
      </c>
      <c r="O903" s="5">
        <f t="shared" si="153"/>
        <v>0</v>
      </c>
      <c r="P903" s="5">
        <f t="shared" si="154"/>
        <v>0</v>
      </c>
    </row>
    <row r="904" spans="1:16" x14ac:dyDescent="0.25">
      <c r="A904" t="s">
        <v>98</v>
      </c>
      <c r="B904">
        <v>2021</v>
      </c>
      <c r="C904" s="7">
        <f>'1_Du_lieu'!V266</f>
        <v>2.2417729535972883</v>
      </c>
      <c r="D904" s="9">
        <f>'1_Du_lieu'!W266</f>
        <v>5.0606944939689926</v>
      </c>
      <c r="E904" s="9">
        <f>'1_Du_lieu'!L266</f>
        <v>9.532</v>
      </c>
      <c r="F904" s="9">
        <f>'1_Du_lieu'!M266</f>
        <v>36.65</v>
      </c>
      <c r="G904" s="9">
        <f>'1_Du_lieu'!N266</f>
        <v>33.5</v>
      </c>
      <c r="H904" s="9">
        <f>'1_Du_lieu'!X266</f>
        <v>2.5245111422255913</v>
      </c>
      <c r="I904" s="9">
        <f>'1_Du_lieu'!T266</f>
        <v>1.914006425593</v>
      </c>
      <c r="J904" s="9">
        <f>'1_Du_lieu'!Y266</f>
        <v>9.6402574133072587</v>
      </c>
      <c r="K904" s="5">
        <f t="shared" si="149"/>
        <v>0</v>
      </c>
      <c r="L904" s="5">
        <f t="shared" si="150"/>
        <v>0</v>
      </c>
      <c r="M904" s="5">
        <f t="shared" si="151"/>
        <v>1</v>
      </c>
      <c r="N904" s="5">
        <f t="shared" si="152"/>
        <v>0</v>
      </c>
      <c r="O904" s="5">
        <f t="shared" si="153"/>
        <v>0</v>
      </c>
      <c r="P904" s="5">
        <f t="shared" si="154"/>
        <v>0</v>
      </c>
    </row>
    <row r="905" spans="1:16" x14ac:dyDescent="0.25">
      <c r="A905" t="s">
        <v>100</v>
      </c>
      <c r="B905">
        <v>2021</v>
      </c>
      <c r="C905" s="7">
        <f>'1_Du_lieu'!V267</f>
        <v>1.8961194845522977</v>
      </c>
      <c r="D905" s="9">
        <f>'1_Du_lieu'!W267</f>
        <v>3.7977338590260183</v>
      </c>
      <c r="E905" s="9">
        <f>'1_Du_lieu'!L267</f>
        <v>2.68</v>
      </c>
      <c r="F905" s="9">
        <f>'1_Du_lieu'!M267</f>
        <v>9.9</v>
      </c>
      <c r="G905" s="9">
        <f>'1_Du_lieu'!N267</f>
        <v>12.9</v>
      </c>
      <c r="H905" s="9">
        <f>'1_Du_lieu'!X267</f>
        <v>0.9859676841093088</v>
      </c>
      <c r="I905" s="9">
        <f>'1_Du_lieu'!T267</f>
        <v>0.46307015512850197</v>
      </c>
      <c r="J905" s="9">
        <f>'1_Du_lieu'!Y267</f>
        <v>7.1093891468084642</v>
      </c>
      <c r="K905" s="5">
        <f t="shared" si="149"/>
        <v>0</v>
      </c>
      <c r="L905" s="5">
        <f t="shared" si="150"/>
        <v>0</v>
      </c>
      <c r="M905" s="5">
        <f t="shared" si="151"/>
        <v>1</v>
      </c>
      <c r="N905" s="5">
        <f t="shared" si="152"/>
        <v>0</v>
      </c>
      <c r="O905" s="5">
        <f t="shared" si="153"/>
        <v>0</v>
      </c>
      <c r="P905" s="5">
        <f t="shared" si="154"/>
        <v>0</v>
      </c>
    </row>
    <row r="906" spans="1:16" x14ac:dyDescent="0.25">
      <c r="A906" t="s">
        <v>102</v>
      </c>
      <c r="B906">
        <v>2021</v>
      </c>
      <c r="C906" s="7">
        <f>'1_Du_lieu'!V269</f>
        <v>1.5432981099295553</v>
      </c>
      <c r="D906" s="9">
        <f>'1_Du_lieu'!W269</f>
        <v>3.9473901492654373</v>
      </c>
      <c r="E906" s="9">
        <f>'1_Du_lieu'!L269</f>
        <v>3.0270000000000001</v>
      </c>
      <c r="F906" s="9">
        <f>'1_Du_lieu'!M269</f>
        <v>22.77</v>
      </c>
      <c r="G906" s="9">
        <f>'1_Du_lieu'!N269</f>
        <v>14.1</v>
      </c>
      <c r="H906" s="9">
        <f>'1_Du_lieu'!X269</f>
        <v>-0.51757679765672882</v>
      </c>
      <c r="I906" s="9">
        <f>'1_Du_lieu'!T269</f>
        <v>0.5790866975512905</v>
      </c>
      <c r="J906" s="9">
        <f>'1_Du_lieu'!Y269</f>
        <v>4.8790068516178193</v>
      </c>
      <c r="K906" s="5">
        <f t="shared" si="149"/>
        <v>0</v>
      </c>
      <c r="L906" s="5">
        <f t="shared" si="150"/>
        <v>0</v>
      </c>
      <c r="M906" s="5">
        <f t="shared" si="151"/>
        <v>1</v>
      </c>
      <c r="N906" s="5">
        <f t="shared" si="152"/>
        <v>0</v>
      </c>
      <c r="O906" s="5">
        <f t="shared" si="153"/>
        <v>0</v>
      </c>
      <c r="P906" s="5">
        <f t="shared" si="154"/>
        <v>0</v>
      </c>
    </row>
    <row r="907" spans="1:16" x14ac:dyDescent="0.25">
      <c r="A907" t="s">
        <v>103</v>
      </c>
      <c r="B907">
        <v>2021</v>
      </c>
      <c r="C907" s="7">
        <f>'1_Du_lieu'!V270</f>
        <v>2.150598735996164</v>
      </c>
      <c r="D907" s="9">
        <f>'1_Du_lieu'!W270</f>
        <v>4.3027128279541564</v>
      </c>
      <c r="E907" s="9">
        <f>'1_Du_lieu'!L270</f>
        <v>7.7160000000000002</v>
      </c>
      <c r="F907" s="9">
        <f>'1_Du_lieu'!M270</f>
        <v>70.319999999999993</v>
      </c>
      <c r="G907" s="9">
        <f>'1_Du_lieu'!N270</f>
        <v>24.2</v>
      </c>
      <c r="H907" s="9">
        <f>'1_Du_lieu'!X270</f>
        <v>0.57766702451953889</v>
      </c>
      <c r="I907" s="9">
        <f>'1_Du_lieu'!T270</f>
        <v>1.36327185244587</v>
      </c>
      <c r="J907" s="9">
        <f>'1_Du_lieu'!Y270</f>
        <v>7.4068928629529367</v>
      </c>
      <c r="K907" s="5">
        <f t="shared" si="149"/>
        <v>0</v>
      </c>
      <c r="L907" s="5">
        <f t="shared" si="150"/>
        <v>0</v>
      </c>
      <c r="M907" s="5">
        <f t="shared" si="151"/>
        <v>1</v>
      </c>
      <c r="N907" s="5">
        <f t="shared" si="152"/>
        <v>0</v>
      </c>
      <c r="O907" s="5">
        <f t="shared" si="153"/>
        <v>0</v>
      </c>
      <c r="P907" s="5">
        <f t="shared" si="154"/>
        <v>0</v>
      </c>
    </row>
    <row r="908" spans="1:16" x14ac:dyDescent="0.25">
      <c r="A908" t="s">
        <v>104</v>
      </c>
      <c r="B908">
        <v>2021</v>
      </c>
      <c r="C908" s="7">
        <f>'1_Du_lieu'!V271</f>
        <v>1.6174060820832772</v>
      </c>
      <c r="D908" s="9">
        <f>'1_Du_lieu'!W271</f>
        <v>3.8753590210565547</v>
      </c>
      <c r="E908" s="9">
        <f>'1_Du_lieu'!L271</f>
        <v>3.081</v>
      </c>
      <c r="F908" s="9">
        <f>'1_Du_lieu'!M271</f>
        <v>29.23</v>
      </c>
      <c r="G908" s="9">
        <f>'1_Du_lieu'!N271</f>
        <v>15.9</v>
      </c>
      <c r="H908" s="9">
        <f>'1_Du_lieu'!X271</f>
        <v>2.3241387380562166</v>
      </c>
      <c r="I908" s="9">
        <f>'1_Du_lieu'!T271</f>
        <v>1.2104223737019812</v>
      </c>
      <c r="J908" s="9">
        <f>'1_Du_lieu'!Y271</f>
        <v>2.6672282065819548</v>
      </c>
      <c r="K908" s="5">
        <f t="shared" si="149"/>
        <v>0</v>
      </c>
      <c r="L908" s="5">
        <f t="shared" si="150"/>
        <v>0</v>
      </c>
      <c r="M908" s="5">
        <f t="shared" si="151"/>
        <v>1</v>
      </c>
      <c r="N908" s="5">
        <f t="shared" si="152"/>
        <v>0</v>
      </c>
      <c r="O908" s="5">
        <f t="shared" si="153"/>
        <v>0</v>
      </c>
      <c r="P908" s="5">
        <f t="shared" si="154"/>
        <v>0</v>
      </c>
    </row>
    <row r="909" spans="1:16" x14ac:dyDescent="0.25">
      <c r="A909" t="s">
        <v>107</v>
      </c>
      <c r="B909">
        <v>2021</v>
      </c>
      <c r="C909" s="7">
        <f>'1_Du_lieu'!V273</f>
        <v>1.8733394562204779</v>
      </c>
      <c r="D909" s="9">
        <f>'1_Du_lieu'!W273</f>
        <v>4.3307333402863311</v>
      </c>
      <c r="E909" s="9">
        <f>'1_Du_lieu'!L273</f>
        <v>5.484</v>
      </c>
      <c r="F909" s="9">
        <f>'1_Du_lieu'!M273</f>
        <v>27.98</v>
      </c>
      <c r="G909" s="9">
        <f>'1_Du_lieu'!N273</f>
        <v>27.6</v>
      </c>
      <c r="H909" s="9">
        <f>'1_Du_lieu'!X273</f>
        <v>2.7170211154674084</v>
      </c>
      <c r="I909" s="9">
        <f>'1_Du_lieu'!T273</f>
        <v>1.0283363802559415</v>
      </c>
      <c r="J909" s="9">
        <f>'1_Du_lieu'!Y273</f>
        <v>8.6293247318597643</v>
      </c>
      <c r="K909" s="5">
        <f t="shared" si="149"/>
        <v>0</v>
      </c>
      <c r="L909" s="5">
        <f t="shared" si="150"/>
        <v>0</v>
      </c>
      <c r="M909" s="5">
        <f t="shared" si="151"/>
        <v>1</v>
      </c>
      <c r="N909" s="5">
        <f t="shared" si="152"/>
        <v>0</v>
      </c>
      <c r="O909" s="5">
        <f t="shared" si="153"/>
        <v>0</v>
      </c>
      <c r="P909" s="5">
        <f t="shared" si="154"/>
        <v>0</v>
      </c>
    </row>
    <row r="910" spans="1:16" x14ac:dyDescent="0.25">
      <c r="A910" t="s">
        <v>108</v>
      </c>
      <c r="B910">
        <v>2021</v>
      </c>
      <c r="C910" s="7">
        <f>'1_Du_lieu'!V274</f>
        <v>4.0192617560977446</v>
      </c>
      <c r="D910" s="9">
        <f>'1_Du_lieu'!W274</f>
        <v>4.8543712716215905</v>
      </c>
      <c r="E910" s="9">
        <f>'1_Du_lieu'!L274</f>
        <v>21.425999999999998</v>
      </c>
      <c r="F910" s="9">
        <f>'1_Du_lieu'!M274</f>
        <v>49.16</v>
      </c>
      <c r="G910" s="9">
        <f>'1_Du_lieu'!N274</f>
        <v>50.3</v>
      </c>
      <c r="H910" s="9">
        <f>'1_Du_lieu'!X274</f>
        <v>2.721267313647274</v>
      </c>
      <c r="I910" s="9">
        <f>'1_Du_lieu'!T274</f>
        <v>1.8125510155087148</v>
      </c>
      <c r="J910" s="9">
        <f>'1_Du_lieu'!Y274</f>
        <v>8.4145401184366513</v>
      </c>
      <c r="K910" s="5">
        <f t="shared" si="149"/>
        <v>0</v>
      </c>
      <c r="L910" s="5">
        <f t="shared" si="150"/>
        <v>0</v>
      </c>
      <c r="M910" s="5">
        <f t="shared" si="151"/>
        <v>1</v>
      </c>
      <c r="N910" s="5">
        <f t="shared" si="152"/>
        <v>0</v>
      </c>
      <c r="O910" s="5">
        <f t="shared" si="153"/>
        <v>0</v>
      </c>
      <c r="P910" s="5">
        <f t="shared" si="154"/>
        <v>0</v>
      </c>
    </row>
    <row r="911" spans="1:16" x14ac:dyDescent="0.25">
      <c r="A911" t="s">
        <v>109</v>
      </c>
      <c r="B911">
        <v>2021</v>
      </c>
      <c r="C911" s="7">
        <f>'1_Du_lieu'!V275</f>
        <v>1.7509374747077999</v>
      </c>
      <c r="D911" s="9">
        <f>'1_Du_lieu'!W275</f>
        <v>4.2326561780196128</v>
      </c>
      <c r="E911" s="9">
        <f>'1_Du_lieu'!L275</f>
        <v>3.956</v>
      </c>
      <c r="F911" s="9">
        <f>'1_Du_lieu'!M275</f>
        <v>22.3</v>
      </c>
      <c r="G911" s="9">
        <f>'1_Du_lieu'!N275</f>
        <v>30.5</v>
      </c>
      <c r="H911" s="9">
        <f>'1_Du_lieu'!X275</f>
        <v>3.118856606735112</v>
      </c>
      <c r="I911" s="9">
        <f>'1_Du_lieu'!T275</f>
        <v>0.38048854729472648</v>
      </c>
      <c r="J911" s="9">
        <f>'1_Du_lieu'!Y275</f>
        <v>9.0976530809318952</v>
      </c>
      <c r="K911" s="5">
        <f t="shared" si="149"/>
        <v>0</v>
      </c>
      <c r="L911" s="5">
        <f t="shared" si="150"/>
        <v>0</v>
      </c>
      <c r="M911" s="5">
        <f t="shared" si="151"/>
        <v>1</v>
      </c>
      <c r="N911" s="5">
        <f t="shared" si="152"/>
        <v>0</v>
      </c>
      <c r="O911" s="5">
        <f t="shared" si="153"/>
        <v>0</v>
      </c>
      <c r="P911" s="5">
        <f t="shared" si="154"/>
        <v>0</v>
      </c>
    </row>
    <row r="912" spans="1:16" x14ac:dyDescent="0.25">
      <c r="A912" t="s">
        <v>110</v>
      </c>
      <c r="B912">
        <v>2021</v>
      </c>
      <c r="C912" s="7">
        <f>'1_Du_lieu'!V276</f>
        <v>1.5260563034950492</v>
      </c>
      <c r="D912" s="9">
        <f>'1_Du_lieu'!W276</f>
        <v>4.0809215418899605</v>
      </c>
      <c r="E912" s="9">
        <f>'1_Du_lieu'!L276</f>
        <v>3.05</v>
      </c>
      <c r="F912" s="9">
        <f>'1_Du_lieu'!M276</f>
        <v>23.95</v>
      </c>
      <c r="G912" s="9">
        <f>'1_Du_lieu'!N276</f>
        <v>23.6</v>
      </c>
      <c r="H912" s="9">
        <f>'1_Du_lieu'!X276</f>
        <v>2.1568555115548667</v>
      </c>
      <c r="I912" s="9">
        <f>'1_Du_lieu'!T276</f>
        <v>1.0324652976941608</v>
      </c>
      <c r="J912" s="9">
        <f>'1_Du_lieu'!Y276</f>
        <v>6.717925606697861</v>
      </c>
      <c r="K912" s="5">
        <f t="shared" si="149"/>
        <v>0</v>
      </c>
      <c r="L912" s="5">
        <f t="shared" si="150"/>
        <v>0</v>
      </c>
      <c r="M912" s="5">
        <f t="shared" si="151"/>
        <v>1</v>
      </c>
      <c r="N912" s="5">
        <f t="shared" si="152"/>
        <v>0</v>
      </c>
      <c r="O912" s="5">
        <f t="shared" si="153"/>
        <v>0</v>
      </c>
      <c r="P912" s="5">
        <f t="shared" si="154"/>
        <v>0</v>
      </c>
    </row>
    <row r="913" spans="1:16" x14ac:dyDescent="0.25">
      <c r="A913" t="s">
        <v>111</v>
      </c>
      <c r="B913">
        <v>2021</v>
      </c>
      <c r="C913" s="7">
        <f>'1_Du_lieu'!V277</f>
        <v>1.9960599327407849</v>
      </c>
      <c r="D913" s="9">
        <f>'1_Du_lieu'!W277</f>
        <v>4.4773368144782069</v>
      </c>
      <c r="E913" s="9">
        <f>'1_Du_lieu'!L277</f>
        <v>6.48</v>
      </c>
      <c r="F913" s="9">
        <f>'1_Du_lieu'!M277</f>
        <v>16.63</v>
      </c>
      <c r="G913" s="9">
        <f>'1_Du_lieu'!N277</f>
        <v>26.7</v>
      </c>
      <c r="H913" s="9">
        <f>'1_Du_lieu'!X277</f>
        <v>3.1871783524341519</v>
      </c>
      <c r="I913" s="9">
        <f>'1_Du_lieu'!T277</f>
        <v>1.8682858477347037</v>
      </c>
      <c r="J913" s="9">
        <f>'1_Du_lieu'!Y277</f>
        <v>8.4657314617916377</v>
      </c>
      <c r="K913" s="5">
        <f t="shared" si="149"/>
        <v>0</v>
      </c>
      <c r="L913" s="5">
        <f t="shared" si="150"/>
        <v>0</v>
      </c>
      <c r="M913" s="5">
        <f t="shared" si="151"/>
        <v>1</v>
      </c>
      <c r="N913" s="5">
        <f t="shared" si="152"/>
        <v>0</v>
      </c>
      <c r="O913" s="5">
        <f t="shared" si="153"/>
        <v>0</v>
      </c>
      <c r="P913" s="5">
        <f t="shared" si="154"/>
        <v>0</v>
      </c>
    </row>
    <row r="914" spans="1:16" x14ac:dyDescent="0.25">
      <c r="A914" t="s">
        <v>112</v>
      </c>
      <c r="B914">
        <v>2021</v>
      </c>
      <c r="C914" s="7">
        <f>'1_Du_lieu'!V278</f>
        <v>1.9169226121820611</v>
      </c>
      <c r="D914" s="9">
        <f>'1_Du_lieu'!W278</f>
        <v>4.3476939555933765</v>
      </c>
      <c r="E914" s="9">
        <f>'1_Du_lieu'!L278</f>
        <v>5.2279999999999998</v>
      </c>
      <c r="F914" s="9">
        <f>'1_Du_lieu'!M278</f>
        <v>31.66</v>
      </c>
      <c r="G914" s="9">
        <f>'1_Du_lieu'!N278</f>
        <v>30.4</v>
      </c>
      <c r="H914" s="9">
        <f>'1_Du_lieu'!X278</f>
        <v>2.9528574324724923</v>
      </c>
      <c r="I914" s="9">
        <f>'1_Du_lieu'!T278</f>
        <v>0.56794712928541924</v>
      </c>
      <c r="J914" s="9">
        <f>'1_Du_lieu'!Y278</f>
        <v>8.4314174143948328</v>
      </c>
      <c r="K914" s="5">
        <f t="shared" si="149"/>
        <v>0</v>
      </c>
      <c r="L914" s="5">
        <f t="shared" si="150"/>
        <v>0</v>
      </c>
      <c r="M914" s="5">
        <f t="shared" si="151"/>
        <v>1</v>
      </c>
      <c r="N914" s="5">
        <f t="shared" si="152"/>
        <v>0</v>
      </c>
      <c r="O914" s="5">
        <f t="shared" si="153"/>
        <v>0</v>
      </c>
      <c r="P914" s="5">
        <f t="shared" si="154"/>
        <v>0</v>
      </c>
    </row>
    <row r="915" spans="1:16" x14ac:dyDescent="0.25">
      <c r="A915" t="s">
        <v>113</v>
      </c>
      <c r="B915">
        <v>2021</v>
      </c>
      <c r="C915" s="7">
        <f>'1_Du_lieu'!V279</f>
        <v>2.4078456036515385</v>
      </c>
      <c r="D915" s="9">
        <f>'1_Du_lieu'!W279</f>
        <v>5.0179418692786939</v>
      </c>
      <c r="E915" s="9">
        <f>'1_Du_lieu'!L279</f>
        <v>9.5570000000000004</v>
      </c>
      <c r="F915" s="9">
        <f>'1_Du_lieu'!M279</f>
        <v>45.51</v>
      </c>
      <c r="G915" s="9">
        <f>'1_Du_lieu'!N279</f>
        <v>36</v>
      </c>
      <c r="H915" s="9">
        <f>'1_Du_lieu'!X279</f>
        <v>3.9155142980925031</v>
      </c>
      <c r="I915" s="9">
        <f>'1_Du_lieu'!T279</f>
        <v>1.7853696197645244</v>
      </c>
      <c r="J915" s="9">
        <f>'1_Du_lieu'!Y279</f>
        <v>9.3407719651828476</v>
      </c>
      <c r="K915" s="5">
        <f t="shared" si="149"/>
        <v>0</v>
      </c>
      <c r="L915" s="5">
        <f t="shared" si="150"/>
        <v>0</v>
      </c>
      <c r="M915" s="5">
        <f t="shared" si="151"/>
        <v>1</v>
      </c>
      <c r="N915" s="5">
        <f t="shared" si="152"/>
        <v>0</v>
      </c>
      <c r="O915" s="5">
        <f t="shared" si="153"/>
        <v>0</v>
      </c>
      <c r="P915" s="5">
        <f t="shared" si="154"/>
        <v>0</v>
      </c>
    </row>
    <row r="916" spans="1:16" x14ac:dyDescent="0.25">
      <c r="A916" t="s">
        <v>114</v>
      </c>
      <c r="B916">
        <v>2021</v>
      </c>
      <c r="C916" s="7">
        <f>'1_Du_lieu'!V280</f>
        <v>1.4929040961781488</v>
      </c>
      <c r="D916" s="9">
        <f>'1_Du_lieu'!W280</f>
        <v>3.9963641538618968</v>
      </c>
      <c r="E916" s="9">
        <f>'1_Du_lieu'!L280</f>
        <v>3.218</v>
      </c>
      <c r="F916" s="9">
        <f>'1_Du_lieu'!M280</f>
        <v>29.14</v>
      </c>
      <c r="G916" s="9">
        <f>'1_Du_lieu'!N280</f>
        <v>13.5</v>
      </c>
      <c r="H916" s="9">
        <f>'1_Du_lieu'!X280</f>
        <v>1.1202516034301633</v>
      </c>
      <c r="I916" s="9">
        <f>'1_Du_lieu'!T280</f>
        <v>0.68502534593779973</v>
      </c>
      <c r="J916" s="9">
        <f>'1_Du_lieu'!Y280</f>
        <v>6.8469431395853793</v>
      </c>
      <c r="K916" s="5">
        <f t="shared" si="149"/>
        <v>0</v>
      </c>
      <c r="L916" s="5">
        <f t="shared" si="150"/>
        <v>0</v>
      </c>
      <c r="M916" s="5">
        <f t="shared" si="151"/>
        <v>1</v>
      </c>
      <c r="N916" s="5">
        <f t="shared" si="152"/>
        <v>0</v>
      </c>
      <c r="O916" s="5">
        <f t="shared" si="153"/>
        <v>0</v>
      </c>
      <c r="P916" s="5">
        <f t="shared" si="154"/>
        <v>0</v>
      </c>
    </row>
    <row r="917" spans="1:16" x14ac:dyDescent="0.25">
      <c r="A917" t="s">
        <v>115</v>
      </c>
      <c r="B917">
        <v>2021</v>
      </c>
      <c r="C917" s="7">
        <f>'1_Du_lieu'!V281</f>
        <v>2.2731562823032334</v>
      </c>
      <c r="D917" s="9">
        <f>'1_Du_lieu'!W281</f>
        <v>4.1510399058986458</v>
      </c>
      <c r="E917" s="9">
        <f>'1_Du_lieu'!L281</f>
        <v>8.9290000000000003</v>
      </c>
      <c r="F917" s="9">
        <f>'1_Du_lieu'!M281</f>
        <v>42.36</v>
      </c>
      <c r="G917" s="9">
        <f>'1_Du_lieu'!N281</f>
        <v>25.6</v>
      </c>
      <c r="H917" s="9">
        <f>'1_Du_lieu'!X281</f>
        <v>2.6380438479329342</v>
      </c>
      <c r="I917" s="9">
        <f>'1_Du_lieu'!T281</f>
        <v>3.2849931896482656</v>
      </c>
      <c r="J917" s="9">
        <f>'1_Du_lieu'!Y281</f>
        <v>8.1667275015266778</v>
      </c>
      <c r="K917" s="5">
        <f t="shared" si="149"/>
        <v>0</v>
      </c>
      <c r="L917" s="5">
        <f t="shared" si="150"/>
        <v>0</v>
      </c>
      <c r="M917" s="5">
        <f t="shared" si="151"/>
        <v>1</v>
      </c>
      <c r="N917" s="5">
        <f t="shared" si="152"/>
        <v>0</v>
      </c>
      <c r="O917" s="5">
        <f t="shared" si="153"/>
        <v>0</v>
      </c>
      <c r="P917" s="5">
        <f t="shared" si="154"/>
        <v>0</v>
      </c>
    </row>
    <row r="918" spans="1:16" x14ac:dyDescent="0.25">
      <c r="A918" t="s">
        <v>116</v>
      </c>
      <c r="B918">
        <v>2021</v>
      </c>
      <c r="C918" s="7">
        <f>'1_Du_lieu'!V282</f>
        <v>1.7387102481382397</v>
      </c>
      <c r="D918" s="9">
        <f>'1_Du_lieu'!W282</f>
        <v>4.0775374439057197</v>
      </c>
      <c r="E918" s="9">
        <f>'1_Du_lieu'!L282</f>
        <v>4.6059999999999999</v>
      </c>
      <c r="F918" s="9">
        <f>'1_Du_lieu'!M282</f>
        <v>28.79</v>
      </c>
      <c r="G918" s="9">
        <f>'1_Du_lieu'!N282</f>
        <v>15.7</v>
      </c>
      <c r="H918" s="9">
        <f>'1_Du_lieu'!X282</f>
        <v>0.18575873675573884</v>
      </c>
      <c r="I918" s="9">
        <f>'1_Du_lieu'!T282</f>
        <v>3.6523426353934831</v>
      </c>
      <c r="J918" s="9">
        <f>'1_Du_lieu'!Y282</f>
        <v>7.9174999234075516</v>
      </c>
      <c r="K918" s="5">
        <f t="shared" si="149"/>
        <v>0</v>
      </c>
      <c r="L918" s="5">
        <f t="shared" si="150"/>
        <v>0</v>
      </c>
      <c r="M918" s="5">
        <f t="shared" si="151"/>
        <v>1</v>
      </c>
      <c r="N918" s="5">
        <f t="shared" si="152"/>
        <v>0</v>
      </c>
      <c r="O918" s="5">
        <f t="shared" si="153"/>
        <v>0</v>
      </c>
      <c r="P918" s="5">
        <f t="shared" si="154"/>
        <v>0</v>
      </c>
    </row>
    <row r="919" spans="1:16" x14ac:dyDescent="0.25">
      <c r="A919" t="s">
        <v>117</v>
      </c>
      <c r="B919">
        <v>2021</v>
      </c>
      <c r="C919" s="7">
        <f>'1_Du_lieu'!V283</f>
        <v>1.5040773967762742</v>
      </c>
      <c r="D919" s="9">
        <f>'1_Du_lieu'!W283</f>
        <v>3.8649313978942956</v>
      </c>
      <c r="E919" s="9">
        <f>'1_Du_lieu'!L283</f>
        <v>3.4670000000000001</v>
      </c>
      <c r="F919" s="9">
        <f>'1_Du_lieu'!M283</f>
        <v>32.58</v>
      </c>
      <c r="G919" s="9">
        <f>'1_Du_lieu'!N283</f>
        <v>18.2</v>
      </c>
      <c r="H919" s="9">
        <f>'1_Du_lieu'!X283</f>
        <v>2.391835522614858</v>
      </c>
      <c r="I919" s="9">
        <f>'1_Du_lieu'!T283</f>
        <v>0.87904360056258801</v>
      </c>
      <c r="J919" s="9">
        <f>'1_Du_lieu'!Y283</f>
        <v>6.0746561379947464</v>
      </c>
      <c r="K919" s="5">
        <f t="shared" si="149"/>
        <v>0</v>
      </c>
      <c r="L919" s="5">
        <f t="shared" si="150"/>
        <v>0</v>
      </c>
      <c r="M919" s="5">
        <f t="shared" si="151"/>
        <v>1</v>
      </c>
      <c r="N919" s="5">
        <f t="shared" si="152"/>
        <v>0</v>
      </c>
      <c r="O919" s="5">
        <f t="shared" si="153"/>
        <v>0</v>
      </c>
      <c r="P919" s="5">
        <f t="shared" si="154"/>
        <v>0</v>
      </c>
    </row>
    <row r="920" spans="1:16" x14ac:dyDescent="0.25">
      <c r="A920" t="s">
        <v>119</v>
      </c>
      <c r="B920">
        <v>2021</v>
      </c>
      <c r="C920" s="7">
        <f>'1_Du_lieu'!V285</f>
        <v>1.9906103279732201</v>
      </c>
      <c r="D920" s="9">
        <f>'1_Du_lieu'!W285</f>
        <v>4.3807758527722287</v>
      </c>
      <c r="E920" s="9">
        <f>'1_Du_lieu'!L285</f>
        <v>6.4249999999999998</v>
      </c>
      <c r="F920" s="9">
        <f>'1_Du_lieu'!M285</f>
        <v>18.34</v>
      </c>
      <c r="G920" s="9">
        <f>'1_Du_lieu'!N285</f>
        <v>15.1</v>
      </c>
      <c r="H920" s="9">
        <f>'1_Du_lieu'!X285</f>
        <v>1.2550945693432973</v>
      </c>
      <c r="I920" s="9">
        <f>'1_Du_lieu'!T285</f>
        <v>0.46355313477807392</v>
      </c>
      <c r="J920" s="9">
        <f>'1_Du_lieu'!Y285</f>
        <v>8.8694262849274654</v>
      </c>
      <c r="K920" s="5">
        <f t="shared" si="149"/>
        <v>0</v>
      </c>
      <c r="L920" s="5">
        <f t="shared" si="150"/>
        <v>0</v>
      </c>
      <c r="M920" s="5">
        <f t="shared" si="151"/>
        <v>1</v>
      </c>
      <c r="N920" s="5">
        <f t="shared" si="152"/>
        <v>0</v>
      </c>
      <c r="O920" s="5">
        <f t="shared" si="153"/>
        <v>0</v>
      </c>
      <c r="P920" s="5">
        <f t="shared" si="154"/>
        <v>0</v>
      </c>
    </row>
    <row r="921" spans="1:16" x14ac:dyDescent="0.25">
      <c r="A921" t="s">
        <v>120</v>
      </c>
      <c r="B921">
        <v>2021</v>
      </c>
      <c r="C921" s="7">
        <f>'1_Du_lieu'!V286</f>
        <v>1.6014057407368361</v>
      </c>
      <c r="D921" s="9">
        <f>'1_Du_lieu'!W286</f>
        <v>4.3094559418390466</v>
      </c>
      <c r="E921" s="9">
        <f>'1_Du_lieu'!L286</f>
        <v>4.0060000000000002</v>
      </c>
      <c r="F921" s="9">
        <f>'1_Du_lieu'!M286</f>
        <v>26.5</v>
      </c>
      <c r="G921" s="9">
        <f>'1_Du_lieu'!N286</f>
        <v>24.6</v>
      </c>
      <c r="H921" s="9">
        <f>'1_Du_lieu'!X286</f>
        <v>2.0605277435655931</v>
      </c>
      <c r="I921" s="9">
        <f>'1_Du_lieu'!T286</f>
        <v>1.3125082031762698</v>
      </c>
      <c r="J921" s="9">
        <f>'1_Du_lieu'!Y286</f>
        <v>6.6407904481190778</v>
      </c>
      <c r="K921" s="5">
        <f t="shared" si="149"/>
        <v>0</v>
      </c>
      <c r="L921" s="5">
        <f t="shared" si="150"/>
        <v>0</v>
      </c>
      <c r="M921" s="5">
        <f t="shared" si="151"/>
        <v>1</v>
      </c>
      <c r="N921" s="5">
        <f t="shared" si="152"/>
        <v>0</v>
      </c>
      <c r="O921" s="5">
        <f t="shared" si="153"/>
        <v>0</v>
      </c>
      <c r="P921" s="5">
        <f t="shared" si="154"/>
        <v>0</v>
      </c>
    </row>
    <row r="922" spans="1:16" x14ac:dyDescent="0.25">
      <c r="A922" t="s">
        <v>121</v>
      </c>
      <c r="B922">
        <v>2021</v>
      </c>
      <c r="C922" s="7">
        <f>'1_Du_lieu'!V287</f>
        <v>1.8946168546677629</v>
      </c>
      <c r="D922" s="9">
        <f>'1_Du_lieu'!W287</f>
        <v>4.2046926193909657</v>
      </c>
      <c r="E922" s="9">
        <f>'1_Du_lieu'!L287</f>
        <v>5.5830000000000002</v>
      </c>
      <c r="F922" s="9">
        <f>'1_Du_lieu'!M287</f>
        <v>39.270000000000003</v>
      </c>
      <c r="G922" s="9">
        <f>'1_Du_lieu'!N287</f>
        <v>20.5</v>
      </c>
      <c r="H922" s="9">
        <f>'1_Du_lieu'!X287</f>
        <v>2.5688521867361809</v>
      </c>
      <c r="I922" s="9">
        <f>'1_Du_lieu'!T287</f>
        <v>0.45389212497163173</v>
      </c>
      <c r="J922" s="9">
        <f>'1_Du_lieu'!Y287</f>
        <v>5.9967008139032281</v>
      </c>
      <c r="K922" s="5">
        <f t="shared" si="149"/>
        <v>0</v>
      </c>
      <c r="L922" s="5">
        <f t="shared" si="150"/>
        <v>0</v>
      </c>
      <c r="M922" s="5">
        <f t="shared" si="151"/>
        <v>1</v>
      </c>
      <c r="N922" s="5">
        <f t="shared" si="152"/>
        <v>0</v>
      </c>
      <c r="O922" s="5">
        <f t="shared" si="153"/>
        <v>0</v>
      </c>
      <c r="P922" s="5">
        <f t="shared" si="154"/>
        <v>0</v>
      </c>
    </row>
    <row r="923" spans="1:16" x14ac:dyDescent="0.25">
      <c r="A923" t="s">
        <v>122</v>
      </c>
      <c r="B923">
        <v>2021</v>
      </c>
      <c r="C923" s="7">
        <f>'1_Du_lieu'!V288</f>
        <v>1.43746264769429</v>
      </c>
      <c r="D923" s="9">
        <f>'1_Du_lieu'!W288</f>
        <v>3.8543938925915096</v>
      </c>
      <c r="E923" s="9">
        <f>'1_Du_lieu'!L288</f>
        <v>2.786</v>
      </c>
      <c r="F923" s="9">
        <f>'1_Du_lieu'!M288</f>
        <v>23.08</v>
      </c>
      <c r="G923" s="9">
        <f>'1_Du_lieu'!N288</f>
        <v>27.8</v>
      </c>
      <c r="H923" s="9">
        <f>'1_Du_lieu'!X288</f>
        <v>1.8667991908086079</v>
      </c>
      <c r="I923" s="9">
        <f>'1_Du_lieu'!T288</f>
        <v>0.62743129627305805</v>
      </c>
      <c r="J923" s="9">
        <f>'1_Du_lieu'!Y288</f>
        <v>5.7127422160276726</v>
      </c>
      <c r="K923" s="5">
        <f t="shared" si="149"/>
        <v>0</v>
      </c>
      <c r="L923" s="5">
        <f t="shared" si="150"/>
        <v>0</v>
      </c>
      <c r="M923" s="5">
        <f t="shared" si="151"/>
        <v>1</v>
      </c>
      <c r="N923" s="5">
        <f t="shared" si="152"/>
        <v>0</v>
      </c>
      <c r="O923" s="5">
        <f t="shared" si="153"/>
        <v>0</v>
      </c>
      <c r="P923" s="5">
        <f t="shared" si="154"/>
        <v>0</v>
      </c>
    </row>
    <row r="924" spans="1:16" x14ac:dyDescent="0.25">
      <c r="A924" t="s">
        <v>123</v>
      </c>
      <c r="B924">
        <v>2021</v>
      </c>
      <c r="C924" s="7">
        <f>'1_Du_lieu'!V289</f>
        <v>1.9065751436566365</v>
      </c>
      <c r="D924" s="9">
        <f>'1_Du_lieu'!W289</f>
        <v>3.7954891891721947</v>
      </c>
      <c r="E924" s="9">
        <f>'1_Du_lieu'!L289</f>
        <v>3.5150000000000001</v>
      </c>
      <c r="F924" s="9">
        <f>'1_Du_lieu'!M289</f>
        <v>20.239999999999998</v>
      </c>
      <c r="G924" s="9">
        <f>'1_Du_lieu'!N289</f>
        <v>22</v>
      </c>
      <c r="H924" s="9">
        <f>'1_Du_lieu'!X289</f>
        <v>1.9256821973494891</v>
      </c>
      <c r="I924" s="9">
        <f>'1_Du_lieu'!T289</f>
        <v>0.98023198823721613</v>
      </c>
      <c r="J924" s="9">
        <f>'1_Du_lieu'!Y289</f>
        <v>7.5979480997156461</v>
      </c>
      <c r="K924" s="5">
        <f t="shared" si="149"/>
        <v>0</v>
      </c>
      <c r="L924" s="5">
        <f t="shared" si="150"/>
        <v>0</v>
      </c>
      <c r="M924" s="5">
        <f t="shared" si="151"/>
        <v>1</v>
      </c>
      <c r="N924" s="5">
        <f t="shared" si="152"/>
        <v>0</v>
      </c>
      <c r="O924" s="5">
        <f t="shared" si="153"/>
        <v>0</v>
      </c>
      <c r="P924" s="5">
        <f t="shared" si="154"/>
        <v>0</v>
      </c>
    </row>
    <row r="925" spans="1:16" x14ac:dyDescent="0.25">
      <c r="A925" t="s">
        <v>124</v>
      </c>
      <c r="B925">
        <v>2021</v>
      </c>
      <c r="C925" s="7">
        <f>'1_Du_lieu'!V290</f>
        <v>1.9021075263969205</v>
      </c>
      <c r="D925" s="9">
        <f>'1_Du_lieu'!W290</f>
        <v>3.8329797980876932</v>
      </c>
      <c r="E925" s="9">
        <f>'1_Du_lieu'!L290</f>
        <v>3.641</v>
      </c>
      <c r="F925" s="9">
        <f>'1_Du_lieu'!M290</f>
        <v>15.53</v>
      </c>
      <c r="G925" s="9">
        <f>'1_Du_lieu'!N290</f>
        <v>23.4</v>
      </c>
      <c r="H925" s="9">
        <f>'1_Du_lieu'!X290</f>
        <v>3.5961360693583755</v>
      </c>
      <c r="I925" s="9">
        <f>'1_Du_lieu'!T290</f>
        <v>3.0500322599565957</v>
      </c>
      <c r="J925" s="9">
        <f>'1_Du_lieu'!Y290</f>
        <v>6.3645786249984866</v>
      </c>
      <c r="K925" s="5">
        <f t="shared" si="149"/>
        <v>0</v>
      </c>
      <c r="L925" s="5">
        <f t="shared" si="150"/>
        <v>0</v>
      </c>
      <c r="M925" s="5">
        <f t="shared" si="151"/>
        <v>1</v>
      </c>
      <c r="N925" s="5">
        <f t="shared" si="152"/>
        <v>0</v>
      </c>
      <c r="O925" s="5">
        <f t="shared" si="153"/>
        <v>0</v>
      </c>
      <c r="P925" s="5">
        <f t="shared" si="154"/>
        <v>0</v>
      </c>
    </row>
    <row r="926" spans="1:16" x14ac:dyDescent="0.25">
      <c r="A926" t="s">
        <v>125</v>
      </c>
      <c r="B926">
        <v>2021</v>
      </c>
      <c r="C926" s="7">
        <f>'1_Du_lieu'!V291</f>
        <v>1.8421356765531218</v>
      </c>
      <c r="D926" s="9">
        <f>'1_Du_lieu'!W291</f>
        <v>4.2584455729025272</v>
      </c>
      <c r="E926" s="9">
        <f>'1_Du_lieu'!L291</f>
        <v>4.7089999999999996</v>
      </c>
      <c r="F926" s="9">
        <f>'1_Du_lieu'!M291</f>
        <v>21.49</v>
      </c>
      <c r="G926" s="9">
        <f>'1_Du_lieu'!N291</f>
        <v>31.7</v>
      </c>
      <c r="H926" s="9">
        <f>'1_Du_lieu'!X291</f>
        <v>3.2896017445069567</v>
      </c>
      <c r="I926" s="9">
        <f>'1_Du_lieu'!T291</f>
        <v>4.1683207622072249</v>
      </c>
      <c r="J926" s="9">
        <f>'1_Du_lieu'!Y291</f>
        <v>7.3622010093119234</v>
      </c>
      <c r="K926" s="5">
        <f t="shared" si="149"/>
        <v>0</v>
      </c>
      <c r="L926" s="5">
        <f t="shared" si="150"/>
        <v>0</v>
      </c>
      <c r="M926" s="5">
        <f t="shared" si="151"/>
        <v>1</v>
      </c>
      <c r="N926" s="5">
        <f t="shared" si="152"/>
        <v>0</v>
      </c>
      <c r="O926" s="5">
        <f t="shared" si="153"/>
        <v>0</v>
      </c>
      <c r="P926" s="5">
        <f t="shared" si="154"/>
        <v>0</v>
      </c>
    </row>
    <row r="927" spans="1:16" x14ac:dyDescent="0.25">
      <c r="A927" t="s">
        <v>126</v>
      </c>
      <c r="B927">
        <v>2021</v>
      </c>
      <c r="C927" s="7">
        <f>'1_Du_lieu'!V292</f>
        <v>1.6601310267496185</v>
      </c>
      <c r="D927" s="9">
        <f>'1_Du_lieu'!W292</f>
        <v>4.2442003177664782</v>
      </c>
      <c r="E927" s="9">
        <f>'1_Du_lieu'!L292</f>
        <v>4.72</v>
      </c>
      <c r="F927" s="9">
        <f>'1_Du_lieu'!M292</f>
        <v>35.4</v>
      </c>
      <c r="G927" s="9">
        <f>'1_Du_lieu'!N292</f>
        <v>18.8</v>
      </c>
      <c r="H927" s="9">
        <f>'1_Du_lieu'!X292</f>
        <v>2.1183153309552241</v>
      </c>
      <c r="I927" s="9">
        <f>'1_Du_lieu'!T292</f>
        <v>1.3422818791946309</v>
      </c>
      <c r="J927" s="9">
        <f>'1_Du_lieu'!Y292</f>
        <v>7.9727418400005865</v>
      </c>
      <c r="K927" s="5">
        <f t="shared" si="149"/>
        <v>0</v>
      </c>
      <c r="L927" s="5">
        <f t="shared" si="150"/>
        <v>0</v>
      </c>
      <c r="M927" s="5">
        <f t="shared" si="151"/>
        <v>1</v>
      </c>
      <c r="N927" s="5">
        <f t="shared" si="152"/>
        <v>0</v>
      </c>
      <c r="O927" s="5">
        <f t="shared" si="153"/>
        <v>0</v>
      </c>
      <c r="P927" s="5">
        <f t="shared" si="154"/>
        <v>0</v>
      </c>
    </row>
    <row r="928" spans="1:16" x14ac:dyDescent="0.25">
      <c r="A928" t="s">
        <v>127</v>
      </c>
      <c r="B928">
        <v>2021</v>
      </c>
      <c r="C928" s="7">
        <f>'1_Du_lieu'!V293</f>
        <v>1.6639260977181702</v>
      </c>
      <c r="D928" s="9">
        <f>'1_Du_lieu'!W293</f>
        <v>3.9889840465642745</v>
      </c>
      <c r="E928" s="9">
        <f>'1_Du_lieu'!L293</f>
        <v>3.706</v>
      </c>
      <c r="F928" s="9">
        <f>'1_Du_lieu'!M293</f>
        <v>19.100000000000001</v>
      </c>
      <c r="G928" s="9">
        <f>'1_Du_lieu'!N293</f>
        <v>34.6</v>
      </c>
      <c r="H928" s="9">
        <f>'1_Du_lieu'!X293</f>
        <v>2.9197104926673556</v>
      </c>
      <c r="I928" s="9">
        <f>'1_Du_lieu'!T293</f>
        <v>1.2603648424543947</v>
      </c>
      <c r="J928" s="9">
        <f>'1_Du_lieu'!Y293</f>
        <v>7.4587050538322819</v>
      </c>
      <c r="K928" s="5">
        <f t="shared" ref="K928:K991" si="155">IF(B928=2019,1,0)</f>
        <v>0</v>
      </c>
      <c r="L928" s="5">
        <f t="shared" ref="L928:L991" si="156">IF(B928=2020,1,0)</f>
        <v>0</v>
      </c>
      <c r="M928" s="5">
        <f t="shared" ref="M928:M991" si="157">IF(B928=2021,1,0)</f>
        <v>1</v>
      </c>
      <c r="N928" s="5">
        <f t="shared" ref="N928:N991" si="158">IF(B928=2022,1,0)</f>
        <v>0</v>
      </c>
      <c r="O928" s="5">
        <f t="shared" ref="O928:O991" si="159">IF(B928=2023,1,0)</f>
        <v>0</v>
      </c>
      <c r="P928" s="5">
        <f t="shared" ref="P928:P991" si="160">IF(B928=2024,1,0)</f>
        <v>0</v>
      </c>
    </row>
    <row r="929" spans="1:16" x14ac:dyDescent="0.25">
      <c r="A929" t="s">
        <v>128</v>
      </c>
      <c r="B929">
        <v>2021</v>
      </c>
      <c r="C929" s="7">
        <f>'1_Du_lieu'!V294</f>
        <v>1.6094379124341003</v>
      </c>
      <c r="D929" s="9">
        <f>'1_Du_lieu'!W294</f>
        <v>3.9415818076696905</v>
      </c>
      <c r="E929" s="9">
        <f>'1_Du_lieu'!L294</f>
        <v>3.5270000000000001</v>
      </c>
      <c r="F929" s="9">
        <f>'1_Du_lieu'!M294</f>
        <v>32.700000000000003</v>
      </c>
      <c r="G929" s="9">
        <f>'1_Du_lieu'!N294</f>
        <v>21.6</v>
      </c>
      <c r="H929" s="9">
        <f>'1_Du_lieu'!X294</f>
        <v>2.4054776886278812</v>
      </c>
      <c r="I929" s="9">
        <f>'1_Du_lieu'!T294</f>
        <v>0.45688178183894917</v>
      </c>
      <c r="J929" s="9">
        <f>'1_Du_lieu'!Y294</f>
        <v>7.7521202712847028</v>
      </c>
      <c r="K929" s="5">
        <f t="shared" si="155"/>
        <v>0</v>
      </c>
      <c r="L929" s="5">
        <f t="shared" si="156"/>
        <v>0</v>
      </c>
      <c r="M929" s="5">
        <f t="shared" si="157"/>
        <v>1</v>
      </c>
      <c r="N929" s="5">
        <f t="shared" si="158"/>
        <v>0</v>
      </c>
      <c r="O929" s="5">
        <f t="shared" si="159"/>
        <v>0</v>
      </c>
      <c r="P929" s="5">
        <f t="shared" si="160"/>
        <v>0</v>
      </c>
    </row>
    <row r="930" spans="1:16" x14ac:dyDescent="0.25">
      <c r="A930" t="s">
        <v>129</v>
      </c>
      <c r="B930">
        <v>2021</v>
      </c>
      <c r="C930" s="7">
        <f>'1_Du_lieu'!V295</f>
        <v>1.6714733033535532</v>
      </c>
      <c r="D930" s="9">
        <f>'1_Du_lieu'!W295</f>
        <v>3.8979240810486444</v>
      </c>
      <c r="E930" s="9">
        <f>'1_Du_lieu'!L295</f>
        <v>5.1980000000000004</v>
      </c>
      <c r="F930" s="9">
        <f>'1_Du_lieu'!M295</f>
        <v>23.07</v>
      </c>
      <c r="G930" s="9">
        <f>'1_Du_lieu'!N295</f>
        <v>26.5</v>
      </c>
      <c r="H930" s="9">
        <f>'1_Du_lieu'!X295</f>
        <v>3.2920270892288088</v>
      </c>
      <c r="I930" s="9">
        <f>'1_Du_lieu'!T295</f>
        <v>0.87844515208081697</v>
      </c>
      <c r="J930" s="9">
        <f>'1_Du_lieu'!Y295</f>
        <v>7.1121644322400961</v>
      </c>
      <c r="K930" s="5">
        <f t="shared" si="155"/>
        <v>0</v>
      </c>
      <c r="L930" s="5">
        <f t="shared" si="156"/>
        <v>0</v>
      </c>
      <c r="M930" s="5">
        <f t="shared" si="157"/>
        <v>1</v>
      </c>
      <c r="N930" s="5">
        <f t="shared" si="158"/>
        <v>0</v>
      </c>
      <c r="O930" s="5">
        <f t="shared" si="159"/>
        <v>0</v>
      </c>
      <c r="P930" s="5">
        <f t="shared" si="160"/>
        <v>0</v>
      </c>
    </row>
    <row r="931" spans="1:16" x14ac:dyDescent="0.25">
      <c r="A931" t="s">
        <v>130</v>
      </c>
      <c r="B931">
        <v>2021</v>
      </c>
      <c r="C931" s="7">
        <f>'1_Du_lieu'!V296</f>
        <v>1.8325814637483102</v>
      </c>
      <c r="D931" s="9">
        <f>'1_Du_lieu'!W296</f>
        <v>4.2456340097683265</v>
      </c>
      <c r="E931" s="9">
        <f>'1_Du_lieu'!L296</f>
        <v>5.2060000000000004</v>
      </c>
      <c r="F931" s="9">
        <f>'1_Du_lieu'!M296</f>
        <v>26.43</v>
      </c>
      <c r="G931" s="9">
        <f>'1_Du_lieu'!N296</f>
        <v>26.6</v>
      </c>
      <c r="H931" s="9">
        <f>'1_Du_lieu'!X296</f>
        <v>2.2978653786368319</v>
      </c>
      <c r="I931" s="9">
        <f>'1_Du_lieu'!T296</f>
        <v>0.26341784655910438</v>
      </c>
      <c r="J931" s="9">
        <f>'1_Du_lieu'!Y296</f>
        <v>8.29172193309285</v>
      </c>
      <c r="K931" s="5">
        <f t="shared" si="155"/>
        <v>0</v>
      </c>
      <c r="L931" s="5">
        <f t="shared" si="156"/>
        <v>0</v>
      </c>
      <c r="M931" s="5">
        <f t="shared" si="157"/>
        <v>1</v>
      </c>
      <c r="N931" s="5">
        <f t="shared" si="158"/>
        <v>0</v>
      </c>
      <c r="O931" s="5">
        <f t="shared" si="159"/>
        <v>0</v>
      </c>
      <c r="P931" s="5">
        <f t="shared" si="160"/>
        <v>0</v>
      </c>
    </row>
    <row r="932" spans="1:16" x14ac:dyDescent="0.25">
      <c r="A932" t="s">
        <v>131</v>
      </c>
      <c r="B932">
        <v>2021</v>
      </c>
      <c r="C932" s="7">
        <f>'1_Du_lieu'!V297</f>
        <v>1.7101878155342434</v>
      </c>
      <c r="D932" s="9">
        <f>'1_Du_lieu'!W297</f>
        <v>4.4006030202468169</v>
      </c>
      <c r="E932" s="9">
        <f>'1_Du_lieu'!L297</f>
        <v>4.3529999999999998</v>
      </c>
      <c r="F932" s="9">
        <f>'1_Du_lieu'!M297</f>
        <v>21.12</v>
      </c>
      <c r="G932" s="9">
        <f>'1_Du_lieu'!N297</f>
        <v>26.1</v>
      </c>
      <c r="H932" s="9">
        <f>'1_Du_lieu'!X297</f>
        <v>2.0659680114008911</v>
      </c>
      <c r="I932" s="9">
        <f>'1_Du_lieu'!T297</f>
        <v>0.80379390724218314</v>
      </c>
      <c r="J932" s="9">
        <f>'1_Du_lieu'!Y297</f>
        <v>7.3976840770351426</v>
      </c>
      <c r="K932" s="5">
        <f t="shared" si="155"/>
        <v>0</v>
      </c>
      <c r="L932" s="5">
        <f t="shared" si="156"/>
        <v>0</v>
      </c>
      <c r="M932" s="5">
        <f t="shared" si="157"/>
        <v>1</v>
      </c>
      <c r="N932" s="5">
        <f t="shared" si="158"/>
        <v>0</v>
      </c>
      <c r="O932" s="5">
        <f t="shared" si="159"/>
        <v>0</v>
      </c>
      <c r="P932" s="5">
        <f t="shared" si="160"/>
        <v>0</v>
      </c>
    </row>
    <row r="933" spans="1:16" x14ac:dyDescent="0.25">
      <c r="A933" t="s">
        <v>132</v>
      </c>
      <c r="B933">
        <v>2021</v>
      </c>
      <c r="C933" s="7">
        <f>'1_Du_lieu'!V298</f>
        <v>2.0819384218784229</v>
      </c>
      <c r="D933" s="9">
        <f>'1_Du_lieu'!W298</f>
        <v>5.136974216139274</v>
      </c>
      <c r="E933" s="9">
        <f>'1_Du_lieu'!L298</f>
        <v>7.0090000000000003</v>
      </c>
      <c r="F933" s="9">
        <f>'1_Du_lieu'!M298</f>
        <v>67.36</v>
      </c>
      <c r="G933" s="9">
        <f>'1_Du_lieu'!N298</f>
        <v>41.4</v>
      </c>
      <c r="H933" s="9">
        <f>'1_Du_lieu'!X298</f>
        <v>3.5549651462729521</v>
      </c>
      <c r="I933" s="9">
        <f>'1_Du_lieu'!T298</f>
        <v>2.517026946994374</v>
      </c>
      <c r="J933" s="9">
        <f>'1_Du_lieu'!Y298</f>
        <v>8.6803998843505106</v>
      </c>
      <c r="K933" s="5">
        <f t="shared" si="155"/>
        <v>0</v>
      </c>
      <c r="L933" s="5">
        <f t="shared" si="156"/>
        <v>0</v>
      </c>
      <c r="M933" s="5">
        <f t="shared" si="157"/>
        <v>1</v>
      </c>
      <c r="N933" s="5">
        <f t="shared" si="158"/>
        <v>0</v>
      </c>
      <c r="O933" s="5">
        <f t="shared" si="159"/>
        <v>0</v>
      </c>
      <c r="P933" s="5">
        <f t="shared" si="160"/>
        <v>0</v>
      </c>
    </row>
    <row r="934" spans="1:16" x14ac:dyDescent="0.25">
      <c r="A934" t="s">
        <v>133</v>
      </c>
      <c r="B934">
        <v>2021</v>
      </c>
      <c r="C934" s="7">
        <f>'1_Du_lieu'!V299</f>
        <v>1.6863989535702288</v>
      </c>
      <c r="D934" s="9">
        <f>'1_Du_lieu'!W299</f>
        <v>4.0587173845789497</v>
      </c>
      <c r="E934" s="9">
        <f>'1_Du_lieu'!L299</f>
        <v>4.7220000000000004</v>
      </c>
      <c r="F934" s="9">
        <f>'1_Du_lieu'!M299</f>
        <v>32.57</v>
      </c>
      <c r="G934" s="9">
        <f>'1_Du_lieu'!N299</f>
        <v>27.7</v>
      </c>
      <c r="H934" s="9">
        <f>'1_Du_lieu'!X299</f>
        <v>2.8465361105571962</v>
      </c>
      <c r="I934" s="9">
        <f>'1_Du_lieu'!T299</f>
        <v>3.3961099104661931</v>
      </c>
      <c r="J934" s="9">
        <f>'1_Du_lieu'!Y299</f>
        <v>8.2691420043958423</v>
      </c>
      <c r="K934" s="5">
        <f t="shared" si="155"/>
        <v>0</v>
      </c>
      <c r="L934" s="5">
        <f t="shared" si="156"/>
        <v>0</v>
      </c>
      <c r="M934" s="5">
        <f t="shared" si="157"/>
        <v>1</v>
      </c>
      <c r="N934" s="5">
        <f t="shared" si="158"/>
        <v>0</v>
      </c>
      <c r="O934" s="5">
        <f t="shared" si="159"/>
        <v>0</v>
      </c>
      <c r="P934" s="5">
        <f t="shared" si="160"/>
        <v>0</v>
      </c>
    </row>
    <row r="935" spans="1:16" x14ac:dyDescent="0.25">
      <c r="A935" t="s">
        <v>136</v>
      </c>
      <c r="B935">
        <v>2021</v>
      </c>
      <c r="C935" s="7">
        <f>'1_Du_lieu'!V302</f>
        <v>4.2140516715868488</v>
      </c>
      <c r="D935" s="9">
        <f>'1_Du_lieu'!W302</f>
        <v>4.9836066217083363</v>
      </c>
      <c r="E935" s="9">
        <f>'1_Du_lieu'!L302</f>
        <v>29.286999999999999</v>
      </c>
      <c r="F935" s="9">
        <f>'1_Du_lieu'!M302</f>
        <v>78.98</v>
      </c>
      <c r="G935" s="9">
        <f>'1_Du_lieu'!N302</f>
        <v>35.6</v>
      </c>
      <c r="H935" s="9">
        <f>'1_Du_lieu'!X302</f>
        <v>2.4792900787168963</v>
      </c>
      <c r="I935" s="9">
        <f>'1_Du_lieu'!T302</f>
        <v>3.0872278221407692</v>
      </c>
      <c r="J935" s="9">
        <f>'1_Du_lieu'!Y302</f>
        <v>8.661154997655558</v>
      </c>
      <c r="K935" s="5">
        <f t="shared" si="155"/>
        <v>0</v>
      </c>
      <c r="L935" s="5">
        <f t="shared" si="156"/>
        <v>0</v>
      </c>
      <c r="M935" s="5">
        <f t="shared" si="157"/>
        <v>1</v>
      </c>
      <c r="N935" s="5">
        <f t="shared" si="158"/>
        <v>0</v>
      </c>
      <c r="O935" s="5">
        <f t="shared" si="159"/>
        <v>0</v>
      </c>
      <c r="P935" s="5">
        <f t="shared" si="160"/>
        <v>0</v>
      </c>
    </row>
    <row r="936" spans="1:16" x14ac:dyDescent="0.25">
      <c r="A936" t="s">
        <v>137</v>
      </c>
      <c r="B936">
        <v>2021</v>
      </c>
      <c r="C936" s="7">
        <f>'1_Du_lieu'!V303</f>
        <v>1.9169226121820611</v>
      </c>
      <c r="D936" s="9">
        <f>'1_Du_lieu'!W303</f>
        <v>4.0535225677018456</v>
      </c>
      <c r="E936" s="9">
        <f>'1_Du_lieu'!L303</f>
        <v>3.7909999999999999</v>
      </c>
      <c r="F936" s="9">
        <f>'1_Du_lieu'!M303</f>
        <v>26.73</v>
      </c>
      <c r="G936" s="9">
        <f>'1_Du_lieu'!N303</f>
        <v>25.1</v>
      </c>
      <c r="H936" s="9">
        <f>'1_Du_lieu'!X303</f>
        <v>2.6355589746238302</v>
      </c>
      <c r="I936" s="9">
        <f>'1_Du_lieu'!T303</f>
        <v>0.80723280594123348</v>
      </c>
      <c r="J936" s="9">
        <f>'1_Du_lieu'!Y303</f>
        <v>8.2841508079227797</v>
      </c>
      <c r="K936" s="5">
        <f t="shared" si="155"/>
        <v>0</v>
      </c>
      <c r="L936" s="5">
        <f t="shared" si="156"/>
        <v>0</v>
      </c>
      <c r="M936" s="5">
        <f t="shared" si="157"/>
        <v>1</v>
      </c>
      <c r="N936" s="5">
        <f t="shared" si="158"/>
        <v>0</v>
      </c>
      <c r="O936" s="5">
        <f t="shared" si="159"/>
        <v>0</v>
      </c>
      <c r="P936" s="5">
        <f t="shared" si="160"/>
        <v>0</v>
      </c>
    </row>
    <row r="937" spans="1:16" x14ac:dyDescent="0.25">
      <c r="A937" t="s">
        <v>138</v>
      </c>
      <c r="B937">
        <v>2021</v>
      </c>
      <c r="C937" s="7">
        <f>'1_Du_lieu'!V304</f>
        <v>1.7011051009599243</v>
      </c>
      <c r="D937" s="9">
        <f>'1_Du_lieu'!W304</f>
        <v>3.9435216724875173</v>
      </c>
      <c r="E937" s="9">
        <f>'1_Du_lieu'!L304</f>
        <v>2.9249999999999998</v>
      </c>
      <c r="F937" s="9">
        <f>'1_Du_lieu'!M304</f>
        <v>11.75</v>
      </c>
      <c r="G937" s="9">
        <f>'1_Du_lieu'!N304</f>
        <v>19.3</v>
      </c>
      <c r="H937" s="9">
        <f>'1_Du_lieu'!X304</f>
        <v>1.5029204939427558</v>
      </c>
      <c r="I937" s="9">
        <f>'1_Du_lieu'!T304</f>
        <v>0.85383424942633013</v>
      </c>
      <c r="J937" s="9">
        <f>'1_Du_lieu'!Y304</f>
        <v>6.616868075581408</v>
      </c>
      <c r="K937" s="5">
        <f t="shared" si="155"/>
        <v>0</v>
      </c>
      <c r="L937" s="5">
        <f t="shared" si="156"/>
        <v>0</v>
      </c>
      <c r="M937" s="5">
        <f t="shared" si="157"/>
        <v>1</v>
      </c>
      <c r="N937" s="5">
        <f t="shared" si="158"/>
        <v>0</v>
      </c>
      <c r="O937" s="5">
        <f t="shared" si="159"/>
        <v>0</v>
      </c>
      <c r="P937" s="5">
        <f t="shared" si="160"/>
        <v>0</v>
      </c>
    </row>
    <row r="938" spans="1:16" x14ac:dyDescent="0.25">
      <c r="A938" t="s">
        <v>139</v>
      </c>
      <c r="B938">
        <v>2021</v>
      </c>
      <c r="C938" s="7">
        <f>'1_Du_lieu'!V305</f>
        <v>1.8531680973566984</v>
      </c>
      <c r="D938" s="9">
        <f>'1_Du_lieu'!W305</f>
        <v>4.6051701859880918</v>
      </c>
      <c r="E938" s="9">
        <f>'1_Du_lieu'!L305</f>
        <v>3.9049999999999998</v>
      </c>
      <c r="F938" s="9">
        <f>'1_Du_lieu'!M305</f>
        <v>32.14</v>
      </c>
      <c r="G938" s="9">
        <f>'1_Du_lieu'!N305</f>
        <v>35.4</v>
      </c>
      <c r="H938" s="9">
        <f>'1_Du_lieu'!X305</f>
        <v>3.5295695036265586</v>
      </c>
      <c r="I938" s="9">
        <f>'1_Du_lieu'!T305</f>
        <v>1.7382103990326481</v>
      </c>
      <c r="J938" s="9">
        <f>'1_Du_lieu'!Y305</f>
        <v>8.9143976070946085</v>
      </c>
      <c r="K938" s="5">
        <f t="shared" si="155"/>
        <v>0</v>
      </c>
      <c r="L938" s="5">
        <f t="shared" si="156"/>
        <v>0</v>
      </c>
      <c r="M938" s="5">
        <f t="shared" si="157"/>
        <v>1</v>
      </c>
      <c r="N938" s="5">
        <f t="shared" si="158"/>
        <v>0</v>
      </c>
      <c r="O938" s="5">
        <f t="shared" si="159"/>
        <v>0</v>
      </c>
      <c r="P938" s="5">
        <f t="shared" si="160"/>
        <v>0</v>
      </c>
    </row>
    <row r="939" spans="1:16" x14ac:dyDescent="0.25">
      <c r="A939" t="s">
        <v>141</v>
      </c>
      <c r="B939">
        <v>2021</v>
      </c>
      <c r="C939" s="7">
        <f>'1_Du_lieu'!V307</f>
        <v>1.6789639750827108</v>
      </c>
      <c r="D939" s="9">
        <f>'1_Du_lieu'!W307</f>
        <v>4.0217738693872649</v>
      </c>
      <c r="E939" s="9">
        <f>'1_Du_lieu'!L307</f>
        <v>2.8439999999999999</v>
      </c>
      <c r="F939" s="9">
        <f>'1_Du_lieu'!M307</f>
        <v>14.25</v>
      </c>
      <c r="G939" s="9">
        <f>'1_Du_lieu'!N307</f>
        <v>13.8</v>
      </c>
      <c r="H939" s="9">
        <f>'1_Du_lieu'!X307</f>
        <v>0.31813692452630776</v>
      </c>
      <c r="I939" s="9">
        <f>'1_Du_lieu'!T307</f>
        <v>0.73058334269978642</v>
      </c>
      <c r="J939" s="9">
        <f>'1_Du_lieu'!Y307</f>
        <v>7.3916001744163529</v>
      </c>
      <c r="K939" s="5">
        <f t="shared" si="155"/>
        <v>0</v>
      </c>
      <c r="L939" s="5">
        <f t="shared" si="156"/>
        <v>0</v>
      </c>
      <c r="M939" s="5">
        <f t="shared" si="157"/>
        <v>1</v>
      </c>
      <c r="N939" s="5">
        <f t="shared" si="158"/>
        <v>0</v>
      </c>
      <c r="O939" s="5">
        <f t="shared" si="159"/>
        <v>0</v>
      </c>
      <c r="P939" s="5">
        <f t="shared" si="160"/>
        <v>0</v>
      </c>
    </row>
    <row r="940" spans="1:16" x14ac:dyDescent="0.25">
      <c r="A940" t="s">
        <v>142</v>
      </c>
      <c r="B940">
        <v>2021</v>
      </c>
      <c r="C940" s="7">
        <f>'1_Du_lieu'!V308</f>
        <v>1.4770487243883548</v>
      </c>
      <c r="D940" s="9">
        <f>'1_Du_lieu'!W308</f>
        <v>4.1447207695471677</v>
      </c>
      <c r="E940" s="9">
        <f>'1_Du_lieu'!L308</f>
        <v>2.3919999999999999</v>
      </c>
      <c r="F940" s="9">
        <f>'1_Du_lieu'!M308</f>
        <v>17.510000000000002</v>
      </c>
      <c r="G940" s="9">
        <f>'1_Du_lieu'!N308</f>
        <v>10.8</v>
      </c>
      <c r="H940" s="9">
        <f>'1_Du_lieu'!X308</f>
        <v>1.0020414153154515</v>
      </c>
      <c r="I940" s="9">
        <f>'1_Du_lieu'!T308</f>
        <v>0.8835656783820931</v>
      </c>
      <c r="J940" s="9">
        <f>'1_Du_lieu'!Y308</f>
        <v>8.0968783700577376</v>
      </c>
      <c r="K940" s="5">
        <f t="shared" si="155"/>
        <v>0</v>
      </c>
      <c r="L940" s="5">
        <f t="shared" si="156"/>
        <v>0</v>
      </c>
      <c r="M940" s="5">
        <f t="shared" si="157"/>
        <v>1</v>
      </c>
      <c r="N940" s="5">
        <f t="shared" si="158"/>
        <v>0</v>
      </c>
      <c r="O940" s="5">
        <f t="shared" si="159"/>
        <v>0</v>
      </c>
      <c r="P940" s="5">
        <f t="shared" si="160"/>
        <v>0</v>
      </c>
    </row>
    <row r="941" spans="1:16" x14ac:dyDescent="0.25">
      <c r="A941" t="s">
        <v>143</v>
      </c>
      <c r="B941">
        <v>2021</v>
      </c>
      <c r="C941" s="7">
        <f>'1_Du_lieu'!V309</f>
        <v>1.3862943611198906</v>
      </c>
      <c r="D941" s="9">
        <f>'1_Du_lieu'!W309</f>
        <v>3.8110970868381857</v>
      </c>
      <c r="E941" s="9">
        <f>'1_Du_lieu'!L309</f>
        <v>1.9830000000000001</v>
      </c>
      <c r="F941" s="9">
        <f>'1_Du_lieu'!M309</f>
        <v>13.88</v>
      </c>
      <c r="G941" s="9">
        <f>'1_Du_lieu'!N309</f>
        <v>23.1</v>
      </c>
      <c r="H941" s="9">
        <f>'1_Du_lieu'!X309</f>
        <v>2.9114432130738548</v>
      </c>
      <c r="I941" s="9">
        <f>'1_Du_lieu'!T309</f>
        <v>0.74840962953723333</v>
      </c>
      <c r="J941" s="9">
        <f>'1_Du_lieu'!Y309</f>
        <v>5.5660518011901212</v>
      </c>
      <c r="K941" s="5">
        <f t="shared" si="155"/>
        <v>0</v>
      </c>
      <c r="L941" s="5">
        <f t="shared" si="156"/>
        <v>0</v>
      </c>
      <c r="M941" s="5">
        <f t="shared" si="157"/>
        <v>1</v>
      </c>
      <c r="N941" s="5">
        <f t="shared" si="158"/>
        <v>0</v>
      </c>
      <c r="O941" s="5">
        <f t="shared" si="159"/>
        <v>0</v>
      </c>
      <c r="P941" s="5">
        <f t="shared" si="160"/>
        <v>0</v>
      </c>
    </row>
    <row r="942" spans="1:16" x14ac:dyDescent="0.25">
      <c r="A942" t="s">
        <v>144</v>
      </c>
      <c r="B942">
        <v>2021</v>
      </c>
      <c r="C942" s="7">
        <f>'1_Du_lieu'!V310</f>
        <v>1.7155981082624909</v>
      </c>
      <c r="D942" s="9">
        <f>'1_Du_lieu'!W310</f>
        <v>4.3385970767465452</v>
      </c>
      <c r="E942" s="9">
        <f>'1_Du_lieu'!L310</f>
        <v>3.8580000000000001</v>
      </c>
      <c r="F942" s="9">
        <f>'1_Du_lieu'!M310</f>
        <v>32.380000000000003</v>
      </c>
      <c r="G942" s="9">
        <f>'1_Du_lieu'!N310</f>
        <v>16</v>
      </c>
      <c r="H942" s="9">
        <f>'1_Du_lieu'!X310</f>
        <v>2.5114225510080193</v>
      </c>
      <c r="I942" s="9">
        <f>'1_Du_lieu'!T310</f>
        <v>1.0999238514256704</v>
      </c>
      <c r="J942" s="9">
        <f>'1_Du_lieu'!Y310</f>
        <v>8.8812666983646373</v>
      </c>
      <c r="K942" s="5">
        <f t="shared" si="155"/>
        <v>0</v>
      </c>
      <c r="L942" s="5">
        <f t="shared" si="156"/>
        <v>0</v>
      </c>
      <c r="M942" s="5">
        <f t="shared" si="157"/>
        <v>1</v>
      </c>
      <c r="N942" s="5">
        <f t="shared" si="158"/>
        <v>0</v>
      </c>
      <c r="O942" s="5">
        <f t="shared" si="159"/>
        <v>0</v>
      </c>
      <c r="P942" s="5">
        <f t="shared" si="160"/>
        <v>0</v>
      </c>
    </row>
    <row r="943" spans="1:16" x14ac:dyDescent="0.25">
      <c r="A943" t="s">
        <v>145</v>
      </c>
      <c r="B943">
        <v>2021</v>
      </c>
      <c r="C943" s="7">
        <f>'1_Du_lieu'!V311</f>
        <v>1.5260563034950492</v>
      </c>
      <c r="D943" s="9">
        <f>'1_Du_lieu'!W311</f>
        <v>4.0517849478033048</v>
      </c>
      <c r="E943" s="9">
        <f>'1_Du_lieu'!L311</f>
        <v>2.7130000000000001</v>
      </c>
      <c r="F943" s="9">
        <f>'1_Du_lieu'!M311</f>
        <v>22.71</v>
      </c>
      <c r="G943" s="9">
        <f>'1_Du_lieu'!N311</f>
        <v>15.6</v>
      </c>
      <c r="H943" s="9">
        <f>'1_Du_lieu'!X311</f>
        <v>0.67698224370658988</v>
      </c>
      <c r="I943" s="9">
        <f>'1_Du_lieu'!T311</f>
        <v>0.58309037900874638</v>
      </c>
      <c r="J943" s="9">
        <f>'1_Du_lieu'!Y311</f>
        <v>6.7464121285733745</v>
      </c>
      <c r="K943" s="5">
        <f t="shared" si="155"/>
        <v>0</v>
      </c>
      <c r="L943" s="5">
        <f t="shared" si="156"/>
        <v>0</v>
      </c>
      <c r="M943" s="5">
        <f t="shared" si="157"/>
        <v>1</v>
      </c>
      <c r="N943" s="5">
        <f t="shared" si="158"/>
        <v>0</v>
      </c>
      <c r="O943" s="5">
        <f t="shared" si="159"/>
        <v>0</v>
      </c>
      <c r="P943" s="5">
        <f t="shared" si="160"/>
        <v>0</v>
      </c>
    </row>
    <row r="944" spans="1:16" x14ac:dyDescent="0.25">
      <c r="A944" t="s">
        <v>146</v>
      </c>
      <c r="B944">
        <v>2021</v>
      </c>
      <c r="C944" s="7">
        <f>'1_Du_lieu'!V312</f>
        <v>1.9726911717329554</v>
      </c>
      <c r="D944" s="9">
        <f>'1_Du_lieu'!W312</f>
        <v>4.7397010789456973</v>
      </c>
      <c r="E944" s="9">
        <f>'1_Du_lieu'!L312</f>
        <v>6.9829999999999997</v>
      </c>
      <c r="F944" s="9">
        <f>'1_Du_lieu'!M312</f>
        <v>30.06</v>
      </c>
      <c r="G944" s="9">
        <f>'1_Du_lieu'!N312</f>
        <v>34.700000000000003</v>
      </c>
      <c r="H944" s="9">
        <f>'1_Du_lieu'!X312</f>
        <v>2.5479862283474914</v>
      </c>
      <c r="I944" s="9">
        <f>'1_Du_lieu'!T312</f>
        <v>0.75516026178889073</v>
      </c>
      <c r="J944" s="9">
        <f>'1_Du_lieu'!Y312</f>
        <v>8.6070704578189119</v>
      </c>
      <c r="K944" s="5">
        <f t="shared" si="155"/>
        <v>0</v>
      </c>
      <c r="L944" s="5">
        <f t="shared" si="156"/>
        <v>0</v>
      </c>
      <c r="M944" s="5">
        <f t="shared" si="157"/>
        <v>1</v>
      </c>
      <c r="N944" s="5">
        <f t="shared" si="158"/>
        <v>0</v>
      </c>
      <c r="O944" s="5">
        <f t="shared" si="159"/>
        <v>0</v>
      </c>
      <c r="P944" s="5">
        <f t="shared" si="160"/>
        <v>0</v>
      </c>
    </row>
    <row r="945" spans="1:16" x14ac:dyDescent="0.25">
      <c r="A945" t="s">
        <v>147</v>
      </c>
      <c r="B945">
        <v>2021</v>
      </c>
      <c r="C945" s="7">
        <f>'1_Du_lieu'!V313</f>
        <v>1.6601310267496185</v>
      </c>
      <c r="D945" s="9">
        <f>'1_Du_lieu'!W313</f>
        <v>3.751854253275325</v>
      </c>
      <c r="E945" s="9">
        <f>'1_Du_lieu'!L313</f>
        <v>2.2389999999999999</v>
      </c>
      <c r="F945" s="9">
        <f>'1_Du_lieu'!M313</f>
        <v>20.73</v>
      </c>
      <c r="G945" s="9">
        <f>'1_Du_lieu'!N313</f>
        <v>22.2</v>
      </c>
      <c r="H945" s="9">
        <f>'1_Du_lieu'!X313</f>
        <v>2.2363854484825239</v>
      </c>
      <c r="I945" s="9">
        <f>'1_Du_lieu'!T313</f>
        <v>0.35599857600569595</v>
      </c>
      <c r="J945" s="9">
        <f>'1_Du_lieu'!Y313</f>
        <v>6.2790841176065566</v>
      </c>
      <c r="K945" s="5">
        <f t="shared" si="155"/>
        <v>0</v>
      </c>
      <c r="L945" s="5">
        <f t="shared" si="156"/>
        <v>0</v>
      </c>
      <c r="M945" s="5">
        <f t="shared" si="157"/>
        <v>1</v>
      </c>
      <c r="N945" s="5">
        <f t="shared" si="158"/>
        <v>0</v>
      </c>
      <c r="O945" s="5">
        <f t="shared" si="159"/>
        <v>0</v>
      </c>
      <c r="P945" s="5">
        <f t="shared" si="160"/>
        <v>0</v>
      </c>
    </row>
    <row r="946" spans="1:16" x14ac:dyDescent="0.25">
      <c r="A946" t="s">
        <v>149</v>
      </c>
      <c r="B946">
        <v>2021</v>
      </c>
      <c r="C946" s="7">
        <f>'1_Du_lieu'!V315</f>
        <v>2.9465420293632194</v>
      </c>
      <c r="D946" s="9">
        <f>'1_Du_lieu'!W315</f>
        <v>4.5042442673981311</v>
      </c>
      <c r="E946" s="9">
        <f>'1_Du_lieu'!L315</f>
        <v>20.663</v>
      </c>
      <c r="F946" s="9">
        <f>'1_Du_lieu'!M315</f>
        <v>87.35</v>
      </c>
      <c r="G946" s="9">
        <f>'1_Du_lieu'!N315</f>
        <v>48.1</v>
      </c>
      <c r="H946" s="9">
        <f>'1_Du_lieu'!X315</f>
        <v>3.2363286568748997</v>
      </c>
      <c r="I946" s="9">
        <f>'1_Du_lieu'!T315</f>
        <v>6.6081137599330821</v>
      </c>
      <c r="J946" s="9">
        <f>'1_Du_lieu'!Y315</f>
        <v>8.5098261210706703</v>
      </c>
      <c r="K946" s="5">
        <f t="shared" si="155"/>
        <v>0</v>
      </c>
      <c r="L946" s="5">
        <f t="shared" si="156"/>
        <v>0</v>
      </c>
      <c r="M946" s="5">
        <f t="shared" si="157"/>
        <v>1</v>
      </c>
      <c r="N946" s="5">
        <f t="shared" si="158"/>
        <v>0</v>
      </c>
      <c r="O946" s="5">
        <f t="shared" si="159"/>
        <v>0</v>
      </c>
      <c r="P946" s="5">
        <f t="shared" si="160"/>
        <v>0</v>
      </c>
    </row>
    <row r="947" spans="1:16" x14ac:dyDescent="0.25">
      <c r="A947" t="s">
        <v>150</v>
      </c>
      <c r="B947">
        <v>2021</v>
      </c>
      <c r="C947" s="7">
        <f>'1_Du_lieu'!V316</f>
        <v>1.7227665977411035</v>
      </c>
      <c r="D947" s="9">
        <f>'1_Du_lieu'!W316</f>
        <v>3.9318256327243257</v>
      </c>
      <c r="E947" s="9">
        <f>'1_Du_lieu'!L316</f>
        <v>3.7120000000000002</v>
      </c>
      <c r="F947" s="9">
        <f>'1_Du_lieu'!M316</f>
        <v>24.82</v>
      </c>
      <c r="G947" s="9">
        <f>'1_Du_lieu'!N316</f>
        <v>18.3</v>
      </c>
      <c r="H947" s="9">
        <f>'1_Du_lieu'!X316</f>
        <v>2.2871336977571044</v>
      </c>
      <c r="I947" s="9">
        <f>'1_Du_lieu'!T316</f>
        <v>0.57621791513881615</v>
      </c>
      <c r="J947" s="9">
        <f>'1_Du_lieu'!Y316</f>
        <v>5.8114403493627105</v>
      </c>
      <c r="K947" s="5">
        <f t="shared" si="155"/>
        <v>0</v>
      </c>
      <c r="L947" s="5">
        <f t="shared" si="156"/>
        <v>0</v>
      </c>
      <c r="M947" s="5">
        <f t="shared" si="157"/>
        <v>1</v>
      </c>
      <c r="N947" s="5">
        <f t="shared" si="158"/>
        <v>0</v>
      </c>
      <c r="O947" s="5">
        <f t="shared" si="159"/>
        <v>0</v>
      </c>
      <c r="P947" s="5">
        <f t="shared" si="160"/>
        <v>0</v>
      </c>
    </row>
    <row r="948" spans="1:16" x14ac:dyDescent="0.25">
      <c r="A948" t="s">
        <v>151</v>
      </c>
      <c r="B948">
        <v>2021</v>
      </c>
      <c r="C948" s="7">
        <f>'1_Du_lieu'!V317</f>
        <v>1.5411590716808059</v>
      </c>
      <c r="D948" s="9">
        <f>'1_Du_lieu'!W317</f>
        <v>3.9740583963475986</v>
      </c>
      <c r="E948" s="9">
        <f>'1_Du_lieu'!L317</f>
        <v>3.5539999999999998</v>
      </c>
      <c r="F948" s="9">
        <f>'1_Du_lieu'!M317</f>
        <v>16.260000000000002</v>
      </c>
      <c r="G948" s="9">
        <f>'1_Du_lieu'!N317</f>
        <v>15.4</v>
      </c>
      <c r="H948" s="9">
        <f>'1_Du_lieu'!X317</f>
        <v>0.78181281764560162</v>
      </c>
      <c r="I948" s="9">
        <f>'1_Du_lieu'!T317</f>
        <v>0.45153521974714034</v>
      </c>
      <c r="J948" s="9">
        <f>'1_Du_lieu'!Y317</f>
        <v>6.1520941930329496</v>
      </c>
      <c r="K948" s="5">
        <f t="shared" si="155"/>
        <v>0</v>
      </c>
      <c r="L948" s="5">
        <f t="shared" si="156"/>
        <v>0</v>
      </c>
      <c r="M948" s="5">
        <f t="shared" si="157"/>
        <v>1</v>
      </c>
      <c r="N948" s="5">
        <f t="shared" si="158"/>
        <v>0</v>
      </c>
      <c r="O948" s="5">
        <f t="shared" si="159"/>
        <v>0</v>
      </c>
      <c r="P948" s="5">
        <f t="shared" si="160"/>
        <v>0</v>
      </c>
    </row>
    <row r="949" spans="1:16" x14ac:dyDescent="0.25">
      <c r="A949" t="s">
        <v>152</v>
      </c>
      <c r="B949">
        <v>2021</v>
      </c>
      <c r="C949" s="7">
        <f>'1_Du_lieu'!V318</f>
        <v>2.4105422344991378</v>
      </c>
      <c r="D949" s="9">
        <f>'1_Du_lieu'!W318</f>
        <v>4.779963476361254</v>
      </c>
      <c r="E949" s="9">
        <f>'1_Du_lieu'!L318</f>
        <v>7.9059999999999997</v>
      </c>
      <c r="F949" s="9">
        <f>'1_Du_lieu'!M318</f>
        <v>44.76</v>
      </c>
      <c r="G949" s="9">
        <f>'1_Du_lieu'!N318</f>
        <v>21.9</v>
      </c>
      <c r="H949" s="9">
        <f>'1_Du_lieu'!X318</f>
        <v>2.5423329505205192</v>
      </c>
      <c r="I949" s="9">
        <f>'1_Du_lieu'!T318</f>
        <v>0.56798460130636463</v>
      </c>
      <c r="J949" s="9">
        <f>'1_Du_lieu'!Y318</f>
        <v>9.2807429160743222</v>
      </c>
      <c r="K949" s="5">
        <f t="shared" si="155"/>
        <v>0</v>
      </c>
      <c r="L949" s="5">
        <f t="shared" si="156"/>
        <v>0</v>
      </c>
      <c r="M949" s="5">
        <f t="shared" si="157"/>
        <v>1</v>
      </c>
      <c r="N949" s="5">
        <f t="shared" si="158"/>
        <v>0</v>
      </c>
      <c r="O949" s="5">
        <f t="shared" si="159"/>
        <v>0</v>
      </c>
      <c r="P949" s="5">
        <f t="shared" si="160"/>
        <v>0</v>
      </c>
    </row>
    <row r="950" spans="1:16" x14ac:dyDescent="0.25">
      <c r="A950" t="s">
        <v>153</v>
      </c>
      <c r="B950">
        <v>2021</v>
      </c>
      <c r="C950" s="7">
        <f>'1_Du_lieu'!V319</f>
        <v>1.7191887763932197</v>
      </c>
      <c r="D950" s="9">
        <f>'1_Du_lieu'!W319</f>
        <v>3.9963641538618968</v>
      </c>
      <c r="E950" s="9">
        <f>'1_Du_lieu'!L319</f>
        <v>2.3210000000000002</v>
      </c>
      <c r="F950" s="9">
        <f>'1_Du_lieu'!M319</f>
        <v>20.18</v>
      </c>
      <c r="G950" s="9">
        <f>'1_Du_lieu'!N319</f>
        <v>14.3</v>
      </c>
      <c r="H950" s="9">
        <f>'1_Du_lieu'!X319</f>
        <v>0.56485668954794155</v>
      </c>
      <c r="I950" s="9">
        <f>'1_Du_lieu'!T319</f>
        <v>0.62449259976269278</v>
      </c>
      <c r="J950" s="9">
        <f>'1_Du_lieu'!Y319</f>
        <v>4.9863426015272116</v>
      </c>
      <c r="K950" s="5">
        <f t="shared" si="155"/>
        <v>0</v>
      </c>
      <c r="L950" s="5">
        <f t="shared" si="156"/>
        <v>0</v>
      </c>
      <c r="M950" s="5">
        <f t="shared" si="157"/>
        <v>1</v>
      </c>
      <c r="N950" s="5">
        <f t="shared" si="158"/>
        <v>0</v>
      </c>
      <c r="O950" s="5">
        <f t="shared" si="159"/>
        <v>0</v>
      </c>
      <c r="P950" s="5">
        <f t="shared" si="160"/>
        <v>0</v>
      </c>
    </row>
    <row r="951" spans="1:16" x14ac:dyDescent="0.25">
      <c r="A951" t="s">
        <v>85</v>
      </c>
      <c r="B951">
        <v>2022</v>
      </c>
      <c r="C951" s="7">
        <f>'1_Du_lieu'!V320</f>
        <v>2.8332133440562162</v>
      </c>
      <c r="D951" s="9">
        <f>'1_Du_lieu'!W320</f>
        <v>3.9646154555473165</v>
      </c>
      <c r="E951" s="9">
        <f>'1_Du_lieu'!L320</f>
        <v>2.6539999999999999</v>
      </c>
      <c r="F951" s="9">
        <f>'1_Du_lieu'!M320</f>
        <v>33.840000000000003</v>
      </c>
      <c r="G951" s="9">
        <f>'1_Du_lieu'!N320</f>
        <v>14.5</v>
      </c>
      <c r="H951" s="9">
        <f>'1_Du_lieu'!X320</f>
        <v>1.6657790589637886</v>
      </c>
      <c r="I951" s="9">
        <f>'1_Du_lieu'!T320</f>
        <v>0.47231697717134608</v>
      </c>
      <c r="J951" s="9">
        <f>'1_Du_lieu'!Y320</f>
        <v>5.1209833512651208</v>
      </c>
      <c r="K951" s="5">
        <f t="shared" si="155"/>
        <v>0</v>
      </c>
      <c r="L951" s="5">
        <f t="shared" si="156"/>
        <v>0</v>
      </c>
      <c r="M951" s="5">
        <f t="shared" si="157"/>
        <v>0</v>
      </c>
      <c r="N951" s="5">
        <f t="shared" si="158"/>
        <v>1</v>
      </c>
      <c r="O951" s="5">
        <f t="shared" si="159"/>
        <v>0</v>
      </c>
      <c r="P951" s="5">
        <f t="shared" si="160"/>
        <v>0</v>
      </c>
    </row>
    <row r="952" spans="1:16" x14ac:dyDescent="0.25">
      <c r="A952" t="s">
        <v>87</v>
      </c>
      <c r="B952">
        <v>2022</v>
      </c>
      <c r="C952" s="7">
        <f>'1_Du_lieu'!V321</f>
        <v>3.2308043957334744</v>
      </c>
      <c r="D952" s="9">
        <f>'1_Du_lieu'!W321</f>
        <v>5.9191626353525768</v>
      </c>
      <c r="E952" s="9">
        <f>'1_Du_lieu'!L321</f>
        <v>10.125</v>
      </c>
      <c r="F952" s="9">
        <f>'1_Du_lieu'!M321</f>
        <v>60.4</v>
      </c>
      <c r="G952" s="9">
        <f>'1_Du_lieu'!N321</f>
        <v>28</v>
      </c>
      <c r="H952" s="9">
        <f>'1_Du_lieu'!X321</f>
        <v>2.1022970435051618</v>
      </c>
      <c r="I952" s="9">
        <f>'1_Du_lieu'!T321</f>
        <v>1.5271061338763043</v>
      </c>
      <c r="J952" s="9">
        <f>'1_Du_lieu'!Y321</f>
        <v>10.249057564326076</v>
      </c>
      <c r="K952" s="5">
        <f t="shared" si="155"/>
        <v>0</v>
      </c>
      <c r="L952" s="5">
        <f t="shared" si="156"/>
        <v>0</v>
      </c>
      <c r="M952" s="5">
        <f t="shared" si="157"/>
        <v>0</v>
      </c>
      <c r="N952" s="5">
        <f t="shared" si="158"/>
        <v>1</v>
      </c>
      <c r="O952" s="5">
        <f t="shared" si="159"/>
        <v>0</v>
      </c>
      <c r="P952" s="5">
        <f t="shared" si="160"/>
        <v>0</v>
      </c>
    </row>
    <row r="953" spans="1:16" x14ac:dyDescent="0.25">
      <c r="A953" t="s">
        <v>89</v>
      </c>
      <c r="B953">
        <v>2022</v>
      </c>
      <c r="C953" s="7">
        <f>'1_Du_lieu'!V322</f>
        <v>3.5945687746426951</v>
      </c>
      <c r="D953" s="9">
        <f>'1_Du_lieu'!W322</f>
        <v>5.0968129903373081</v>
      </c>
      <c r="E953" s="9">
        <f>'1_Du_lieu'!L322</f>
        <v>14.743</v>
      </c>
      <c r="F953" s="9">
        <f>'1_Du_lieu'!M322</f>
        <v>84.23</v>
      </c>
      <c r="G953" s="9">
        <f>'1_Du_lieu'!N322</f>
        <v>21.1</v>
      </c>
      <c r="H953" s="9">
        <f>'1_Du_lieu'!X322</f>
        <v>3.242947697575</v>
      </c>
      <c r="I953" s="9">
        <f>'1_Du_lieu'!T322</f>
        <v>0.61525098621113972</v>
      </c>
      <c r="J953" s="9">
        <f>'1_Du_lieu'!Y322</f>
        <v>9.5710521568971654</v>
      </c>
      <c r="K953" s="5">
        <f t="shared" si="155"/>
        <v>0</v>
      </c>
      <c r="L953" s="5">
        <f t="shared" si="156"/>
        <v>0</v>
      </c>
      <c r="M953" s="5">
        <f t="shared" si="157"/>
        <v>0</v>
      </c>
      <c r="N953" s="5">
        <f t="shared" si="158"/>
        <v>1</v>
      </c>
      <c r="O953" s="5">
        <f t="shared" si="159"/>
        <v>0</v>
      </c>
      <c r="P953" s="5">
        <f t="shared" si="160"/>
        <v>0</v>
      </c>
    </row>
    <row r="954" spans="1:16" x14ac:dyDescent="0.25">
      <c r="A954" t="s">
        <v>90</v>
      </c>
      <c r="B954">
        <v>2022</v>
      </c>
      <c r="C954" s="7">
        <f>'1_Du_lieu'!V323</f>
        <v>2.5802168295923251</v>
      </c>
      <c r="D954" s="9">
        <f>'1_Du_lieu'!W323</f>
        <v>4.4704952826614894</v>
      </c>
      <c r="E954" s="9">
        <f>'1_Du_lieu'!L323</f>
        <v>6.3929999999999998</v>
      </c>
      <c r="F954" s="9">
        <f>'1_Du_lieu'!M323</f>
        <v>29.38</v>
      </c>
      <c r="G954" s="9">
        <f>'1_Du_lieu'!N323</f>
        <v>20.100000000000001</v>
      </c>
      <c r="H954" s="9">
        <f>'1_Du_lieu'!X323</f>
        <v>0.96674091458842459</v>
      </c>
      <c r="I954" s="9">
        <f>'1_Du_lieu'!T323</f>
        <v>0.8698173383589447</v>
      </c>
      <c r="J954" s="9">
        <f>'1_Du_lieu'!Y323</f>
        <v>8.2579560324537891</v>
      </c>
      <c r="K954" s="5">
        <f t="shared" si="155"/>
        <v>0</v>
      </c>
      <c r="L954" s="5">
        <f t="shared" si="156"/>
        <v>0</v>
      </c>
      <c r="M954" s="5">
        <f t="shared" si="157"/>
        <v>0</v>
      </c>
      <c r="N954" s="5">
        <f t="shared" si="158"/>
        <v>1</v>
      </c>
      <c r="O954" s="5">
        <f t="shared" si="159"/>
        <v>0</v>
      </c>
      <c r="P954" s="5">
        <f t="shared" si="160"/>
        <v>0</v>
      </c>
    </row>
    <row r="955" spans="1:16" x14ac:dyDescent="0.25">
      <c r="A955" t="s">
        <v>91</v>
      </c>
      <c r="B955">
        <v>2022</v>
      </c>
      <c r="C955" s="7">
        <f>'1_Du_lieu'!V324</f>
        <v>2.7278528283983898</v>
      </c>
      <c r="D955" s="9">
        <f>'1_Du_lieu'!W324</f>
        <v>4.3944491546724391</v>
      </c>
      <c r="E955" s="9">
        <f>'1_Du_lieu'!L324</f>
        <v>4.6399999999999997</v>
      </c>
      <c r="F955" s="9">
        <f>'1_Du_lieu'!M324</f>
        <v>38.6</v>
      </c>
      <c r="G955" s="9">
        <f>'1_Du_lieu'!N324</f>
        <v>18.5</v>
      </c>
      <c r="H955" s="9">
        <f>'1_Du_lieu'!X324</f>
        <v>1.4568620109471089</v>
      </c>
      <c r="I955" s="9">
        <f>'1_Du_lieu'!T324</f>
        <v>0.31946330165322262</v>
      </c>
      <c r="J955" s="9">
        <f>'1_Du_lieu'!Y324</f>
        <v>8.0284225584310782</v>
      </c>
      <c r="K955" s="5">
        <f t="shared" si="155"/>
        <v>0</v>
      </c>
      <c r="L955" s="5">
        <f t="shared" si="156"/>
        <v>0</v>
      </c>
      <c r="M955" s="5">
        <f t="shared" si="157"/>
        <v>0</v>
      </c>
      <c r="N955" s="5">
        <f t="shared" si="158"/>
        <v>1</v>
      </c>
      <c r="O955" s="5">
        <f t="shared" si="159"/>
        <v>0</v>
      </c>
      <c r="P955" s="5">
        <f t="shared" si="160"/>
        <v>0</v>
      </c>
    </row>
    <row r="956" spans="1:16" x14ac:dyDescent="0.25">
      <c r="A956" t="s">
        <v>93</v>
      </c>
      <c r="B956">
        <v>2022</v>
      </c>
      <c r="C956" s="7">
        <f>'1_Du_lieu'!V325</f>
        <v>2.9496883350525844</v>
      </c>
      <c r="D956" s="9">
        <f>'1_Du_lieu'!W325</f>
        <v>4.2724907476055751</v>
      </c>
      <c r="E956" s="9">
        <f>'1_Du_lieu'!L325</f>
        <v>5.149</v>
      </c>
      <c r="F956" s="9">
        <f>'1_Du_lieu'!M325</f>
        <v>41.19</v>
      </c>
      <c r="G956" s="9">
        <f>'1_Du_lieu'!N325</f>
        <v>25</v>
      </c>
      <c r="H956" s="9">
        <f>'1_Du_lieu'!X325</f>
        <v>3.0194499686958518</v>
      </c>
      <c r="I956" s="9">
        <f>'1_Du_lieu'!T325</f>
        <v>0.79771322209665629</v>
      </c>
      <c r="J956" s="9">
        <f>'1_Du_lieu'!Y325</f>
        <v>6.6876072366477262</v>
      </c>
      <c r="K956" s="5">
        <f t="shared" si="155"/>
        <v>0</v>
      </c>
      <c r="L956" s="5">
        <f t="shared" si="156"/>
        <v>0</v>
      </c>
      <c r="M956" s="5">
        <f t="shared" si="157"/>
        <v>0</v>
      </c>
      <c r="N956" s="5">
        <f t="shared" si="158"/>
        <v>1</v>
      </c>
      <c r="O956" s="5">
        <f t="shared" si="159"/>
        <v>0</v>
      </c>
      <c r="P956" s="5">
        <f t="shared" si="160"/>
        <v>0</v>
      </c>
    </row>
    <row r="957" spans="1:16" x14ac:dyDescent="0.25">
      <c r="A957" t="s">
        <v>95</v>
      </c>
      <c r="B957">
        <v>2022</v>
      </c>
      <c r="C957" s="7">
        <f>'1_Du_lieu'!V327</f>
        <v>2.8449093838194073</v>
      </c>
      <c r="D957" s="9">
        <f>'1_Du_lieu'!W327</f>
        <v>4.4343818650078095</v>
      </c>
      <c r="E957" s="9">
        <f>'1_Du_lieu'!L327</f>
        <v>4.1779999999999999</v>
      </c>
      <c r="F957" s="9">
        <f>'1_Du_lieu'!M327</f>
        <v>19.579999999999998</v>
      </c>
      <c r="G957" s="9">
        <f>'1_Du_lieu'!N327</f>
        <v>32</v>
      </c>
      <c r="H957" s="9">
        <f>'1_Du_lieu'!X327</f>
        <v>2.8277262890959798</v>
      </c>
      <c r="I957" s="9">
        <f>'1_Du_lieu'!T327</f>
        <v>0.47596382674916704</v>
      </c>
      <c r="J957" s="9">
        <f>'1_Du_lieu'!Y327</f>
        <v>8.5124620170403364</v>
      </c>
      <c r="K957" s="5">
        <f t="shared" si="155"/>
        <v>0</v>
      </c>
      <c r="L957" s="5">
        <f t="shared" si="156"/>
        <v>0</v>
      </c>
      <c r="M957" s="5">
        <f t="shared" si="157"/>
        <v>0</v>
      </c>
      <c r="N957" s="5">
        <f t="shared" si="158"/>
        <v>1</v>
      </c>
      <c r="O957" s="5">
        <f t="shared" si="159"/>
        <v>0</v>
      </c>
      <c r="P957" s="5">
        <f t="shared" si="160"/>
        <v>0</v>
      </c>
    </row>
    <row r="958" spans="1:16" x14ac:dyDescent="0.25">
      <c r="A958" t="s">
        <v>97</v>
      </c>
      <c r="B958">
        <v>2022</v>
      </c>
      <c r="C958" s="7">
        <f>'1_Du_lieu'!V328</f>
        <v>2.388762789235098</v>
      </c>
      <c r="D958" s="9">
        <f>'1_Du_lieu'!W328</f>
        <v>3.8501476017100584</v>
      </c>
      <c r="E958" s="9">
        <f>'1_Du_lieu'!L328</f>
        <v>2.1819999999999999</v>
      </c>
      <c r="F958" s="9">
        <f>'1_Du_lieu'!M328</f>
        <v>22.69</v>
      </c>
      <c r="G958" s="9">
        <f>'1_Du_lieu'!N328</f>
        <v>27.6</v>
      </c>
      <c r="H958" s="9">
        <f>'1_Du_lieu'!X328</f>
        <v>1.8907805744012527</v>
      </c>
      <c r="I958" s="9">
        <f>'1_Du_lieu'!T328</f>
        <v>0.92478421701602964</v>
      </c>
      <c r="J958" s="9">
        <f>'1_Du_lieu'!Y328</f>
        <v>3.2347491740244907</v>
      </c>
      <c r="K958" s="5">
        <f t="shared" si="155"/>
        <v>0</v>
      </c>
      <c r="L958" s="5">
        <f t="shared" si="156"/>
        <v>0</v>
      </c>
      <c r="M958" s="5">
        <f t="shared" si="157"/>
        <v>0</v>
      </c>
      <c r="N958" s="5">
        <f t="shared" si="158"/>
        <v>1</v>
      </c>
      <c r="O958" s="5">
        <f t="shared" si="159"/>
        <v>0</v>
      </c>
      <c r="P958" s="5">
        <f t="shared" si="160"/>
        <v>0</v>
      </c>
    </row>
    <row r="959" spans="1:16" x14ac:dyDescent="0.25">
      <c r="A959" t="s">
        <v>98</v>
      </c>
      <c r="B959">
        <v>2022</v>
      </c>
      <c r="C959" s="7">
        <f>'1_Du_lieu'!V329</f>
        <v>3.2809112157876537</v>
      </c>
      <c r="D959" s="9">
        <f>'1_Du_lieu'!W329</f>
        <v>5.1161957897567483</v>
      </c>
      <c r="E959" s="9">
        <f>'1_Du_lieu'!L329</f>
        <v>10.007</v>
      </c>
      <c r="F959" s="9">
        <f>'1_Du_lieu'!M329</f>
        <v>37.26</v>
      </c>
      <c r="G959" s="9">
        <f>'1_Du_lieu'!N329</f>
        <v>34.4</v>
      </c>
      <c r="H959" s="9">
        <f>'1_Du_lieu'!X329</f>
        <v>2.7160096608008284</v>
      </c>
      <c r="I959" s="9">
        <f>'1_Du_lieu'!T329</f>
        <v>1.8813411274608616</v>
      </c>
      <c r="J959" s="9">
        <f>'1_Du_lieu'!Y329</f>
        <v>9.6593820772008918</v>
      </c>
      <c r="K959" s="5">
        <f t="shared" si="155"/>
        <v>0</v>
      </c>
      <c r="L959" s="5">
        <f t="shared" si="156"/>
        <v>0</v>
      </c>
      <c r="M959" s="5">
        <f t="shared" si="157"/>
        <v>0</v>
      </c>
      <c r="N959" s="5">
        <f t="shared" si="158"/>
        <v>1</v>
      </c>
      <c r="O959" s="5">
        <f t="shared" si="159"/>
        <v>0</v>
      </c>
      <c r="P959" s="5">
        <f t="shared" si="160"/>
        <v>0</v>
      </c>
    </row>
    <row r="960" spans="1:16" x14ac:dyDescent="0.25">
      <c r="A960" t="s">
        <v>100</v>
      </c>
      <c r="B960">
        <v>2022</v>
      </c>
      <c r="C960" s="7">
        <f>'1_Du_lieu'!V330</f>
        <v>2.8678989020441064</v>
      </c>
      <c r="D960" s="9">
        <f>'1_Du_lieu'!W330</f>
        <v>3.8794998137225858</v>
      </c>
      <c r="E960" s="9">
        <f>'1_Du_lieu'!L330</f>
        <v>2.7519999999999998</v>
      </c>
      <c r="F960" s="9">
        <f>'1_Du_lieu'!M330</f>
        <v>10.25</v>
      </c>
      <c r="G960" s="9">
        <f>'1_Du_lieu'!N330</f>
        <v>11.9</v>
      </c>
      <c r="H960" s="9">
        <f>'1_Du_lieu'!X330</f>
        <v>1.262205371411063</v>
      </c>
      <c r="I960" s="9">
        <f>'1_Du_lieu'!T330</f>
        <v>0.46224961479198773</v>
      </c>
      <c r="J960" s="9">
        <f>'1_Du_lieu'!Y330</f>
        <v>7.1083259694439551</v>
      </c>
      <c r="K960" s="5">
        <f t="shared" si="155"/>
        <v>0</v>
      </c>
      <c r="L960" s="5">
        <f t="shared" si="156"/>
        <v>0</v>
      </c>
      <c r="M960" s="5">
        <f t="shared" si="157"/>
        <v>0</v>
      </c>
      <c r="N960" s="5">
        <f t="shared" si="158"/>
        <v>1</v>
      </c>
      <c r="O960" s="5">
        <f t="shared" si="159"/>
        <v>0</v>
      </c>
      <c r="P960" s="5">
        <f t="shared" si="160"/>
        <v>0</v>
      </c>
    </row>
    <row r="961" spans="1:16" x14ac:dyDescent="0.25">
      <c r="A961" t="s">
        <v>102</v>
      </c>
      <c r="B961">
        <v>2022</v>
      </c>
      <c r="C961" s="7">
        <f>'1_Du_lieu'!V332</f>
        <v>2.5095992623783721</v>
      </c>
      <c r="D961" s="9">
        <f>'1_Du_lieu'!W332</f>
        <v>4.0842942263685993</v>
      </c>
      <c r="E961" s="9">
        <f>'1_Du_lieu'!L332</f>
        <v>3.1819999999999999</v>
      </c>
      <c r="F961" s="9">
        <f>'1_Du_lieu'!M332</f>
        <v>22.84</v>
      </c>
      <c r="G961" s="9">
        <f>'1_Du_lieu'!N332</f>
        <v>14.3</v>
      </c>
      <c r="H961" s="9">
        <f>'1_Du_lieu'!X332</f>
        <v>-0.41115366539591419</v>
      </c>
      <c r="I961" s="9">
        <f>'1_Du_lieu'!T332</f>
        <v>0.57966213978138459</v>
      </c>
      <c r="J961" s="9">
        <f>'1_Du_lieu'!Y332</f>
        <v>4.8528112089026889</v>
      </c>
      <c r="K961" s="5">
        <f t="shared" si="155"/>
        <v>0</v>
      </c>
      <c r="L961" s="5">
        <f t="shared" si="156"/>
        <v>0</v>
      </c>
      <c r="M961" s="5">
        <f t="shared" si="157"/>
        <v>0</v>
      </c>
      <c r="N961" s="5">
        <f t="shared" si="158"/>
        <v>1</v>
      </c>
      <c r="O961" s="5">
        <f t="shared" si="159"/>
        <v>0</v>
      </c>
      <c r="P961" s="5">
        <f t="shared" si="160"/>
        <v>0</v>
      </c>
    </row>
    <row r="962" spans="1:16" x14ac:dyDescent="0.25">
      <c r="A962" t="s">
        <v>103</v>
      </c>
      <c r="B962">
        <v>2022</v>
      </c>
      <c r="C962" s="7">
        <f>'1_Du_lieu'!V333</f>
        <v>3.2884018875168111</v>
      </c>
      <c r="D962" s="9">
        <f>'1_Du_lieu'!W333</f>
        <v>4.4624538837864964</v>
      </c>
      <c r="E962" s="9">
        <f>'1_Du_lieu'!L333</f>
        <v>8.0329999999999995</v>
      </c>
      <c r="F962" s="9">
        <f>'1_Du_lieu'!M333</f>
        <v>70.5</v>
      </c>
      <c r="G962" s="9">
        <f>'1_Du_lieu'!N333</f>
        <v>22.9</v>
      </c>
      <c r="H962" s="9">
        <f>'1_Du_lieu'!X333</f>
        <v>0.87762244934979738</v>
      </c>
      <c r="I962" s="9">
        <f>'1_Du_lieu'!T333</f>
        <v>1.3575021959594347</v>
      </c>
      <c r="J962" s="9">
        <f>'1_Du_lieu'!Y333</f>
        <v>7.501579238247297</v>
      </c>
      <c r="K962" s="5">
        <f t="shared" si="155"/>
        <v>0</v>
      </c>
      <c r="L962" s="5">
        <f t="shared" si="156"/>
        <v>0</v>
      </c>
      <c r="M962" s="5">
        <f t="shared" si="157"/>
        <v>0</v>
      </c>
      <c r="N962" s="5">
        <f t="shared" si="158"/>
        <v>1</v>
      </c>
      <c r="O962" s="5">
        <f t="shared" si="159"/>
        <v>0</v>
      </c>
      <c r="P962" s="5">
        <f t="shared" si="160"/>
        <v>0</v>
      </c>
    </row>
    <row r="963" spans="1:16" x14ac:dyDescent="0.25">
      <c r="A963" t="s">
        <v>104</v>
      </c>
      <c r="B963">
        <v>2022</v>
      </c>
      <c r="C963" s="7">
        <f>'1_Du_lieu'!V334</f>
        <v>2.631888840136646</v>
      </c>
      <c r="D963" s="9">
        <f>'1_Du_lieu'!W334</f>
        <v>3.9908341858524357</v>
      </c>
      <c r="E963" s="9">
        <f>'1_Du_lieu'!L334</f>
        <v>3.2919999999999998</v>
      </c>
      <c r="F963" s="9">
        <f>'1_Du_lieu'!M334</f>
        <v>29.33</v>
      </c>
      <c r="G963" s="9">
        <f>'1_Du_lieu'!N334</f>
        <v>15.3</v>
      </c>
      <c r="H963" s="9">
        <f>'1_Du_lieu'!X334</f>
        <v>2.4487919397710241</v>
      </c>
      <c r="I963" s="9">
        <f>'1_Du_lieu'!T334</f>
        <v>1.1942174732872406</v>
      </c>
      <c r="J963" s="9">
        <f>'1_Du_lieu'!Y334</f>
        <v>4.0758410906575406</v>
      </c>
      <c r="K963" s="5">
        <f t="shared" si="155"/>
        <v>0</v>
      </c>
      <c r="L963" s="5">
        <f t="shared" si="156"/>
        <v>0</v>
      </c>
      <c r="M963" s="5">
        <f t="shared" si="157"/>
        <v>0</v>
      </c>
      <c r="N963" s="5">
        <f t="shared" si="158"/>
        <v>1</v>
      </c>
      <c r="O963" s="5">
        <f t="shared" si="159"/>
        <v>0</v>
      </c>
      <c r="P963" s="5">
        <f t="shared" si="160"/>
        <v>0</v>
      </c>
    </row>
    <row r="964" spans="1:16" x14ac:dyDescent="0.25">
      <c r="A964" t="s">
        <v>107</v>
      </c>
      <c r="B964">
        <v>2022</v>
      </c>
      <c r="C964" s="7">
        <f>'1_Du_lieu'!V336</f>
        <v>2.8903717578961645</v>
      </c>
      <c r="D964" s="9">
        <f>'1_Du_lieu'!W336</f>
        <v>4.467056883858457</v>
      </c>
      <c r="E964" s="9">
        <f>'1_Du_lieu'!L336</f>
        <v>5.8630000000000004</v>
      </c>
      <c r="F964" s="9">
        <f>'1_Du_lieu'!M336</f>
        <v>28.02</v>
      </c>
      <c r="G964" s="9">
        <f>'1_Du_lieu'!N336</f>
        <v>27.6</v>
      </c>
      <c r="H964" s="9">
        <f>'1_Du_lieu'!X336</f>
        <v>2.8926909988317222</v>
      </c>
      <c r="I964" s="9">
        <f>'1_Du_lieu'!T336</f>
        <v>1.2527047033367498</v>
      </c>
      <c r="J964" s="9">
        <f>'1_Du_lieu'!Y336</f>
        <v>8.7140913251622045</v>
      </c>
      <c r="K964" s="5">
        <f t="shared" si="155"/>
        <v>0</v>
      </c>
      <c r="L964" s="5">
        <f t="shared" si="156"/>
        <v>0</v>
      </c>
      <c r="M964" s="5">
        <f t="shared" si="157"/>
        <v>0</v>
      </c>
      <c r="N964" s="5">
        <f t="shared" si="158"/>
        <v>1</v>
      </c>
      <c r="O964" s="5">
        <f t="shared" si="159"/>
        <v>0</v>
      </c>
      <c r="P964" s="5">
        <f t="shared" si="160"/>
        <v>0</v>
      </c>
    </row>
    <row r="965" spans="1:16" x14ac:dyDescent="0.25">
      <c r="A965" t="s">
        <v>108</v>
      </c>
      <c r="B965">
        <v>2022</v>
      </c>
      <c r="C965" s="7">
        <f>'1_Du_lieu'!V337</f>
        <v>4.4531838289902099</v>
      </c>
      <c r="D965" s="9">
        <f>'1_Du_lieu'!W337</f>
        <v>4.9494688588587685</v>
      </c>
      <c r="E965" s="9">
        <f>'1_Du_lieu'!L337</f>
        <v>22.169</v>
      </c>
      <c r="F965" s="9">
        <f>'1_Du_lieu'!M337</f>
        <v>49.06</v>
      </c>
      <c r="G965" s="9">
        <f>'1_Du_lieu'!N337</f>
        <v>50.3</v>
      </c>
      <c r="H965" s="9">
        <f>'1_Du_lieu'!X337</f>
        <v>3.0496484336472913</v>
      </c>
      <c r="I965" s="9">
        <f>'1_Du_lieu'!T337</f>
        <v>1.9204096873999785</v>
      </c>
      <c r="J965" s="9">
        <f>'1_Du_lieu'!Y337</f>
        <v>8.4351802106955578</v>
      </c>
      <c r="K965" s="5">
        <f t="shared" si="155"/>
        <v>0</v>
      </c>
      <c r="L965" s="5">
        <f t="shared" si="156"/>
        <v>0</v>
      </c>
      <c r="M965" s="5">
        <f t="shared" si="157"/>
        <v>0</v>
      </c>
      <c r="N965" s="5">
        <f t="shared" si="158"/>
        <v>1</v>
      </c>
      <c r="O965" s="5">
        <f t="shared" si="159"/>
        <v>0</v>
      </c>
      <c r="P965" s="5">
        <f t="shared" si="160"/>
        <v>0</v>
      </c>
    </row>
    <row r="966" spans="1:16" x14ac:dyDescent="0.25">
      <c r="A966" t="s">
        <v>109</v>
      </c>
      <c r="B966">
        <v>2022</v>
      </c>
      <c r="C966" s="7">
        <f>'1_Du_lieu'!V338</f>
        <v>2.6390573296152584</v>
      </c>
      <c r="D966" s="9">
        <f>'1_Du_lieu'!W338</f>
        <v>4.2752762647270011</v>
      </c>
      <c r="E966" s="9">
        <f>'1_Du_lieu'!L338</f>
        <v>4.218</v>
      </c>
      <c r="F966" s="9">
        <f>'1_Du_lieu'!M338</f>
        <v>22.3</v>
      </c>
      <c r="G966" s="9">
        <f>'1_Du_lieu'!N338</f>
        <v>30.8</v>
      </c>
      <c r="H966" s="9">
        <f>'1_Du_lieu'!X338</f>
        <v>3.3859009454391313</v>
      </c>
      <c r="I966" s="9">
        <f>'1_Du_lieu'!T338</f>
        <v>0.37956426022925682</v>
      </c>
      <c r="J966" s="9">
        <f>'1_Du_lieu'!Y338</f>
        <v>9.1183676167696159</v>
      </c>
      <c r="K966" s="5">
        <f t="shared" si="155"/>
        <v>0</v>
      </c>
      <c r="L966" s="5">
        <f t="shared" si="156"/>
        <v>0</v>
      </c>
      <c r="M966" s="5">
        <f t="shared" si="157"/>
        <v>0</v>
      </c>
      <c r="N966" s="5">
        <f t="shared" si="158"/>
        <v>1</v>
      </c>
      <c r="O966" s="5">
        <f t="shared" si="159"/>
        <v>0</v>
      </c>
      <c r="P966" s="5">
        <f t="shared" si="160"/>
        <v>0</v>
      </c>
    </row>
    <row r="967" spans="1:16" x14ac:dyDescent="0.25">
      <c r="A967" t="s">
        <v>110</v>
      </c>
      <c r="B967">
        <v>2022</v>
      </c>
      <c r="C967" s="7">
        <f>'1_Du_lieu'!V339</f>
        <v>2.3702437414678603</v>
      </c>
      <c r="D967" s="9">
        <f>'1_Du_lieu'!W339</f>
        <v>4.2076732475291037</v>
      </c>
      <c r="E967" s="9">
        <f>'1_Du_lieu'!L339</f>
        <v>3.3039999999999998</v>
      </c>
      <c r="F967" s="9">
        <f>'1_Du_lieu'!M339</f>
        <v>25.43</v>
      </c>
      <c r="G967" s="9">
        <f>'1_Du_lieu'!N339</f>
        <v>23.8</v>
      </c>
      <c r="H967" s="9">
        <f>'1_Du_lieu'!X339</f>
        <v>2.2653099386064244</v>
      </c>
      <c r="I967" s="9">
        <f>'1_Du_lieu'!T339</f>
        <v>1.1423349326022392</v>
      </c>
      <c r="J967" s="9">
        <f>'1_Du_lieu'!Y339</f>
        <v>6.713684975153634</v>
      </c>
      <c r="K967" s="5">
        <f t="shared" si="155"/>
        <v>0</v>
      </c>
      <c r="L967" s="5">
        <f t="shared" si="156"/>
        <v>0</v>
      </c>
      <c r="M967" s="5">
        <f t="shared" si="157"/>
        <v>0</v>
      </c>
      <c r="N967" s="5">
        <f t="shared" si="158"/>
        <v>1</v>
      </c>
      <c r="O967" s="5">
        <f t="shared" si="159"/>
        <v>0</v>
      </c>
      <c r="P967" s="5">
        <f t="shared" si="160"/>
        <v>0</v>
      </c>
    </row>
    <row r="968" spans="1:16" x14ac:dyDescent="0.25">
      <c r="A968" t="s">
        <v>111</v>
      </c>
      <c r="B968">
        <v>2022</v>
      </c>
      <c r="C968" s="7">
        <f>'1_Du_lieu'!V340</f>
        <v>3.1527360223636558</v>
      </c>
      <c r="D968" s="9">
        <f>'1_Du_lieu'!W340</f>
        <v>4.6298627985784631</v>
      </c>
      <c r="E968" s="9">
        <f>'1_Du_lieu'!L340</f>
        <v>6.9470000000000001</v>
      </c>
      <c r="F968" s="9">
        <f>'1_Du_lieu'!M340</f>
        <v>16.84</v>
      </c>
      <c r="G968" s="9">
        <f>'1_Du_lieu'!N340</f>
        <v>28.1</v>
      </c>
      <c r="H968" s="9">
        <f>'1_Du_lieu'!X340</f>
        <v>3.282132441752116</v>
      </c>
      <c r="I968" s="9">
        <f>'1_Du_lieu'!T340</f>
        <v>1.8591680223100162</v>
      </c>
      <c r="J968" s="9">
        <f>'1_Du_lieu'!Y340</f>
        <v>8.5471402677841901</v>
      </c>
      <c r="K968" s="5">
        <f t="shared" si="155"/>
        <v>0</v>
      </c>
      <c r="L968" s="5">
        <f t="shared" si="156"/>
        <v>0</v>
      </c>
      <c r="M968" s="5">
        <f t="shared" si="157"/>
        <v>0</v>
      </c>
      <c r="N968" s="5">
        <f t="shared" si="158"/>
        <v>1</v>
      </c>
      <c r="O968" s="5">
        <f t="shared" si="159"/>
        <v>0</v>
      </c>
      <c r="P968" s="5">
        <f t="shared" si="160"/>
        <v>0</v>
      </c>
    </row>
    <row r="969" spans="1:16" x14ac:dyDescent="0.25">
      <c r="A969" t="s">
        <v>112</v>
      </c>
      <c r="B969">
        <v>2022</v>
      </c>
      <c r="C969" s="7">
        <f>'1_Du_lieu'!V341</f>
        <v>3.1090609588609941</v>
      </c>
      <c r="D969" s="9">
        <f>'1_Du_lieu'!W341</f>
        <v>4.4739218993781371</v>
      </c>
      <c r="E969" s="9">
        <f>'1_Du_lieu'!L341</f>
        <v>5.4470000000000001</v>
      </c>
      <c r="F969" s="9">
        <f>'1_Du_lieu'!M341</f>
        <v>31.75</v>
      </c>
      <c r="G969" s="9">
        <f>'1_Du_lieu'!N341</f>
        <v>29.7</v>
      </c>
      <c r="H969" s="9">
        <f>'1_Du_lieu'!X341</f>
        <v>3.1732481091670777</v>
      </c>
      <c r="I969" s="9">
        <f>'1_Du_lieu'!T341</f>
        <v>0.5650297924799671</v>
      </c>
      <c r="J969" s="9">
        <f>'1_Du_lieu'!Y341</f>
        <v>8.4576554787000404</v>
      </c>
      <c r="K969" s="5">
        <f t="shared" si="155"/>
        <v>0</v>
      </c>
      <c r="L969" s="5">
        <f t="shared" si="156"/>
        <v>0</v>
      </c>
      <c r="M969" s="5">
        <f t="shared" si="157"/>
        <v>0</v>
      </c>
      <c r="N969" s="5">
        <f t="shared" si="158"/>
        <v>1</v>
      </c>
      <c r="O969" s="5">
        <f t="shared" si="159"/>
        <v>0</v>
      </c>
      <c r="P969" s="5">
        <f t="shared" si="160"/>
        <v>0</v>
      </c>
    </row>
    <row r="970" spans="1:16" x14ac:dyDescent="0.25">
      <c r="A970" t="s">
        <v>113</v>
      </c>
      <c r="B970">
        <v>2022</v>
      </c>
      <c r="C970" s="7">
        <f>'1_Du_lieu'!V342</f>
        <v>3.4688560301359703</v>
      </c>
      <c r="D970" s="9">
        <f>'1_Du_lieu'!W342</f>
        <v>5.1451661870538619</v>
      </c>
      <c r="E970" s="9">
        <f>'1_Du_lieu'!L342</f>
        <v>9.9280000000000008</v>
      </c>
      <c r="F970" s="9">
        <f>'1_Du_lieu'!M342</f>
        <v>45.58</v>
      </c>
      <c r="G970" s="9">
        <f>'1_Du_lieu'!N342</f>
        <v>36.5</v>
      </c>
      <c r="H970" s="9">
        <f>'1_Du_lieu'!X342</f>
        <v>4.0692829679328932</v>
      </c>
      <c r="I970" s="9">
        <f>'1_Du_lieu'!T342</f>
        <v>1.7241379310344827</v>
      </c>
      <c r="J970" s="9">
        <f>'1_Du_lieu'!Y342</f>
        <v>9.4025297479684866</v>
      </c>
      <c r="K970" s="5">
        <f t="shared" si="155"/>
        <v>0</v>
      </c>
      <c r="L970" s="5">
        <f t="shared" si="156"/>
        <v>0</v>
      </c>
      <c r="M970" s="5">
        <f t="shared" si="157"/>
        <v>0</v>
      </c>
      <c r="N970" s="5">
        <f t="shared" si="158"/>
        <v>1</v>
      </c>
      <c r="O970" s="5">
        <f t="shared" si="159"/>
        <v>0</v>
      </c>
      <c r="P970" s="5">
        <f t="shared" si="160"/>
        <v>0</v>
      </c>
    </row>
    <row r="971" spans="1:16" x14ac:dyDescent="0.25">
      <c r="A971" t="s">
        <v>114</v>
      </c>
      <c r="B971">
        <v>2022</v>
      </c>
      <c r="C971" s="7">
        <f>'1_Du_lieu'!V343</f>
        <v>2.4248027257182949</v>
      </c>
      <c r="D971" s="9">
        <f>'1_Du_lieu'!W343</f>
        <v>4.2150861799182291</v>
      </c>
      <c r="E971" s="9">
        <f>'1_Du_lieu'!L343</f>
        <v>3.4710000000000001</v>
      </c>
      <c r="F971" s="9">
        <f>'1_Du_lieu'!M343</f>
        <v>28.1</v>
      </c>
      <c r="G971" s="9">
        <f>'1_Du_lieu'!N343</f>
        <v>12.5</v>
      </c>
      <c r="H971" s="9">
        <f>'1_Du_lieu'!X343</f>
        <v>1.1417181707316584</v>
      </c>
      <c r="I971" s="9">
        <f>'1_Du_lieu'!T343</f>
        <v>0.68540095956134339</v>
      </c>
      <c r="J971" s="9">
        <f>'1_Du_lieu'!Y343</f>
        <v>6.8474743480972071</v>
      </c>
      <c r="K971" s="5">
        <f t="shared" si="155"/>
        <v>0</v>
      </c>
      <c r="L971" s="5">
        <f t="shared" si="156"/>
        <v>0</v>
      </c>
      <c r="M971" s="5">
        <f t="shared" si="157"/>
        <v>0</v>
      </c>
      <c r="N971" s="5">
        <f t="shared" si="158"/>
        <v>1</v>
      </c>
      <c r="O971" s="5">
        <f t="shared" si="159"/>
        <v>0</v>
      </c>
      <c r="P971" s="5">
        <f t="shared" si="160"/>
        <v>0</v>
      </c>
    </row>
    <row r="972" spans="1:16" x14ac:dyDescent="0.25">
      <c r="A972" t="s">
        <v>115</v>
      </c>
      <c r="B972">
        <v>2022</v>
      </c>
      <c r="C972" s="7">
        <f>'1_Du_lieu'!V344</f>
        <v>3.1354942159291497</v>
      </c>
      <c r="D972" s="9">
        <f>'1_Du_lieu'!W344</f>
        <v>4.3463994570307305</v>
      </c>
      <c r="E972" s="9">
        <f>'1_Du_lieu'!L344</f>
        <v>8.93</v>
      </c>
      <c r="F972" s="9">
        <f>'1_Du_lieu'!M344</f>
        <v>42.36</v>
      </c>
      <c r="G972" s="9">
        <f>'1_Du_lieu'!N344</f>
        <v>25.3</v>
      </c>
      <c r="H972" s="9">
        <f>'1_Du_lieu'!X344</f>
        <v>2.9604727634774077</v>
      </c>
      <c r="I972" s="9">
        <f>'1_Du_lieu'!T344</f>
        <v>1.9936204146730463</v>
      </c>
      <c r="J972" s="9">
        <f>'1_Du_lieu'!Y344</f>
        <v>8.1622025425416034</v>
      </c>
      <c r="K972" s="5">
        <f t="shared" si="155"/>
        <v>0</v>
      </c>
      <c r="L972" s="5">
        <f t="shared" si="156"/>
        <v>0</v>
      </c>
      <c r="M972" s="5">
        <f t="shared" si="157"/>
        <v>0</v>
      </c>
      <c r="N972" s="5">
        <f t="shared" si="158"/>
        <v>1</v>
      </c>
      <c r="O972" s="5">
        <f t="shared" si="159"/>
        <v>0</v>
      </c>
      <c r="P972" s="5">
        <f t="shared" si="160"/>
        <v>0</v>
      </c>
    </row>
    <row r="973" spans="1:16" x14ac:dyDescent="0.25">
      <c r="A973" t="s">
        <v>116</v>
      </c>
      <c r="B973">
        <v>2022</v>
      </c>
      <c r="C973" s="7">
        <f>'1_Du_lieu'!V345</f>
        <v>2.6461747973841225</v>
      </c>
      <c r="D973" s="9">
        <f>'1_Du_lieu'!W345</f>
        <v>4.1956970564823886</v>
      </c>
      <c r="E973" s="9">
        <f>'1_Du_lieu'!L345</f>
        <v>4.93</v>
      </c>
      <c r="F973" s="9">
        <f>'1_Du_lieu'!M345</f>
        <v>29.84</v>
      </c>
      <c r="G973" s="9">
        <f>'1_Du_lieu'!N345</f>
        <v>16</v>
      </c>
      <c r="H973" s="9">
        <f>'1_Du_lieu'!X345</f>
        <v>0.47072405696842362</v>
      </c>
      <c r="I973" s="9">
        <f>'1_Du_lieu'!T345</f>
        <v>5.4800776344331545</v>
      </c>
      <c r="J973" s="9">
        <f>'1_Du_lieu'!Y345</f>
        <v>7.9181918767465218</v>
      </c>
      <c r="K973" s="5">
        <f t="shared" si="155"/>
        <v>0</v>
      </c>
      <c r="L973" s="5">
        <f t="shared" si="156"/>
        <v>0</v>
      </c>
      <c r="M973" s="5">
        <f t="shared" si="157"/>
        <v>0</v>
      </c>
      <c r="N973" s="5">
        <f t="shared" si="158"/>
        <v>1</v>
      </c>
      <c r="O973" s="5">
        <f t="shared" si="159"/>
        <v>0</v>
      </c>
      <c r="P973" s="5">
        <f t="shared" si="160"/>
        <v>0</v>
      </c>
    </row>
    <row r="974" spans="1:16" x14ac:dyDescent="0.25">
      <c r="A974" t="s">
        <v>117</v>
      </c>
      <c r="B974">
        <v>2022</v>
      </c>
      <c r="C974" s="7">
        <f>'1_Du_lieu'!V346</f>
        <v>2.3702437414678603</v>
      </c>
      <c r="D974" s="9">
        <f>'1_Du_lieu'!W346</f>
        <v>3.9740583963475986</v>
      </c>
      <c r="E974" s="9">
        <f>'1_Du_lieu'!L346</f>
        <v>3.5369999999999999</v>
      </c>
      <c r="F974" s="9">
        <f>'1_Du_lieu'!M346</f>
        <v>32.51</v>
      </c>
      <c r="G974" s="9">
        <f>'1_Du_lieu'!N346</f>
        <v>17.600000000000001</v>
      </c>
      <c r="H974" s="9">
        <f>'1_Du_lieu'!X346</f>
        <v>2.6196049476791372</v>
      </c>
      <c r="I974" s="9">
        <f>'1_Du_lieu'!T346</f>
        <v>0.86221762372822897</v>
      </c>
      <c r="J974" s="9">
        <f>'1_Du_lieu'!Y346</f>
        <v>6.0502050421305817</v>
      </c>
      <c r="K974" s="5">
        <f t="shared" si="155"/>
        <v>0</v>
      </c>
      <c r="L974" s="5">
        <f t="shared" si="156"/>
        <v>0</v>
      </c>
      <c r="M974" s="5">
        <f t="shared" si="157"/>
        <v>0</v>
      </c>
      <c r="N974" s="5">
        <f t="shared" si="158"/>
        <v>1</v>
      </c>
      <c r="O974" s="5">
        <f t="shared" si="159"/>
        <v>0</v>
      </c>
      <c r="P974" s="5">
        <f t="shared" si="160"/>
        <v>0</v>
      </c>
    </row>
    <row r="975" spans="1:16" x14ac:dyDescent="0.25">
      <c r="A975" t="s">
        <v>119</v>
      </c>
      <c r="B975">
        <v>2022</v>
      </c>
      <c r="C975" s="7">
        <f>'1_Du_lieu'!V348</f>
        <v>3.0007198150650303</v>
      </c>
      <c r="D975" s="9">
        <f>'1_Du_lieu'!W348</f>
        <v>4.5031374604229395</v>
      </c>
      <c r="E975" s="9">
        <f>'1_Du_lieu'!L348</f>
        <v>6.6269999999999998</v>
      </c>
      <c r="F975" s="9">
        <f>'1_Du_lieu'!M348</f>
        <v>18.37</v>
      </c>
      <c r="G975" s="9">
        <f>'1_Du_lieu'!N348</f>
        <v>15.1</v>
      </c>
      <c r="H975" s="9">
        <f>'1_Du_lieu'!X348</f>
        <v>1.3168967570367087</v>
      </c>
      <c r="I975" s="9">
        <f>'1_Du_lieu'!T348</f>
        <v>0.46128120855676641</v>
      </c>
      <c r="J975" s="9">
        <f>'1_Du_lieu'!Y348</f>
        <v>8.9159558884647261</v>
      </c>
      <c r="K975" s="5">
        <f t="shared" si="155"/>
        <v>0</v>
      </c>
      <c r="L975" s="5">
        <f t="shared" si="156"/>
        <v>0</v>
      </c>
      <c r="M975" s="5">
        <f t="shared" si="157"/>
        <v>0</v>
      </c>
      <c r="N975" s="5">
        <f t="shared" si="158"/>
        <v>1</v>
      </c>
      <c r="O975" s="5">
        <f t="shared" si="159"/>
        <v>0</v>
      </c>
      <c r="P975" s="5">
        <f t="shared" si="160"/>
        <v>0</v>
      </c>
    </row>
    <row r="976" spans="1:16" x14ac:dyDescent="0.25">
      <c r="A976" t="s">
        <v>120</v>
      </c>
      <c r="B976">
        <v>2022</v>
      </c>
      <c r="C976" s="7">
        <f>'1_Du_lieu'!V349</f>
        <v>2.5649493574615367</v>
      </c>
      <c r="D976" s="9">
        <f>'1_Du_lieu'!W349</f>
        <v>4.423648309364701</v>
      </c>
      <c r="E976" s="9">
        <f>'1_Du_lieu'!L349</f>
        <v>4.1920000000000002</v>
      </c>
      <c r="F976" s="9">
        <f>'1_Du_lieu'!M349</f>
        <v>26.8</v>
      </c>
      <c r="G976" s="9">
        <f>'1_Du_lieu'!N349</f>
        <v>22.7</v>
      </c>
      <c r="H976" s="9">
        <f>'1_Du_lieu'!X349</f>
        <v>2.2227910783318956</v>
      </c>
      <c r="I976" s="9">
        <f>'1_Du_lieu'!T349</f>
        <v>1.5572281339216196</v>
      </c>
      <c r="J976" s="9">
        <f>'1_Du_lieu'!Y349</f>
        <v>6.6293632534374485</v>
      </c>
      <c r="K976" s="5">
        <f t="shared" si="155"/>
        <v>0</v>
      </c>
      <c r="L976" s="5">
        <f t="shared" si="156"/>
        <v>0</v>
      </c>
      <c r="M976" s="5">
        <f t="shared" si="157"/>
        <v>0</v>
      </c>
      <c r="N976" s="5">
        <f t="shared" si="158"/>
        <v>1</v>
      </c>
      <c r="O976" s="5">
        <f t="shared" si="159"/>
        <v>0</v>
      </c>
      <c r="P976" s="5">
        <f t="shared" si="160"/>
        <v>0</v>
      </c>
    </row>
    <row r="977" spans="1:16" x14ac:dyDescent="0.25">
      <c r="A977" t="s">
        <v>121</v>
      </c>
      <c r="B977">
        <v>2022</v>
      </c>
      <c r="C977" s="7">
        <f>'1_Du_lieu'!V350</f>
        <v>2.9755295662364718</v>
      </c>
      <c r="D977" s="9">
        <f>'1_Du_lieu'!W350</f>
        <v>4.3502779363593014</v>
      </c>
      <c r="E977" s="9">
        <f>'1_Du_lieu'!L350</f>
        <v>5.7679999999999998</v>
      </c>
      <c r="F977" s="9">
        <f>'1_Du_lieu'!M350</f>
        <v>39.29</v>
      </c>
      <c r="G977" s="9">
        <f>'1_Du_lieu'!N350</f>
        <v>21.8</v>
      </c>
      <c r="H977" s="9">
        <f>'1_Du_lieu'!X350</f>
        <v>2.8758452436893234</v>
      </c>
      <c r="I977" s="9">
        <f>'1_Du_lieu'!T350</f>
        <v>0.60037523452157604</v>
      </c>
      <c r="J977" s="9">
        <f>'1_Du_lieu'!Y350</f>
        <v>5.9584246930297819</v>
      </c>
      <c r="K977" s="5">
        <f t="shared" si="155"/>
        <v>0</v>
      </c>
      <c r="L977" s="5">
        <f t="shared" si="156"/>
        <v>0</v>
      </c>
      <c r="M977" s="5">
        <f t="shared" si="157"/>
        <v>0</v>
      </c>
      <c r="N977" s="5">
        <f t="shared" si="158"/>
        <v>1</v>
      </c>
      <c r="O977" s="5">
        <f t="shared" si="159"/>
        <v>0</v>
      </c>
      <c r="P977" s="5">
        <f t="shared" si="160"/>
        <v>0</v>
      </c>
    </row>
    <row r="978" spans="1:16" x14ac:dyDescent="0.25">
      <c r="A978" t="s">
        <v>122</v>
      </c>
      <c r="B978">
        <v>2022</v>
      </c>
      <c r="C978" s="7">
        <f>'1_Du_lieu'!V351</f>
        <v>2.4423470353692043</v>
      </c>
      <c r="D978" s="9">
        <f>'1_Du_lieu'!W351</f>
        <v>3.9318256327243257</v>
      </c>
      <c r="E978" s="9">
        <f>'1_Du_lieu'!L351</f>
        <v>2.9260000000000002</v>
      </c>
      <c r="F978" s="9">
        <f>'1_Du_lieu'!M351</f>
        <v>23.18</v>
      </c>
      <c r="G978" s="9">
        <f>'1_Du_lieu'!N351</f>
        <v>28.5</v>
      </c>
      <c r="H978" s="9">
        <f>'1_Du_lieu'!X351</f>
        <v>2.0304323970467162</v>
      </c>
      <c r="I978" s="9">
        <f>'1_Du_lieu'!T351</f>
        <v>0.99738187258446576</v>
      </c>
      <c r="J978" s="9">
        <f>'1_Du_lieu'!Y351</f>
        <v>5.7061130899944832</v>
      </c>
      <c r="K978" s="5">
        <f t="shared" si="155"/>
        <v>0</v>
      </c>
      <c r="L978" s="5">
        <f t="shared" si="156"/>
        <v>0</v>
      </c>
      <c r="M978" s="5">
        <f t="shared" si="157"/>
        <v>0</v>
      </c>
      <c r="N978" s="5">
        <f t="shared" si="158"/>
        <v>1</v>
      </c>
      <c r="O978" s="5">
        <f t="shared" si="159"/>
        <v>0</v>
      </c>
      <c r="P978" s="5">
        <f t="shared" si="160"/>
        <v>0</v>
      </c>
    </row>
    <row r="979" spans="1:16" x14ac:dyDescent="0.25">
      <c r="A979" t="s">
        <v>123</v>
      </c>
      <c r="B979">
        <v>2022</v>
      </c>
      <c r="C979" s="7">
        <f>'1_Du_lieu'!V352</f>
        <v>3.1904763503465028</v>
      </c>
      <c r="D979" s="9">
        <f>'1_Du_lieu'!W352</f>
        <v>3.8565102954978872</v>
      </c>
      <c r="E979" s="9">
        <f>'1_Du_lieu'!L352</f>
        <v>3.649</v>
      </c>
      <c r="F979" s="9">
        <f>'1_Du_lieu'!M352</f>
        <v>20.27</v>
      </c>
      <c r="G979" s="9">
        <f>'1_Du_lieu'!N352</f>
        <v>21.5</v>
      </c>
      <c r="H979" s="9">
        <f>'1_Du_lieu'!X352</f>
        <v>2.1293562822706686</v>
      </c>
      <c r="I979" s="9">
        <f>'1_Du_lieu'!T352</f>
        <v>1.2787042463636848</v>
      </c>
      <c r="J979" s="9">
        <f>'1_Du_lieu'!Y352</f>
        <v>7.59231569860476</v>
      </c>
      <c r="K979" s="5">
        <f t="shared" si="155"/>
        <v>0</v>
      </c>
      <c r="L979" s="5">
        <f t="shared" si="156"/>
        <v>0</v>
      </c>
      <c r="M979" s="5">
        <f t="shared" si="157"/>
        <v>0</v>
      </c>
      <c r="N979" s="5">
        <f t="shared" si="158"/>
        <v>1</v>
      </c>
      <c r="O979" s="5">
        <f t="shared" si="159"/>
        <v>0</v>
      </c>
      <c r="P979" s="5">
        <f t="shared" si="160"/>
        <v>0</v>
      </c>
    </row>
    <row r="980" spans="1:16" x14ac:dyDescent="0.25">
      <c r="A980" t="s">
        <v>124</v>
      </c>
      <c r="B980">
        <v>2022</v>
      </c>
      <c r="C980" s="7">
        <f>'1_Du_lieu'!V353</f>
        <v>3.0587070727153796</v>
      </c>
      <c r="D980" s="9">
        <f>'1_Du_lieu'!W353</f>
        <v>3.9357395320454622</v>
      </c>
      <c r="E980" s="9">
        <f>'1_Du_lieu'!L353</f>
        <v>3.8460000000000001</v>
      </c>
      <c r="F980" s="9">
        <f>'1_Du_lieu'!M353</f>
        <v>15.51</v>
      </c>
      <c r="G980" s="9">
        <f>'1_Du_lieu'!N353</f>
        <v>25.3</v>
      </c>
      <c r="H980" s="9">
        <f>'1_Du_lieu'!X353</f>
        <v>3.77716274361469</v>
      </c>
      <c r="I980" s="9">
        <f>'1_Du_lieu'!T353</f>
        <v>3.1578947368421053</v>
      </c>
      <c r="J980" s="9">
        <f>'1_Du_lieu'!Y353</f>
        <v>6.6243307967829974</v>
      </c>
      <c r="K980" s="5">
        <f t="shared" si="155"/>
        <v>0</v>
      </c>
      <c r="L980" s="5">
        <f t="shared" si="156"/>
        <v>0</v>
      </c>
      <c r="M980" s="5">
        <f t="shared" si="157"/>
        <v>0</v>
      </c>
      <c r="N980" s="5">
        <f t="shared" si="158"/>
        <v>1</v>
      </c>
      <c r="O980" s="5">
        <f t="shared" si="159"/>
        <v>0</v>
      </c>
      <c r="P980" s="5">
        <f t="shared" si="160"/>
        <v>0</v>
      </c>
    </row>
    <row r="981" spans="1:16" x14ac:dyDescent="0.25">
      <c r="A981" t="s">
        <v>125</v>
      </c>
      <c r="B981">
        <v>2022</v>
      </c>
      <c r="C981" s="7">
        <f>'1_Du_lieu'!V354</f>
        <v>2.884800712846709</v>
      </c>
      <c r="D981" s="9">
        <f>'1_Du_lieu'!W354</f>
        <v>4.3795235044557632</v>
      </c>
      <c r="E981" s="9">
        <f>'1_Du_lieu'!L354</f>
        <v>5.1070000000000002</v>
      </c>
      <c r="F981" s="9">
        <f>'1_Du_lieu'!M354</f>
        <v>21.61</v>
      </c>
      <c r="G981" s="9">
        <f>'1_Du_lieu'!N354</f>
        <v>31.8</v>
      </c>
      <c r="H981" s="9">
        <f>'1_Du_lieu'!X354</f>
        <v>3.6335609281497008</v>
      </c>
      <c r="I981" s="9">
        <f>'1_Du_lieu'!T354</f>
        <v>3.4626038781163437</v>
      </c>
      <c r="J981" s="9">
        <f>'1_Du_lieu'!Y354</f>
        <v>7.369411666740044</v>
      </c>
      <c r="K981" s="5">
        <f t="shared" si="155"/>
        <v>0</v>
      </c>
      <c r="L981" s="5">
        <f t="shared" si="156"/>
        <v>0</v>
      </c>
      <c r="M981" s="5">
        <f t="shared" si="157"/>
        <v>0</v>
      </c>
      <c r="N981" s="5">
        <f t="shared" si="158"/>
        <v>1</v>
      </c>
      <c r="O981" s="5">
        <f t="shared" si="159"/>
        <v>0</v>
      </c>
      <c r="P981" s="5">
        <f t="shared" si="160"/>
        <v>0</v>
      </c>
    </row>
    <row r="982" spans="1:16" x14ac:dyDescent="0.25">
      <c r="A982" t="s">
        <v>126</v>
      </c>
      <c r="B982">
        <v>2022</v>
      </c>
      <c r="C982" s="7">
        <f>'1_Du_lieu'!V355</f>
        <v>2.6100697927420065</v>
      </c>
      <c r="D982" s="9">
        <f>'1_Du_lieu'!W355</f>
        <v>4.3528552573736015</v>
      </c>
      <c r="E982" s="9">
        <f>'1_Du_lieu'!L355</f>
        <v>4.9790000000000001</v>
      </c>
      <c r="F982" s="9">
        <f>'1_Du_lieu'!M355</f>
        <v>35.46</v>
      </c>
      <c r="G982" s="9">
        <f>'1_Du_lieu'!N355</f>
        <v>17.7</v>
      </c>
      <c r="H982" s="9">
        <f>'1_Du_lieu'!X355</f>
        <v>2.4245795033472342</v>
      </c>
      <c r="I982" s="9">
        <f>'1_Du_lieu'!T355</f>
        <v>1.0021713713044931</v>
      </c>
      <c r="J982" s="9">
        <f>'1_Du_lieu'!Y355</f>
        <v>7.9721556229800576</v>
      </c>
      <c r="K982" s="5">
        <f t="shared" si="155"/>
        <v>0</v>
      </c>
      <c r="L982" s="5">
        <f t="shared" si="156"/>
        <v>0</v>
      </c>
      <c r="M982" s="5">
        <f t="shared" si="157"/>
        <v>0</v>
      </c>
      <c r="N982" s="5">
        <f t="shared" si="158"/>
        <v>1</v>
      </c>
      <c r="O982" s="5">
        <f t="shared" si="159"/>
        <v>0</v>
      </c>
      <c r="P982" s="5">
        <f t="shared" si="160"/>
        <v>0</v>
      </c>
    </row>
    <row r="983" spans="1:16" x14ac:dyDescent="0.25">
      <c r="A983" t="s">
        <v>127</v>
      </c>
      <c r="B983">
        <v>2022</v>
      </c>
      <c r="C983" s="7">
        <f>'1_Du_lieu'!V356</f>
        <v>2.6461747973841225</v>
      </c>
      <c r="D983" s="9">
        <f>'1_Du_lieu'!W356</f>
        <v>4.0876555740713041</v>
      </c>
      <c r="E983" s="9">
        <f>'1_Du_lieu'!L356</f>
        <v>4.0229999999999997</v>
      </c>
      <c r="F983" s="9">
        <f>'1_Du_lieu'!M356</f>
        <v>19.350000000000001</v>
      </c>
      <c r="G983" s="9">
        <f>'1_Du_lieu'!N356</f>
        <v>33.200000000000003</v>
      </c>
      <c r="H983" s="9">
        <f>'1_Du_lieu'!X356</f>
        <v>3.0242620052652658</v>
      </c>
      <c r="I983" s="9">
        <f>'1_Du_lieu'!T356</f>
        <v>1.3184784758388819</v>
      </c>
      <c r="J983" s="9">
        <f>'1_Du_lieu'!Y356</f>
        <v>7.6338051792177906</v>
      </c>
      <c r="K983" s="5">
        <f t="shared" si="155"/>
        <v>0</v>
      </c>
      <c r="L983" s="5">
        <f t="shared" si="156"/>
        <v>0</v>
      </c>
      <c r="M983" s="5">
        <f t="shared" si="157"/>
        <v>0</v>
      </c>
      <c r="N983" s="5">
        <f t="shared" si="158"/>
        <v>1</v>
      </c>
      <c r="O983" s="5">
        <f t="shared" si="159"/>
        <v>0</v>
      </c>
      <c r="P983" s="5">
        <f t="shared" si="160"/>
        <v>0</v>
      </c>
    </row>
    <row r="984" spans="1:16" x14ac:dyDescent="0.25">
      <c r="A984" t="s">
        <v>128</v>
      </c>
      <c r="B984">
        <v>2022</v>
      </c>
      <c r="C984" s="7">
        <f>'1_Du_lieu'!V357</f>
        <v>2.6390573296152584</v>
      </c>
      <c r="D984" s="9">
        <f>'1_Du_lieu'!W357</f>
        <v>4.0500443033255209</v>
      </c>
      <c r="E984" s="9">
        <f>'1_Du_lieu'!L357</f>
        <v>3.7690000000000001</v>
      </c>
      <c r="F984" s="9">
        <f>'1_Du_lieu'!M357</f>
        <v>32.71</v>
      </c>
      <c r="G984" s="9">
        <f>'1_Du_lieu'!N357</f>
        <v>21.7</v>
      </c>
      <c r="H984" s="9">
        <f>'1_Du_lieu'!X357</f>
        <v>2.5091280035892085</v>
      </c>
      <c r="I984" s="9">
        <f>'1_Du_lieu'!T357</f>
        <v>0.45630846452201684</v>
      </c>
      <c r="J984" s="9">
        <f>'1_Du_lieu'!Y357</f>
        <v>7.7502702911929058</v>
      </c>
      <c r="K984" s="5">
        <f t="shared" si="155"/>
        <v>0</v>
      </c>
      <c r="L984" s="5">
        <f t="shared" si="156"/>
        <v>0</v>
      </c>
      <c r="M984" s="5">
        <f t="shared" si="157"/>
        <v>0</v>
      </c>
      <c r="N984" s="5">
        <f t="shared" si="158"/>
        <v>1</v>
      </c>
      <c r="O984" s="5">
        <f t="shared" si="159"/>
        <v>0</v>
      </c>
      <c r="P984" s="5">
        <f t="shared" si="160"/>
        <v>0</v>
      </c>
    </row>
    <row r="985" spans="1:16" x14ac:dyDescent="0.25">
      <c r="A985" t="s">
        <v>129</v>
      </c>
      <c r="B985">
        <v>2022</v>
      </c>
      <c r="C985" s="7">
        <f>'1_Du_lieu'!V358</f>
        <v>2.653241964607215</v>
      </c>
      <c r="D985" s="9">
        <f>'1_Du_lieu'!W358</f>
        <v>3.9945242269398897</v>
      </c>
      <c r="E985" s="9">
        <f>'1_Du_lieu'!L358</f>
        <v>5.5030000000000001</v>
      </c>
      <c r="F985" s="9">
        <f>'1_Du_lieu'!M358</f>
        <v>23.16</v>
      </c>
      <c r="G985" s="9">
        <f>'1_Du_lieu'!N358</f>
        <v>27</v>
      </c>
      <c r="H985" s="9">
        <f>'1_Du_lieu'!X358</f>
        <v>3.3856450372572775</v>
      </c>
      <c r="I985" s="9">
        <f>'1_Du_lieu'!T358</f>
        <v>0.87536929642192796</v>
      </c>
      <c r="J985" s="9">
        <f>'1_Du_lieu'!Y358</f>
        <v>7.1086532213490274</v>
      </c>
      <c r="K985" s="5">
        <f t="shared" si="155"/>
        <v>0</v>
      </c>
      <c r="L985" s="5">
        <f t="shared" si="156"/>
        <v>0</v>
      </c>
      <c r="M985" s="5">
        <f t="shared" si="157"/>
        <v>0</v>
      </c>
      <c r="N985" s="5">
        <f t="shared" si="158"/>
        <v>1</v>
      </c>
      <c r="O985" s="5">
        <f t="shared" si="159"/>
        <v>0</v>
      </c>
      <c r="P985" s="5">
        <f t="shared" si="160"/>
        <v>0</v>
      </c>
    </row>
    <row r="986" spans="1:16" x14ac:dyDescent="0.25">
      <c r="A986" t="s">
        <v>130</v>
      </c>
      <c r="B986">
        <v>2022</v>
      </c>
      <c r="C986" s="7">
        <f>'1_Du_lieu'!V359</f>
        <v>2.7725887222397811</v>
      </c>
      <c r="D986" s="9">
        <f>'1_Du_lieu'!W359</f>
        <v>4.3656431554233572</v>
      </c>
      <c r="E986" s="9">
        <f>'1_Du_lieu'!L359</f>
        <v>5.4340000000000002</v>
      </c>
      <c r="F986" s="9">
        <f>'1_Du_lieu'!M359</f>
        <v>26.81</v>
      </c>
      <c r="G986" s="9">
        <f>'1_Du_lieu'!N359</f>
        <v>26.7</v>
      </c>
      <c r="H986" s="9">
        <f>'1_Du_lieu'!X359</f>
        <v>2.3764015542257981</v>
      </c>
      <c r="I986" s="9">
        <f>'1_Du_lieu'!T359</f>
        <v>0.13163090693694879</v>
      </c>
      <c r="J986" s="9">
        <f>'1_Du_lieu'!Y359</f>
        <v>8.3366540451843729</v>
      </c>
      <c r="K986" s="5">
        <f t="shared" si="155"/>
        <v>0</v>
      </c>
      <c r="L986" s="5">
        <f t="shared" si="156"/>
        <v>0</v>
      </c>
      <c r="M986" s="5">
        <f t="shared" si="157"/>
        <v>0</v>
      </c>
      <c r="N986" s="5">
        <f t="shared" si="158"/>
        <v>1</v>
      </c>
      <c r="O986" s="5">
        <f t="shared" si="159"/>
        <v>0</v>
      </c>
      <c r="P986" s="5">
        <f t="shared" si="160"/>
        <v>0</v>
      </c>
    </row>
    <row r="987" spans="1:16" x14ac:dyDescent="0.25">
      <c r="A987" t="s">
        <v>131</v>
      </c>
      <c r="B987">
        <v>2022</v>
      </c>
      <c r="C987" s="7">
        <f>'1_Du_lieu'!V360</f>
        <v>2.6461747973841225</v>
      </c>
      <c r="D987" s="9">
        <f>'1_Du_lieu'!W360</f>
        <v>4.604169685654508</v>
      </c>
      <c r="E987" s="9">
        <f>'1_Du_lieu'!L360</f>
        <v>4.45</v>
      </c>
      <c r="F987" s="9">
        <f>'1_Du_lieu'!M360</f>
        <v>21.85</v>
      </c>
      <c r="G987" s="9">
        <f>'1_Du_lieu'!N360</f>
        <v>25.2</v>
      </c>
      <c r="H987" s="9">
        <f>'1_Du_lieu'!X360</f>
        <v>2.3807288593498392</v>
      </c>
      <c r="I987" s="9">
        <f>'1_Du_lieu'!T360</f>
        <v>0.80282594733461798</v>
      </c>
      <c r="J987" s="9">
        <f>'1_Du_lieu'!Y360</f>
        <v>7.4471100488621014</v>
      </c>
      <c r="K987" s="5">
        <f t="shared" si="155"/>
        <v>0</v>
      </c>
      <c r="L987" s="5">
        <f t="shared" si="156"/>
        <v>0</v>
      </c>
      <c r="M987" s="5">
        <f t="shared" si="157"/>
        <v>0</v>
      </c>
      <c r="N987" s="5">
        <f t="shared" si="158"/>
        <v>1</v>
      </c>
      <c r="O987" s="5">
        <f t="shared" si="159"/>
        <v>0</v>
      </c>
      <c r="P987" s="5">
        <f t="shared" si="160"/>
        <v>0</v>
      </c>
    </row>
    <row r="988" spans="1:16" x14ac:dyDescent="0.25">
      <c r="A988" t="s">
        <v>132</v>
      </c>
      <c r="B988">
        <v>2022</v>
      </c>
      <c r="C988" s="7">
        <f>'1_Du_lieu'!V361</f>
        <v>3.0587070727153796</v>
      </c>
      <c r="D988" s="9">
        <f>'1_Du_lieu'!W361</f>
        <v>5.2745368378826329</v>
      </c>
      <c r="E988" s="9">
        <f>'1_Du_lieu'!L361</f>
        <v>7.27</v>
      </c>
      <c r="F988" s="9">
        <f>'1_Du_lieu'!M361</f>
        <v>67.36</v>
      </c>
      <c r="G988" s="9">
        <f>'1_Du_lieu'!N361</f>
        <v>41.8</v>
      </c>
      <c r="H988" s="9">
        <f>'1_Du_lieu'!X361</f>
        <v>3.7925772410767871</v>
      </c>
      <c r="I988" s="9">
        <f>'1_Du_lieu'!T361</f>
        <v>2.4213075060532687</v>
      </c>
      <c r="J988" s="9">
        <f>'1_Du_lieu'!Y361</f>
        <v>8.9179807099732908</v>
      </c>
      <c r="K988" s="5">
        <f t="shared" si="155"/>
        <v>0</v>
      </c>
      <c r="L988" s="5">
        <f t="shared" si="156"/>
        <v>0</v>
      </c>
      <c r="M988" s="5">
        <f t="shared" si="157"/>
        <v>0</v>
      </c>
      <c r="N988" s="5">
        <f t="shared" si="158"/>
        <v>1</v>
      </c>
      <c r="O988" s="5">
        <f t="shared" si="159"/>
        <v>0</v>
      </c>
      <c r="P988" s="5">
        <f t="shared" si="160"/>
        <v>0</v>
      </c>
    </row>
    <row r="989" spans="1:16" x14ac:dyDescent="0.25">
      <c r="A989" t="s">
        <v>133</v>
      </c>
      <c r="B989">
        <v>2022</v>
      </c>
      <c r="C989" s="7">
        <f>'1_Du_lieu'!V362</f>
        <v>2.631888840136646</v>
      </c>
      <c r="D989" s="9">
        <f>'1_Du_lieu'!W362</f>
        <v>4.2076732475291037</v>
      </c>
      <c r="E989" s="9">
        <f>'1_Du_lieu'!L362</f>
        <v>5.0279999999999996</v>
      </c>
      <c r="F989" s="9">
        <f>'1_Du_lieu'!M362</f>
        <v>32.659999999999997</v>
      </c>
      <c r="G989" s="9">
        <f>'1_Du_lieu'!N362</f>
        <v>27.1</v>
      </c>
      <c r="H989" s="9">
        <f>'1_Du_lieu'!X362</f>
        <v>2.9230508924444827</v>
      </c>
      <c r="I989" s="9">
        <f>'1_Du_lieu'!T362</f>
        <v>6.145337225380243</v>
      </c>
      <c r="J989" s="9">
        <f>'1_Du_lieu'!Y362</f>
        <v>8.2633326674399665</v>
      </c>
      <c r="K989" s="5">
        <f t="shared" si="155"/>
        <v>0</v>
      </c>
      <c r="L989" s="5">
        <f t="shared" si="156"/>
        <v>0</v>
      </c>
      <c r="M989" s="5">
        <f t="shared" si="157"/>
        <v>0</v>
      </c>
      <c r="N989" s="5">
        <f t="shared" si="158"/>
        <v>1</v>
      </c>
      <c r="O989" s="5">
        <f t="shared" si="159"/>
        <v>0</v>
      </c>
      <c r="P989" s="5">
        <f t="shared" si="160"/>
        <v>0</v>
      </c>
    </row>
    <row r="990" spans="1:16" x14ac:dyDescent="0.25">
      <c r="A990" t="s">
        <v>136</v>
      </c>
      <c r="B990">
        <v>2022</v>
      </c>
      <c r="C990" s="7">
        <f>'1_Du_lieu'!V365</f>
        <v>4.5064542130489338</v>
      </c>
      <c r="D990" s="9">
        <f>'1_Du_lieu'!W365</f>
        <v>5.072043922224899</v>
      </c>
      <c r="E990" s="9">
        <f>'1_Du_lieu'!L365</f>
        <v>29.187999999999999</v>
      </c>
      <c r="F990" s="9">
        <f>'1_Du_lieu'!M365</f>
        <v>77.72</v>
      </c>
      <c r="G990" s="9">
        <f>'1_Du_lieu'!N365</f>
        <v>35.6</v>
      </c>
      <c r="H990" s="9">
        <f>'1_Du_lieu'!X365</f>
        <v>2.6717863427103232</v>
      </c>
      <c r="I990" s="9">
        <f>'1_Du_lieu'!T365</f>
        <v>3.0565406775509332</v>
      </c>
      <c r="J990" s="9">
        <f>'1_Du_lieu'!Y365</f>
        <v>8.6980803866720127</v>
      </c>
      <c r="K990" s="5">
        <f t="shared" si="155"/>
        <v>0</v>
      </c>
      <c r="L990" s="5">
        <f t="shared" si="156"/>
        <v>0</v>
      </c>
      <c r="M990" s="5">
        <f t="shared" si="157"/>
        <v>0</v>
      </c>
      <c r="N990" s="5">
        <f t="shared" si="158"/>
        <v>1</v>
      </c>
      <c r="O990" s="5">
        <f t="shared" si="159"/>
        <v>0</v>
      </c>
      <c r="P990" s="5">
        <f t="shared" si="160"/>
        <v>0</v>
      </c>
    </row>
    <row r="991" spans="1:16" x14ac:dyDescent="0.25">
      <c r="A991" t="s">
        <v>137</v>
      </c>
      <c r="B991">
        <v>2022</v>
      </c>
      <c r="C991" s="7">
        <f>'1_Du_lieu'!V366</f>
        <v>3.0587070727153796</v>
      </c>
      <c r="D991" s="9">
        <f>'1_Du_lieu'!W366</f>
        <v>4.2355547307736243</v>
      </c>
      <c r="E991" s="9">
        <f>'1_Du_lieu'!L366</f>
        <v>4.1630000000000003</v>
      </c>
      <c r="F991" s="9">
        <f>'1_Du_lieu'!M366</f>
        <v>27.67</v>
      </c>
      <c r="G991" s="9">
        <f>'1_Du_lieu'!N366</f>
        <v>26.4</v>
      </c>
      <c r="H991" s="9">
        <f>'1_Du_lieu'!X366</f>
        <v>2.7374847486813603</v>
      </c>
      <c r="I991" s="9">
        <f>'1_Du_lieu'!T366</f>
        <v>0.77913006098707716</v>
      </c>
      <c r="J991" s="9">
        <f>'1_Du_lieu'!Y366</f>
        <v>8.2918221611116767</v>
      </c>
      <c r="K991" s="5">
        <f t="shared" si="155"/>
        <v>0</v>
      </c>
      <c r="L991" s="5">
        <f t="shared" si="156"/>
        <v>0</v>
      </c>
      <c r="M991" s="5">
        <f t="shared" si="157"/>
        <v>0</v>
      </c>
      <c r="N991" s="5">
        <f t="shared" si="158"/>
        <v>1</v>
      </c>
      <c r="O991" s="5">
        <f t="shared" si="159"/>
        <v>0</v>
      </c>
      <c r="P991" s="5">
        <f t="shared" si="160"/>
        <v>0</v>
      </c>
    </row>
    <row r="992" spans="1:16" x14ac:dyDescent="0.25">
      <c r="A992" t="s">
        <v>138</v>
      </c>
      <c r="B992">
        <v>2022</v>
      </c>
      <c r="C992" s="7">
        <f>'1_Du_lieu'!V367</f>
        <v>2.8094026953624978</v>
      </c>
      <c r="D992" s="9">
        <f>'1_Du_lieu'!W367</f>
        <v>4.0552571735140539</v>
      </c>
      <c r="E992" s="9">
        <f>'1_Du_lieu'!L367</f>
        <v>3.1579999999999999</v>
      </c>
      <c r="F992" s="9">
        <f>'1_Du_lieu'!M367</f>
        <v>11.76</v>
      </c>
      <c r="G992" s="9">
        <f>'1_Du_lieu'!N367</f>
        <v>19.600000000000001</v>
      </c>
      <c r="H992" s="9">
        <f>'1_Du_lieu'!X367</f>
        <v>1.7666759542316288</v>
      </c>
      <c r="I992" s="9">
        <f>'1_Du_lieu'!T367</f>
        <v>0.90497737556561098</v>
      </c>
      <c r="J992" s="9">
        <f>'1_Du_lieu'!Y367</f>
        <v>6.9571167085198606</v>
      </c>
      <c r="K992" s="5">
        <f t="shared" ref="K992:K1055" si="161">IF(B992=2019,1,0)</f>
        <v>0</v>
      </c>
      <c r="L992" s="5">
        <f t="shared" ref="L992:L1055" si="162">IF(B992=2020,1,0)</f>
        <v>0</v>
      </c>
      <c r="M992" s="5">
        <f t="shared" ref="M992:M1055" si="163">IF(B992=2021,1,0)</f>
        <v>0</v>
      </c>
      <c r="N992" s="5">
        <f t="shared" ref="N992:N1055" si="164">IF(B992=2022,1,0)</f>
        <v>1</v>
      </c>
      <c r="O992" s="5">
        <f t="shared" ref="O992:O1055" si="165">IF(B992=2023,1,0)</f>
        <v>0</v>
      </c>
      <c r="P992" s="5">
        <f t="shared" ref="P992:P1055" si="166">IF(B992=2024,1,0)</f>
        <v>0</v>
      </c>
    </row>
    <row r="993" spans="1:16" x14ac:dyDescent="0.25">
      <c r="A993" t="s">
        <v>139</v>
      </c>
      <c r="B993">
        <v>2022</v>
      </c>
      <c r="C993" s="7">
        <f>'1_Du_lieu'!V368</f>
        <v>3.0155349008501706</v>
      </c>
      <c r="D993" s="9">
        <f>'1_Du_lieu'!W368</f>
        <v>4.6830567246451622</v>
      </c>
      <c r="E993" s="9">
        <f>'1_Du_lieu'!L368</f>
        <v>4.07</v>
      </c>
      <c r="F993" s="9">
        <f>'1_Du_lieu'!M368</f>
        <v>39.340000000000003</v>
      </c>
      <c r="G993" s="9">
        <f>'1_Du_lieu'!N368</f>
        <v>35.9</v>
      </c>
      <c r="H993" s="9">
        <f>'1_Du_lieu'!X368</f>
        <v>3.6128782814979066</v>
      </c>
      <c r="I993" s="9">
        <f>'1_Du_lieu'!T368</f>
        <v>1.721556886227545</v>
      </c>
      <c r="J993" s="9">
        <f>'1_Du_lieu'!Y368</f>
        <v>8.9680394851202792</v>
      </c>
      <c r="K993" s="5">
        <f t="shared" si="161"/>
        <v>0</v>
      </c>
      <c r="L993" s="5">
        <f t="shared" si="162"/>
        <v>0</v>
      </c>
      <c r="M993" s="5">
        <f t="shared" si="163"/>
        <v>0</v>
      </c>
      <c r="N993" s="5">
        <f t="shared" si="164"/>
        <v>1</v>
      </c>
      <c r="O993" s="5">
        <f t="shared" si="165"/>
        <v>0</v>
      </c>
      <c r="P993" s="5">
        <f t="shared" si="166"/>
        <v>0</v>
      </c>
    </row>
    <row r="994" spans="1:16" x14ac:dyDescent="0.25">
      <c r="A994" t="s">
        <v>141</v>
      </c>
      <c r="B994">
        <v>2022</v>
      </c>
      <c r="C994" s="7">
        <f>'1_Du_lieu'!V370</f>
        <v>2.6173958328340792</v>
      </c>
      <c r="D994" s="9">
        <f>'1_Du_lieu'!W370</f>
        <v>4.1415461637063951</v>
      </c>
      <c r="E994" s="9">
        <f>'1_Du_lieu'!L370</f>
        <v>3.0979999999999999</v>
      </c>
      <c r="F994" s="9">
        <f>'1_Du_lieu'!M370</f>
        <v>15.23</v>
      </c>
      <c r="G994" s="9">
        <f>'1_Du_lieu'!N370</f>
        <v>13.3</v>
      </c>
      <c r="H994" s="9">
        <f>'1_Du_lieu'!X370</f>
        <v>0.44651114206029646</v>
      </c>
      <c r="I994" s="9">
        <f>'1_Du_lieu'!T370</f>
        <v>0.84024198969303154</v>
      </c>
      <c r="J994" s="9">
        <f>'1_Du_lieu'!Y370</f>
        <v>7.3583849390446749</v>
      </c>
      <c r="K994" s="5">
        <f t="shared" si="161"/>
        <v>0</v>
      </c>
      <c r="L994" s="5">
        <f t="shared" si="162"/>
        <v>0</v>
      </c>
      <c r="M994" s="5">
        <f t="shared" si="163"/>
        <v>0</v>
      </c>
      <c r="N994" s="5">
        <f t="shared" si="164"/>
        <v>1</v>
      </c>
      <c r="O994" s="5">
        <f t="shared" si="165"/>
        <v>0</v>
      </c>
      <c r="P994" s="5">
        <f t="shared" si="166"/>
        <v>0</v>
      </c>
    </row>
    <row r="995" spans="1:16" x14ac:dyDescent="0.25">
      <c r="A995" t="s">
        <v>142</v>
      </c>
      <c r="B995">
        <v>2022</v>
      </c>
      <c r="C995" s="7">
        <f>'1_Du_lieu'!V371</f>
        <v>2.3702437414678603</v>
      </c>
      <c r="D995" s="9">
        <f>'1_Du_lieu'!W371</f>
        <v>4.2835865618606288</v>
      </c>
      <c r="E995" s="9">
        <f>'1_Du_lieu'!L371</f>
        <v>2.577</v>
      </c>
      <c r="F995" s="9">
        <f>'1_Du_lieu'!M371</f>
        <v>18.14</v>
      </c>
      <c r="G995" s="9">
        <f>'1_Du_lieu'!N371</f>
        <v>12.1</v>
      </c>
      <c r="H995" s="9">
        <f>'1_Du_lieu'!X371</f>
        <v>1.5680966359832049</v>
      </c>
      <c r="I995" s="9">
        <f>'1_Du_lieu'!T371</f>
        <v>0.88295889335818711</v>
      </c>
      <c r="J995" s="9">
        <f>'1_Du_lieu'!Y371</f>
        <v>8.0483408991276697</v>
      </c>
      <c r="K995" s="5">
        <f t="shared" si="161"/>
        <v>0</v>
      </c>
      <c r="L995" s="5">
        <f t="shared" si="162"/>
        <v>0</v>
      </c>
      <c r="M995" s="5">
        <f t="shared" si="163"/>
        <v>0</v>
      </c>
      <c r="N995" s="5">
        <f t="shared" si="164"/>
        <v>1</v>
      </c>
      <c r="O995" s="5">
        <f t="shared" si="165"/>
        <v>0</v>
      </c>
      <c r="P995" s="5">
        <f t="shared" si="166"/>
        <v>0</v>
      </c>
    </row>
    <row r="996" spans="1:16" x14ac:dyDescent="0.25">
      <c r="A996" t="s">
        <v>143</v>
      </c>
      <c r="B996">
        <v>2022</v>
      </c>
      <c r="C996" s="7">
        <f>'1_Du_lieu'!V372</f>
        <v>2.2300144001592104</v>
      </c>
      <c r="D996" s="9">
        <f>'1_Du_lieu'!W372</f>
        <v>3.9180050771056933</v>
      </c>
      <c r="E996" s="9">
        <f>'1_Du_lieu'!L372</f>
        <v>2.1779999999999999</v>
      </c>
      <c r="F996" s="9">
        <f>'1_Du_lieu'!M372</f>
        <v>14.95</v>
      </c>
      <c r="G996" s="9">
        <f>'1_Du_lieu'!N372</f>
        <v>21.6</v>
      </c>
      <c r="H996" s="9">
        <f>'1_Du_lieu'!X372</f>
        <v>2.9575594103206555</v>
      </c>
      <c r="I996" s="9">
        <f>'1_Du_lieu'!T372</f>
        <v>0.74460163812360391</v>
      </c>
      <c r="J996" s="9">
        <f>'1_Du_lieu'!Y372</f>
        <v>5.5610661724546055</v>
      </c>
      <c r="K996" s="5">
        <f t="shared" si="161"/>
        <v>0</v>
      </c>
      <c r="L996" s="5">
        <f t="shared" si="162"/>
        <v>0</v>
      </c>
      <c r="M996" s="5">
        <f t="shared" si="163"/>
        <v>0</v>
      </c>
      <c r="N996" s="5">
        <f t="shared" si="164"/>
        <v>1</v>
      </c>
      <c r="O996" s="5">
        <f t="shared" si="165"/>
        <v>0</v>
      </c>
      <c r="P996" s="5">
        <f t="shared" si="166"/>
        <v>0</v>
      </c>
    </row>
    <row r="997" spans="1:16" x14ac:dyDescent="0.25">
      <c r="A997" t="s">
        <v>144</v>
      </c>
      <c r="B997">
        <v>2022</v>
      </c>
      <c r="C997" s="7">
        <f>'1_Du_lieu'!V373</f>
        <v>2.6810215287142909</v>
      </c>
      <c r="D997" s="9">
        <f>'1_Du_lieu'!W373</f>
        <v>4.4636066216663046</v>
      </c>
      <c r="E997" s="9">
        <f>'1_Du_lieu'!L373</f>
        <v>4.1470000000000002</v>
      </c>
      <c r="F997" s="9">
        <f>'1_Du_lieu'!M373</f>
        <v>32.53</v>
      </c>
      <c r="G997" s="9">
        <f>'1_Du_lieu'!N373</f>
        <v>17.8</v>
      </c>
      <c r="H997" s="9">
        <f>'1_Du_lieu'!X373</f>
        <v>2.6343838610623203</v>
      </c>
      <c r="I997" s="9">
        <f>'1_Du_lieu'!T373</f>
        <v>1.177658142664872</v>
      </c>
      <c r="J997" s="9">
        <f>'1_Du_lieu'!Y373</f>
        <v>8.9512716711684792</v>
      </c>
      <c r="K997" s="5">
        <f t="shared" si="161"/>
        <v>0</v>
      </c>
      <c r="L997" s="5">
        <f t="shared" si="162"/>
        <v>0</v>
      </c>
      <c r="M997" s="5">
        <f t="shared" si="163"/>
        <v>0</v>
      </c>
      <c r="N997" s="5">
        <f t="shared" si="164"/>
        <v>1</v>
      </c>
      <c r="O997" s="5">
        <f t="shared" si="165"/>
        <v>0</v>
      </c>
      <c r="P997" s="5">
        <f t="shared" si="166"/>
        <v>0</v>
      </c>
    </row>
    <row r="998" spans="1:16" x14ac:dyDescent="0.25">
      <c r="A998" t="s">
        <v>145</v>
      </c>
      <c r="B998">
        <v>2022</v>
      </c>
      <c r="C998" s="7">
        <f>'1_Du_lieu'!V374</f>
        <v>2.4680995314716192</v>
      </c>
      <c r="D998" s="9">
        <f>'1_Du_lieu'!W374</f>
        <v>4.2282925347318399</v>
      </c>
      <c r="E998" s="9">
        <f>'1_Du_lieu'!L374</f>
        <v>2.7959999999999998</v>
      </c>
      <c r="F998" s="9">
        <f>'1_Du_lieu'!M374</f>
        <v>22.74</v>
      </c>
      <c r="G998" s="9">
        <f>'1_Du_lieu'!N374</f>
        <v>14.5</v>
      </c>
      <c r="H998" s="9">
        <f>'1_Du_lieu'!X374</f>
        <v>0.70397481921200866</v>
      </c>
      <c r="I998" s="9">
        <f>'1_Du_lieu'!T374</f>
        <v>0.58320373250388802</v>
      </c>
      <c r="J998" s="9">
        <f>'1_Du_lieu'!Y374</f>
        <v>6.890507385572584</v>
      </c>
      <c r="K998" s="5">
        <f t="shared" si="161"/>
        <v>0</v>
      </c>
      <c r="L998" s="5">
        <f t="shared" si="162"/>
        <v>0</v>
      </c>
      <c r="M998" s="5">
        <f t="shared" si="163"/>
        <v>0</v>
      </c>
      <c r="N998" s="5">
        <f t="shared" si="164"/>
        <v>1</v>
      </c>
      <c r="O998" s="5">
        <f t="shared" si="165"/>
        <v>0</v>
      </c>
      <c r="P998" s="5">
        <f t="shared" si="166"/>
        <v>0</v>
      </c>
    </row>
    <row r="999" spans="1:16" x14ac:dyDescent="0.25">
      <c r="A999" t="s">
        <v>146</v>
      </c>
      <c r="B999">
        <v>2022</v>
      </c>
      <c r="C999" s="7">
        <f>'1_Du_lieu'!V375</f>
        <v>3.1738784589374651</v>
      </c>
      <c r="D999" s="9">
        <f>'1_Du_lieu'!W375</f>
        <v>4.8528112089026889</v>
      </c>
      <c r="E999" s="9">
        <f>'1_Du_lieu'!L375</f>
        <v>7.5990000000000002</v>
      </c>
      <c r="F999" s="9">
        <f>'1_Du_lieu'!M375</f>
        <v>30.58</v>
      </c>
      <c r="G999" s="9">
        <f>'1_Du_lieu'!N375</f>
        <v>34.9</v>
      </c>
      <c r="H999" s="9">
        <f>'1_Du_lieu'!X375</f>
        <v>2.8517494702672472</v>
      </c>
      <c r="I999" s="9">
        <f>'1_Du_lieu'!T375</f>
        <v>0.75150300601202413</v>
      </c>
      <c r="J999" s="9">
        <f>'1_Du_lieu'!Y375</f>
        <v>8.6360068069538105</v>
      </c>
      <c r="K999" s="5">
        <f t="shared" si="161"/>
        <v>0</v>
      </c>
      <c r="L999" s="5">
        <f t="shared" si="162"/>
        <v>0</v>
      </c>
      <c r="M999" s="5">
        <f t="shared" si="163"/>
        <v>0</v>
      </c>
      <c r="N999" s="5">
        <f t="shared" si="164"/>
        <v>1</v>
      </c>
      <c r="O999" s="5">
        <f t="shared" si="165"/>
        <v>0</v>
      </c>
      <c r="P999" s="5">
        <f t="shared" si="166"/>
        <v>0</v>
      </c>
    </row>
    <row r="1000" spans="1:16" x14ac:dyDescent="0.25">
      <c r="A1000" t="s">
        <v>147</v>
      </c>
      <c r="B1000">
        <v>2022</v>
      </c>
      <c r="C1000" s="7">
        <f>'1_Du_lieu'!V376</f>
        <v>2.6246685921631592</v>
      </c>
      <c r="D1000" s="9">
        <f>'1_Du_lieu'!W376</f>
        <v>3.8607297110405954</v>
      </c>
      <c r="E1000" s="9">
        <f>'1_Du_lieu'!L376</f>
        <v>2.3839999999999999</v>
      </c>
      <c r="F1000" s="9">
        <f>'1_Du_lieu'!M376</f>
        <v>20.85</v>
      </c>
      <c r="G1000" s="9">
        <f>'1_Du_lieu'!N376</f>
        <v>22.9</v>
      </c>
      <c r="H1000" s="9">
        <f>'1_Du_lieu'!X376</f>
        <v>2.4947338729350159</v>
      </c>
      <c r="I1000" s="9">
        <f>'1_Du_lieu'!T376</f>
        <v>0.35410764872521244</v>
      </c>
      <c r="J1000" s="9">
        <f>'1_Du_lieu'!Y376</f>
        <v>6.2921245408500202</v>
      </c>
      <c r="K1000" s="5">
        <f t="shared" si="161"/>
        <v>0</v>
      </c>
      <c r="L1000" s="5">
        <f t="shared" si="162"/>
        <v>0</v>
      </c>
      <c r="M1000" s="5">
        <f t="shared" si="163"/>
        <v>0</v>
      </c>
      <c r="N1000" s="5">
        <f t="shared" si="164"/>
        <v>1</v>
      </c>
      <c r="O1000" s="5">
        <f t="shared" si="165"/>
        <v>0</v>
      </c>
      <c r="P1000" s="5">
        <f t="shared" si="166"/>
        <v>0</v>
      </c>
    </row>
    <row r="1001" spans="1:16" x14ac:dyDescent="0.25">
      <c r="A1001" t="s">
        <v>149</v>
      </c>
      <c r="B1001">
        <v>2022</v>
      </c>
      <c r="C1001" s="7">
        <f>'1_Du_lieu'!V378</f>
        <v>3.6000482404073204</v>
      </c>
      <c r="D1001" s="9">
        <f>'1_Du_lieu'!W378</f>
        <v>4.6337576428400036</v>
      </c>
      <c r="E1001" s="9">
        <f>'1_Du_lieu'!L378</f>
        <v>20.832000000000001</v>
      </c>
      <c r="F1001" s="9">
        <f>'1_Du_lieu'!M378</f>
        <v>87.45</v>
      </c>
      <c r="G1001" s="9">
        <f>'1_Du_lieu'!N378</f>
        <v>48.5</v>
      </c>
      <c r="H1001" s="9">
        <f>'1_Du_lieu'!X378</f>
        <v>3.2637573604553918</v>
      </c>
      <c r="I1001" s="9">
        <f>'1_Du_lieu'!T378</f>
        <v>6.6382560236026871</v>
      </c>
      <c r="J1001" s="9">
        <f>'1_Du_lieu'!Y378</f>
        <v>8.5247843058620507</v>
      </c>
      <c r="K1001" s="5">
        <f t="shared" si="161"/>
        <v>0</v>
      </c>
      <c r="L1001" s="5">
        <f t="shared" si="162"/>
        <v>0</v>
      </c>
      <c r="M1001" s="5">
        <f t="shared" si="163"/>
        <v>0</v>
      </c>
      <c r="N1001" s="5">
        <f t="shared" si="164"/>
        <v>1</v>
      </c>
      <c r="O1001" s="5">
        <f t="shared" si="165"/>
        <v>0</v>
      </c>
      <c r="P1001" s="5">
        <f t="shared" si="166"/>
        <v>0</v>
      </c>
    </row>
    <row r="1002" spans="1:16" x14ac:dyDescent="0.25">
      <c r="A1002" t="s">
        <v>150</v>
      </c>
      <c r="B1002">
        <v>2022</v>
      </c>
      <c r="C1002" s="7">
        <f>'1_Du_lieu'!V379</f>
        <v>2.8959119382717802</v>
      </c>
      <c r="D1002" s="9">
        <f>'1_Du_lieu'!W379</f>
        <v>4.0377742107337067</v>
      </c>
      <c r="E1002" s="9">
        <f>'1_Du_lieu'!L379</f>
        <v>3.843</v>
      </c>
      <c r="F1002" s="9">
        <f>'1_Du_lieu'!M379</f>
        <v>24.93</v>
      </c>
      <c r="G1002" s="9">
        <f>'1_Du_lieu'!N379</f>
        <v>18</v>
      </c>
      <c r="H1002" s="9">
        <f>'1_Du_lieu'!X379</f>
        <v>2.5445823186536418</v>
      </c>
      <c r="I1002" s="9">
        <f>'1_Du_lieu'!T379</f>
        <v>0.57339449541284393</v>
      </c>
      <c r="J1002" s="9">
        <f>'1_Du_lieu'!Y379</f>
        <v>5.824819469699035</v>
      </c>
      <c r="K1002" s="5">
        <f t="shared" si="161"/>
        <v>0</v>
      </c>
      <c r="L1002" s="5">
        <f t="shared" si="162"/>
        <v>0</v>
      </c>
      <c r="M1002" s="5">
        <f t="shared" si="163"/>
        <v>0</v>
      </c>
      <c r="N1002" s="5">
        <f t="shared" si="164"/>
        <v>1</v>
      </c>
      <c r="O1002" s="5">
        <f t="shared" si="165"/>
        <v>0</v>
      </c>
      <c r="P1002" s="5">
        <f t="shared" si="166"/>
        <v>0</v>
      </c>
    </row>
    <row r="1003" spans="1:16" x14ac:dyDescent="0.25">
      <c r="A1003" t="s">
        <v>151</v>
      </c>
      <c r="B1003">
        <v>2022</v>
      </c>
      <c r="C1003" s="7">
        <f>'1_Du_lieu'!V380</f>
        <v>2.4680995314716192</v>
      </c>
      <c r="D1003" s="9">
        <f>'1_Du_lieu'!W380</f>
        <v>4.0993321037331398</v>
      </c>
      <c r="E1003" s="9">
        <f>'1_Du_lieu'!L380</f>
        <v>3.8260000000000001</v>
      </c>
      <c r="F1003" s="9">
        <f>'1_Du_lieu'!M380</f>
        <v>16.760000000000002</v>
      </c>
      <c r="G1003" s="9">
        <f>'1_Du_lieu'!N380</f>
        <v>14.7</v>
      </c>
      <c r="H1003" s="9">
        <f>'1_Du_lieu'!X380</f>
        <v>1.0702283601634406</v>
      </c>
      <c r="I1003" s="9">
        <f>'1_Du_lieu'!T380</f>
        <v>0.44736057262153295</v>
      </c>
      <c r="J1003" s="9">
        <f>'1_Du_lieu'!Y380</f>
        <v>6.1444002033786953</v>
      </c>
      <c r="K1003" s="5">
        <f t="shared" si="161"/>
        <v>0</v>
      </c>
      <c r="L1003" s="5">
        <f t="shared" si="162"/>
        <v>0</v>
      </c>
      <c r="M1003" s="5">
        <f t="shared" si="163"/>
        <v>0</v>
      </c>
      <c r="N1003" s="5">
        <f t="shared" si="164"/>
        <v>1</v>
      </c>
      <c r="O1003" s="5">
        <f t="shared" si="165"/>
        <v>0</v>
      </c>
      <c r="P1003" s="5">
        <f t="shared" si="166"/>
        <v>0</v>
      </c>
    </row>
    <row r="1004" spans="1:16" x14ac:dyDescent="0.25">
      <c r="A1004" t="s">
        <v>152</v>
      </c>
      <c r="B1004">
        <v>2022</v>
      </c>
      <c r="C1004" s="7">
        <f>'1_Du_lieu'!V381</f>
        <v>3.4965075614664802</v>
      </c>
      <c r="D1004" s="9">
        <f>'1_Du_lieu'!W381</f>
        <v>4.8613615913485013</v>
      </c>
      <c r="E1004" s="9">
        <f>'1_Du_lieu'!L381</f>
        <v>7.9390000000000001</v>
      </c>
      <c r="F1004" s="9">
        <f>'1_Du_lieu'!M381</f>
        <v>45.16</v>
      </c>
      <c r="G1004" s="9">
        <f>'1_Du_lieu'!N381</f>
        <v>22.3</v>
      </c>
      <c r="H1004" s="9">
        <f>'1_Du_lieu'!X381</f>
        <v>2.7502634504879695</v>
      </c>
      <c r="I1004" s="9">
        <f>'1_Du_lieu'!T381</f>
        <v>0.55285951225505248</v>
      </c>
      <c r="J1004" s="9">
        <f>'1_Du_lieu'!Y381</f>
        <v>9.2943046111532688</v>
      </c>
      <c r="K1004" s="5">
        <f t="shared" si="161"/>
        <v>0</v>
      </c>
      <c r="L1004" s="5">
        <f t="shared" si="162"/>
        <v>0</v>
      </c>
      <c r="M1004" s="5">
        <f t="shared" si="163"/>
        <v>0</v>
      </c>
      <c r="N1004" s="5">
        <f t="shared" si="164"/>
        <v>1</v>
      </c>
      <c r="O1004" s="5">
        <f t="shared" si="165"/>
        <v>0</v>
      </c>
      <c r="P1004" s="5">
        <f t="shared" si="166"/>
        <v>0</v>
      </c>
    </row>
    <row r="1005" spans="1:16" x14ac:dyDescent="0.25">
      <c r="A1005" t="s">
        <v>153</v>
      </c>
      <c r="B1005">
        <v>2022</v>
      </c>
      <c r="C1005" s="7">
        <f>'1_Du_lieu'!V382</f>
        <v>2.6878474937846906</v>
      </c>
      <c r="D1005" s="9">
        <f>'1_Du_lieu'!W382</f>
        <v>4.1303549997451334</v>
      </c>
      <c r="E1005" s="9">
        <f>'1_Du_lieu'!L382</f>
        <v>2.4900000000000002</v>
      </c>
      <c r="F1005" s="9">
        <f>'1_Du_lieu'!M382</f>
        <v>20.239999999999998</v>
      </c>
      <c r="G1005" s="9">
        <f>'1_Du_lieu'!N382</f>
        <v>14.4</v>
      </c>
      <c r="H1005" s="9">
        <f>'1_Du_lieu'!X382</f>
        <v>0.70929530997063683</v>
      </c>
      <c r="I1005" s="9">
        <f>'1_Du_lieu'!T382</f>
        <v>0.62492188476440447</v>
      </c>
      <c r="J1005" s="9">
        <f>'1_Du_lieu'!Y382</f>
        <v>4.9815497132011588</v>
      </c>
      <c r="K1005" s="5">
        <f t="shared" si="161"/>
        <v>0</v>
      </c>
      <c r="L1005" s="5">
        <f t="shared" si="162"/>
        <v>0</v>
      </c>
      <c r="M1005" s="5">
        <f t="shared" si="163"/>
        <v>0</v>
      </c>
      <c r="N1005" s="5">
        <f t="shared" si="164"/>
        <v>1</v>
      </c>
      <c r="O1005" s="5">
        <f t="shared" si="165"/>
        <v>0</v>
      </c>
      <c r="P1005" s="5">
        <f t="shared" si="166"/>
        <v>0</v>
      </c>
    </row>
    <row r="1006" spans="1:16" x14ac:dyDescent="0.25">
      <c r="A1006" t="s">
        <v>85</v>
      </c>
      <c r="B1006">
        <v>2023</v>
      </c>
      <c r="C1006" s="7">
        <f>'1_Du_lieu'!V383</f>
        <v>2.6390573296152584</v>
      </c>
      <c r="D1006" s="9">
        <f>'1_Du_lieu'!W383</f>
        <v>4.0724397268340509</v>
      </c>
      <c r="E1006" s="9">
        <f>'1_Du_lieu'!L383</f>
        <v>2.7010000000000001</v>
      </c>
      <c r="F1006" s="9">
        <f>'1_Du_lieu'!M383</f>
        <v>37</v>
      </c>
      <c r="G1006" s="9">
        <f>'1_Du_lieu'!N383</f>
        <v>15.5</v>
      </c>
      <c r="H1006" s="9">
        <f>'1_Du_lieu'!X383</f>
        <v>1.8285635406587724</v>
      </c>
      <c r="I1006" s="9">
        <f>'1_Du_lieu'!T383</f>
        <v>0.52457640455332322</v>
      </c>
      <c r="J1006" s="9">
        <f>'1_Du_lieu'!Y383</f>
        <v>4.9572345173691401</v>
      </c>
      <c r="K1006" s="5">
        <f t="shared" si="161"/>
        <v>0</v>
      </c>
      <c r="L1006" s="5">
        <f t="shared" si="162"/>
        <v>0</v>
      </c>
      <c r="M1006" s="5">
        <f t="shared" si="163"/>
        <v>0</v>
      </c>
      <c r="N1006" s="5">
        <f t="shared" si="164"/>
        <v>0</v>
      </c>
      <c r="O1006" s="5">
        <f t="shared" si="165"/>
        <v>1</v>
      </c>
      <c r="P1006" s="5">
        <f t="shared" si="166"/>
        <v>0</v>
      </c>
    </row>
    <row r="1007" spans="1:16" x14ac:dyDescent="0.25">
      <c r="A1007" t="s">
        <v>87</v>
      </c>
      <c r="B1007">
        <v>2023</v>
      </c>
      <c r="C1007" s="7">
        <f>'1_Du_lieu'!V384</f>
        <v>3.1612467120315646</v>
      </c>
      <c r="D1007" s="9">
        <f>'1_Du_lieu'!W384</f>
        <v>5.8260001073804499</v>
      </c>
      <c r="E1007" s="9">
        <f>'1_Du_lieu'!L384</f>
        <v>10.393000000000001</v>
      </c>
      <c r="F1007" s="9">
        <f>'1_Du_lieu'!M384</f>
        <v>60.92</v>
      </c>
      <c r="G1007" s="9">
        <f>'1_Du_lieu'!N384</f>
        <v>28.8</v>
      </c>
      <c r="H1007" s="9">
        <f>'1_Du_lieu'!X384</f>
        <v>2.1258931339212706</v>
      </c>
      <c r="I1007" s="9">
        <f>'1_Du_lieu'!T384</f>
        <v>1.6</v>
      </c>
      <c r="J1007" s="9">
        <f>'1_Du_lieu'!Y384</f>
        <v>10.286049030204001</v>
      </c>
      <c r="K1007" s="5">
        <f t="shared" si="161"/>
        <v>0</v>
      </c>
      <c r="L1007" s="5">
        <f t="shared" si="162"/>
        <v>0</v>
      </c>
      <c r="M1007" s="5">
        <f t="shared" si="163"/>
        <v>0</v>
      </c>
      <c r="N1007" s="5">
        <f t="shared" si="164"/>
        <v>0</v>
      </c>
      <c r="O1007" s="5">
        <f t="shared" si="165"/>
        <v>1</v>
      </c>
      <c r="P1007" s="5">
        <f t="shared" si="166"/>
        <v>0</v>
      </c>
    </row>
    <row r="1008" spans="1:16" x14ac:dyDescent="0.25">
      <c r="A1008" t="s">
        <v>89</v>
      </c>
      <c r="B1008">
        <v>2023</v>
      </c>
      <c r="C1008" s="7">
        <f>'1_Du_lieu'!V385</f>
        <v>3.5751506887855933</v>
      </c>
      <c r="D1008" s="9">
        <f>'1_Du_lieu'!W385</f>
        <v>5.1143945283871082</v>
      </c>
      <c r="E1008" s="9">
        <f>'1_Du_lieu'!L385</f>
        <v>15.327</v>
      </c>
      <c r="F1008" s="9">
        <f>'1_Du_lieu'!M385</f>
        <v>84.22</v>
      </c>
      <c r="G1008" s="9">
        <f>'1_Du_lieu'!N385</f>
        <v>23.3</v>
      </c>
      <c r="H1008" s="9">
        <f>'1_Du_lieu'!X385</f>
        <v>3.3145658741693884</v>
      </c>
      <c r="I1008" s="9">
        <f>'1_Du_lieu'!T385</f>
        <v>0.77920238010908838</v>
      </c>
      <c r="J1008" s="9">
        <f>'1_Du_lieu'!Y385</f>
        <v>9.5690771887933312</v>
      </c>
      <c r="K1008" s="5">
        <f t="shared" si="161"/>
        <v>0</v>
      </c>
      <c r="L1008" s="5">
        <f t="shared" si="162"/>
        <v>0</v>
      </c>
      <c r="M1008" s="5">
        <f t="shared" si="163"/>
        <v>0</v>
      </c>
      <c r="N1008" s="5">
        <f t="shared" si="164"/>
        <v>0</v>
      </c>
      <c r="O1008" s="5">
        <f t="shared" si="165"/>
        <v>1</v>
      </c>
      <c r="P1008" s="5">
        <f t="shared" si="166"/>
        <v>0</v>
      </c>
    </row>
    <row r="1009" spans="1:16" x14ac:dyDescent="0.25">
      <c r="A1009" t="s">
        <v>90</v>
      </c>
      <c r="B1009">
        <v>2023</v>
      </c>
      <c r="C1009" s="7">
        <f>'1_Du_lieu'!V386</f>
        <v>2.5572273113676265</v>
      </c>
      <c r="D1009" s="9">
        <f>'1_Du_lieu'!W386</f>
        <v>4.5496574760578321</v>
      </c>
      <c r="E1009" s="9">
        <f>'1_Du_lieu'!L386</f>
        <v>6.6909999999999998</v>
      </c>
      <c r="F1009" s="9">
        <f>'1_Du_lieu'!M386</f>
        <v>29.4</v>
      </c>
      <c r="G1009" s="9">
        <f>'1_Du_lieu'!N386</f>
        <v>20</v>
      </c>
      <c r="H1009" s="9">
        <f>'1_Du_lieu'!X386</f>
        <v>1.234631418039809</v>
      </c>
      <c r="I1009" s="9">
        <f>'1_Du_lieu'!T386</f>
        <v>0.95648015303682454</v>
      </c>
      <c r="J1009" s="9">
        <f>'1_Du_lieu'!Y386</f>
        <v>8.4073560037313317</v>
      </c>
      <c r="K1009" s="5">
        <f t="shared" si="161"/>
        <v>0</v>
      </c>
      <c r="L1009" s="5">
        <f t="shared" si="162"/>
        <v>0</v>
      </c>
      <c r="M1009" s="5">
        <f t="shared" si="163"/>
        <v>0</v>
      </c>
      <c r="N1009" s="5">
        <f t="shared" si="164"/>
        <v>0</v>
      </c>
      <c r="O1009" s="5">
        <f t="shared" si="165"/>
        <v>1</v>
      </c>
      <c r="P1009" s="5">
        <f t="shared" si="166"/>
        <v>0</v>
      </c>
    </row>
    <row r="1010" spans="1:16" x14ac:dyDescent="0.25">
      <c r="A1010" t="s">
        <v>91</v>
      </c>
      <c r="B1010">
        <v>2023</v>
      </c>
      <c r="C1010" s="7">
        <f>'1_Du_lieu'!V387</f>
        <v>2.7212954278522306</v>
      </c>
      <c r="D1010" s="9">
        <f>'1_Du_lieu'!W387</f>
        <v>4.4091553020621346</v>
      </c>
      <c r="E1010" s="9">
        <f>'1_Du_lieu'!L387</f>
        <v>4.7080000000000002</v>
      </c>
      <c r="F1010" s="9">
        <f>'1_Du_lieu'!M387</f>
        <v>38.6</v>
      </c>
      <c r="G1010" s="9">
        <f>'1_Du_lieu'!N387</f>
        <v>19.5</v>
      </c>
      <c r="H1010" s="9">
        <f>'1_Du_lieu'!X387</f>
        <v>1.6732463053197808</v>
      </c>
      <c r="I1010" s="9">
        <f>'1_Du_lieu'!T387</f>
        <v>0.39720368605020656</v>
      </c>
      <c r="J1010" s="9">
        <f>'1_Du_lieu'!Y387</f>
        <v>8.0261701949464257</v>
      </c>
      <c r="K1010" s="5">
        <f t="shared" si="161"/>
        <v>0</v>
      </c>
      <c r="L1010" s="5">
        <f t="shared" si="162"/>
        <v>0</v>
      </c>
      <c r="M1010" s="5">
        <f t="shared" si="163"/>
        <v>0</v>
      </c>
      <c r="N1010" s="5">
        <f t="shared" si="164"/>
        <v>0</v>
      </c>
      <c r="O1010" s="5">
        <f t="shared" si="165"/>
        <v>1</v>
      </c>
      <c r="P1010" s="5">
        <f t="shared" si="166"/>
        <v>0</v>
      </c>
    </row>
    <row r="1011" spans="1:16" x14ac:dyDescent="0.25">
      <c r="A1011" t="s">
        <v>93</v>
      </c>
      <c r="B1011">
        <v>2023</v>
      </c>
      <c r="C1011" s="7">
        <f>'1_Du_lieu'!V388</f>
        <v>2.8094026953624978</v>
      </c>
      <c r="D1011" s="9">
        <f>'1_Du_lieu'!W388</f>
        <v>4.3579900568456402</v>
      </c>
      <c r="E1011" s="9">
        <f>'1_Du_lieu'!L388</f>
        <v>5.3680000000000003</v>
      </c>
      <c r="F1011" s="9">
        <f>'1_Du_lieu'!M388</f>
        <v>41.22</v>
      </c>
      <c r="G1011" s="9">
        <f>'1_Du_lieu'!N388</f>
        <v>25.6</v>
      </c>
      <c r="H1011" s="9">
        <f>'1_Du_lieu'!X388</f>
        <v>3.0736524047525142</v>
      </c>
      <c r="I1011" s="9">
        <f>'1_Du_lieu'!T388</f>
        <v>0.79665405297749459</v>
      </c>
      <c r="J1011" s="9">
        <f>'1_Du_lieu'!Y388</f>
        <v>6.7289874003874797</v>
      </c>
      <c r="K1011" s="5">
        <f t="shared" si="161"/>
        <v>0</v>
      </c>
      <c r="L1011" s="5">
        <f t="shared" si="162"/>
        <v>0</v>
      </c>
      <c r="M1011" s="5">
        <f t="shared" si="163"/>
        <v>0</v>
      </c>
      <c r="N1011" s="5">
        <f t="shared" si="164"/>
        <v>0</v>
      </c>
      <c r="O1011" s="5">
        <f t="shared" si="165"/>
        <v>1</v>
      </c>
      <c r="P1011" s="5">
        <f t="shared" si="166"/>
        <v>0</v>
      </c>
    </row>
    <row r="1012" spans="1:16" x14ac:dyDescent="0.25">
      <c r="A1012" t="s">
        <v>94</v>
      </c>
      <c r="B1012">
        <v>2023</v>
      </c>
      <c r="C1012" s="7">
        <f>'1_Du_lieu'!V389</f>
        <v>2.3702437414678603</v>
      </c>
      <c r="D1012" s="9">
        <f>'1_Du_lieu'!W389</f>
        <v>4.1666652238017265</v>
      </c>
      <c r="E1012" s="9">
        <f>'1_Du_lieu'!L389</f>
        <v>2.5099999999999998</v>
      </c>
      <c r="F1012" s="9">
        <f>'1_Du_lieu'!M389</f>
        <v>27.76</v>
      </c>
      <c r="G1012" s="9">
        <f>'1_Du_lieu'!N389</f>
        <v>13.1</v>
      </c>
      <c r="H1012" s="9">
        <f>'1_Du_lieu'!X389</f>
        <v>1.3538899662437562</v>
      </c>
      <c r="I1012" s="9">
        <f>'1_Du_lieu'!T389</f>
        <v>1.4051015996541287</v>
      </c>
      <c r="J1012" s="9">
        <f>'1_Du_lieu'!Y389</f>
        <v>8.5282715986232382</v>
      </c>
      <c r="K1012" s="5">
        <f t="shared" si="161"/>
        <v>0</v>
      </c>
      <c r="L1012" s="5">
        <f t="shared" si="162"/>
        <v>0</v>
      </c>
      <c r="M1012" s="5">
        <f t="shared" si="163"/>
        <v>0</v>
      </c>
      <c r="N1012" s="5">
        <f t="shared" si="164"/>
        <v>0</v>
      </c>
      <c r="O1012" s="5">
        <f t="shared" si="165"/>
        <v>1</v>
      </c>
      <c r="P1012" s="5">
        <f t="shared" si="166"/>
        <v>0</v>
      </c>
    </row>
    <row r="1013" spans="1:16" x14ac:dyDescent="0.25">
      <c r="A1013" t="s">
        <v>95</v>
      </c>
      <c r="B1013">
        <v>2023</v>
      </c>
      <c r="C1013" s="7">
        <f>'1_Du_lieu'!V390</f>
        <v>2.9444389791664403</v>
      </c>
      <c r="D1013" s="9">
        <f>'1_Du_lieu'!W390</f>
        <v>4.5664293576716606</v>
      </c>
      <c r="E1013" s="9">
        <f>'1_Du_lieu'!L390</f>
        <v>4.53</v>
      </c>
      <c r="F1013" s="9">
        <f>'1_Du_lieu'!M390</f>
        <v>19.73</v>
      </c>
      <c r="G1013" s="9">
        <f>'1_Du_lieu'!N390</f>
        <v>32.6</v>
      </c>
      <c r="H1013" s="9">
        <f>'1_Du_lieu'!X390</f>
        <v>2.9524628072988284</v>
      </c>
      <c r="I1013" s="9">
        <f>'1_Du_lieu'!T390</f>
        <v>0.52010193998023613</v>
      </c>
      <c r="J1013" s="9">
        <f>'1_Du_lieu'!Y390</f>
        <v>8.7743902828552987</v>
      </c>
      <c r="K1013" s="5">
        <f t="shared" si="161"/>
        <v>0</v>
      </c>
      <c r="L1013" s="5">
        <f t="shared" si="162"/>
        <v>0</v>
      </c>
      <c r="M1013" s="5">
        <f t="shared" si="163"/>
        <v>0</v>
      </c>
      <c r="N1013" s="5">
        <f t="shared" si="164"/>
        <v>0</v>
      </c>
      <c r="O1013" s="5">
        <f t="shared" si="165"/>
        <v>1</v>
      </c>
      <c r="P1013" s="5">
        <f t="shared" si="166"/>
        <v>0</v>
      </c>
    </row>
    <row r="1014" spans="1:16" x14ac:dyDescent="0.25">
      <c r="A1014" t="s">
        <v>97</v>
      </c>
      <c r="B1014">
        <v>2023</v>
      </c>
      <c r="C1014" s="7">
        <f>'1_Du_lieu'!V391</f>
        <v>2.379546134130174</v>
      </c>
      <c r="D1014" s="9">
        <f>'1_Du_lieu'!W391</f>
        <v>3.949318790171843</v>
      </c>
      <c r="E1014" s="9">
        <f>'1_Du_lieu'!L391</f>
        <v>2.282</v>
      </c>
      <c r="F1014" s="9">
        <f>'1_Du_lieu'!M391</f>
        <v>24.07</v>
      </c>
      <c r="G1014" s="9">
        <f>'1_Du_lieu'!N391</f>
        <v>28</v>
      </c>
      <c r="H1014" s="9">
        <f>'1_Du_lieu'!X391</f>
        <v>2.698716321347455</v>
      </c>
      <c r="I1014" s="9">
        <f>'1_Du_lieu'!T391</f>
        <v>0.91883614088820831</v>
      </c>
      <c r="J1014" s="9">
        <f>'1_Du_lieu'!Y391</f>
        <v>4.6434288981051814</v>
      </c>
      <c r="K1014" s="5">
        <f t="shared" si="161"/>
        <v>0</v>
      </c>
      <c r="L1014" s="5">
        <f t="shared" si="162"/>
        <v>0</v>
      </c>
      <c r="M1014" s="5">
        <f t="shared" si="163"/>
        <v>0</v>
      </c>
      <c r="N1014" s="5">
        <f t="shared" si="164"/>
        <v>0</v>
      </c>
      <c r="O1014" s="5">
        <f t="shared" si="165"/>
        <v>1</v>
      </c>
      <c r="P1014" s="5">
        <f t="shared" si="166"/>
        <v>0</v>
      </c>
    </row>
    <row r="1015" spans="1:16" x14ac:dyDescent="0.25">
      <c r="A1015" t="s">
        <v>98</v>
      </c>
      <c r="B1015">
        <v>2023</v>
      </c>
      <c r="C1015" s="7">
        <f>'1_Du_lieu'!V392</f>
        <v>3.068052935133617</v>
      </c>
      <c r="D1015" s="9">
        <f>'1_Du_lieu'!W392</f>
        <v>5.054333149361975</v>
      </c>
      <c r="E1015" s="9">
        <f>'1_Du_lieu'!L392</f>
        <v>10.885999999999999</v>
      </c>
      <c r="F1015" s="9">
        <f>'1_Du_lieu'!M392</f>
        <v>50.79</v>
      </c>
      <c r="G1015" s="9">
        <f>'1_Du_lieu'!N392</f>
        <v>34.4</v>
      </c>
      <c r="H1015" s="9">
        <f>'1_Du_lieu'!X392</f>
        <v>2.8655055877825726</v>
      </c>
      <c r="I1015" s="9">
        <f>'1_Du_lieu'!T392</f>
        <v>1.8452616317384998</v>
      </c>
      <c r="J1015" s="9">
        <f>'1_Du_lieu'!Y392</f>
        <v>9.7029062975185063</v>
      </c>
      <c r="K1015" s="5">
        <f t="shared" si="161"/>
        <v>0</v>
      </c>
      <c r="L1015" s="5">
        <f t="shared" si="162"/>
        <v>0</v>
      </c>
      <c r="M1015" s="5">
        <f t="shared" si="163"/>
        <v>0</v>
      </c>
      <c r="N1015" s="5">
        <f t="shared" si="164"/>
        <v>0</v>
      </c>
      <c r="O1015" s="5">
        <f t="shared" si="165"/>
        <v>1</v>
      </c>
      <c r="P1015" s="5">
        <f t="shared" si="166"/>
        <v>0</v>
      </c>
    </row>
    <row r="1016" spans="1:16" x14ac:dyDescent="0.25">
      <c r="A1016" t="s">
        <v>100</v>
      </c>
      <c r="B1016">
        <v>2023</v>
      </c>
      <c r="C1016" s="7">
        <f>'1_Du_lieu'!V393</f>
        <v>2.6741486494265287</v>
      </c>
      <c r="D1016" s="9">
        <f>'1_Du_lieu'!W393</f>
        <v>3.9473901492654373</v>
      </c>
      <c r="E1016" s="9">
        <f>'1_Du_lieu'!L393</f>
        <v>2.9569999999999999</v>
      </c>
      <c r="F1016" s="9">
        <f>'1_Du_lieu'!M393</f>
        <v>13.11</v>
      </c>
      <c r="G1016" s="9">
        <f>'1_Du_lieu'!N393</f>
        <v>12.7</v>
      </c>
      <c r="H1016" s="9">
        <f>'1_Du_lieu'!X393</f>
        <v>1.3894065761845245</v>
      </c>
      <c r="I1016" s="9">
        <f>'1_Du_lieu'!T393</f>
        <v>0.46178711613945972</v>
      </c>
      <c r="J1016" s="9">
        <f>'1_Du_lieu'!Y393</f>
        <v>7.1163941440934648</v>
      </c>
      <c r="K1016" s="5">
        <f t="shared" si="161"/>
        <v>0</v>
      </c>
      <c r="L1016" s="5">
        <f t="shared" si="162"/>
        <v>0</v>
      </c>
      <c r="M1016" s="5">
        <f t="shared" si="163"/>
        <v>0</v>
      </c>
      <c r="N1016" s="5">
        <f t="shared" si="164"/>
        <v>0</v>
      </c>
      <c r="O1016" s="5">
        <f t="shared" si="165"/>
        <v>1</v>
      </c>
      <c r="P1016" s="5">
        <f t="shared" si="166"/>
        <v>0</v>
      </c>
    </row>
    <row r="1017" spans="1:16" x14ac:dyDescent="0.25">
      <c r="A1017" t="s">
        <v>102</v>
      </c>
      <c r="B1017">
        <v>2023</v>
      </c>
      <c r="C1017" s="7">
        <f>'1_Du_lieu'!V395</f>
        <v>2.5952547069568657</v>
      </c>
      <c r="D1017" s="9">
        <f>'1_Du_lieu'!W395</f>
        <v>4.165113633110308</v>
      </c>
      <c r="E1017" s="9">
        <f>'1_Du_lieu'!L395</f>
        <v>3.2210000000000001</v>
      </c>
      <c r="F1017" s="9">
        <f>'1_Du_lieu'!M395</f>
        <v>23.06</v>
      </c>
      <c r="G1017" s="9">
        <f>'1_Du_lieu'!N395</f>
        <v>15.1</v>
      </c>
      <c r="H1017" s="9">
        <f>'1_Du_lieu'!X395</f>
        <v>4.0815368690784087E-2</v>
      </c>
      <c r="I1017" s="9">
        <f>'1_Du_lieu'!T395</f>
        <v>0.57975815802550934</v>
      </c>
      <c r="J1017" s="9">
        <f>'1_Du_lieu'!Y395</f>
        <v>4.8605872978525966</v>
      </c>
      <c r="K1017" s="5">
        <f t="shared" si="161"/>
        <v>0</v>
      </c>
      <c r="L1017" s="5">
        <f t="shared" si="162"/>
        <v>0</v>
      </c>
      <c r="M1017" s="5">
        <f t="shared" si="163"/>
        <v>0</v>
      </c>
      <c r="N1017" s="5">
        <f t="shared" si="164"/>
        <v>0</v>
      </c>
      <c r="O1017" s="5">
        <f t="shared" si="165"/>
        <v>1</v>
      </c>
      <c r="P1017" s="5">
        <f t="shared" si="166"/>
        <v>0</v>
      </c>
    </row>
    <row r="1018" spans="1:16" x14ac:dyDescent="0.25">
      <c r="A1018" t="s">
        <v>103</v>
      </c>
      <c r="B1018">
        <v>2023</v>
      </c>
      <c r="C1018" s="7">
        <f>'1_Du_lieu'!V396</f>
        <v>3.0773122605464138</v>
      </c>
      <c r="D1018" s="9">
        <f>'1_Du_lieu'!W396</f>
        <v>4.5464811896394117</v>
      </c>
      <c r="E1018" s="9">
        <f>'1_Du_lieu'!L396</f>
        <v>8.3379999999999992</v>
      </c>
      <c r="F1018" s="9">
        <f>'1_Du_lieu'!M396</f>
        <v>70.52</v>
      </c>
      <c r="G1018" s="9">
        <f>'1_Du_lieu'!N396</f>
        <v>23.3</v>
      </c>
      <c r="H1018" s="9">
        <f>'1_Du_lieu'!X396</f>
        <v>1.0432512147827513</v>
      </c>
      <c r="I1018" s="9">
        <f>'1_Du_lieu'!T396</f>
        <v>1.4298196838509809</v>
      </c>
      <c r="J1018" s="9">
        <f>'1_Du_lieu'!Y396</f>
        <v>7.5003636341634694</v>
      </c>
      <c r="K1018" s="5">
        <f t="shared" si="161"/>
        <v>0</v>
      </c>
      <c r="L1018" s="5">
        <f t="shared" si="162"/>
        <v>0</v>
      </c>
      <c r="M1018" s="5">
        <f t="shared" si="163"/>
        <v>0</v>
      </c>
      <c r="N1018" s="5">
        <f t="shared" si="164"/>
        <v>0</v>
      </c>
      <c r="O1018" s="5">
        <f t="shared" si="165"/>
        <v>1</v>
      </c>
      <c r="P1018" s="5">
        <f t="shared" si="166"/>
        <v>0</v>
      </c>
    </row>
    <row r="1019" spans="1:16" x14ac:dyDescent="0.25">
      <c r="A1019" t="s">
        <v>104</v>
      </c>
      <c r="B1019">
        <v>2023</v>
      </c>
      <c r="C1019" s="7">
        <f>'1_Du_lieu'!V397</f>
        <v>2.6100697927420065</v>
      </c>
      <c r="D1019" s="9">
        <f>'1_Du_lieu'!W397</f>
        <v>4.0569887756783318</v>
      </c>
      <c r="E1019" s="9">
        <f>'1_Du_lieu'!L397</f>
        <v>3.3820000000000001</v>
      </c>
      <c r="F1019" s="9">
        <f>'1_Du_lieu'!M397</f>
        <v>29.44</v>
      </c>
      <c r="G1019" s="9">
        <f>'1_Du_lieu'!N397</f>
        <v>15.3</v>
      </c>
      <c r="H1019" s="9">
        <f>'1_Du_lieu'!X397</f>
        <v>2.4558519854784486</v>
      </c>
      <c r="I1019" s="9">
        <f>'1_Du_lieu'!T397</f>
        <v>1.1772724456286014</v>
      </c>
      <c r="J1019" s="9">
        <f>'1_Du_lieu'!Y397</f>
        <v>4.0707346965829672</v>
      </c>
      <c r="K1019" s="5">
        <f t="shared" si="161"/>
        <v>0</v>
      </c>
      <c r="L1019" s="5">
        <f t="shared" si="162"/>
        <v>0</v>
      </c>
      <c r="M1019" s="5">
        <f t="shared" si="163"/>
        <v>0</v>
      </c>
      <c r="N1019" s="5">
        <f t="shared" si="164"/>
        <v>0</v>
      </c>
      <c r="O1019" s="5">
        <f t="shared" si="165"/>
        <v>1</v>
      </c>
      <c r="P1019" s="5">
        <f t="shared" si="166"/>
        <v>0</v>
      </c>
    </row>
    <row r="1020" spans="1:16" x14ac:dyDescent="0.25">
      <c r="A1020" t="s">
        <v>107</v>
      </c>
      <c r="B1020">
        <v>2023</v>
      </c>
      <c r="C1020" s="7">
        <f>'1_Du_lieu'!V399</f>
        <v>2.8791984572980396</v>
      </c>
      <c r="D1020" s="9">
        <f>'1_Du_lieu'!W399</f>
        <v>4.5622626849768144</v>
      </c>
      <c r="E1020" s="9">
        <f>'1_Du_lieu'!L399</f>
        <v>6.1210000000000004</v>
      </c>
      <c r="F1020" s="9">
        <f>'1_Du_lieu'!M399</f>
        <v>28.2</v>
      </c>
      <c r="G1020" s="9">
        <f>'1_Du_lieu'!N399</f>
        <v>29.5</v>
      </c>
      <c r="H1020" s="9">
        <f>'1_Du_lieu'!X399</f>
        <v>2.9797971999507391</v>
      </c>
      <c r="I1020" s="9">
        <f>'1_Du_lieu'!T399</f>
        <v>1.2416751326334801</v>
      </c>
      <c r="J1020" s="9">
        <f>'1_Du_lieu'!Y399</f>
        <v>8.828757792331265</v>
      </c>
      <c r="K1020" s="5">
        <f t="shared" si="161"/>
        <v>0</v>
      </c>
      <c r="L1020" s="5">
        <f t="shared" si="162"/>
        <v>0</v>
      </c>
      <c r="M1020" s="5">
        <f t="shared" si="163"/>
        <v>0</v>
      </c>
      <c r="N1020" s="5">
        <f t="shared" si="164"/>
        <v>0</v>
      </c>
      <c r="O1020" s="5">
        <f t="shared" si="165"/>
        <v>1</v>
      </c>
      <c r="P1020" s="5">
        <f t="shared" si="166"/>
        <v>0</v>
      </c>
    </row>
    <row r="1021" spans="1:16" x14ac:dyDescent="0.25">
      <c r="A1021" t="s">
        <v>108</v>
      </c>
      <c r="B1021">
        <v>2023</v>
      </c>
      <c r="C1021" s="7">
        <f>'1_Du_lieu'!V400</f>
        <v>4.4508528256037341</v>
      </c>
      <c r="D1021" s="9">
        <f>'1_Du_lieu'!W400</f>
        <v>5.0086332914255829</v>
      </c>
      <c r="E1021" s="9">
        <f>'1_Du_lieu'!L400</f>
        <v>22.382000000000001</v>
      </c>
      <c r="F1021" s="9">
        <f>'1_Du_lieu'!M400</f>
        <v>49.06</v>
      </c>
      <c r="G1021" s="9">
        <f>'1_Du_lieu'!N400</f>
        <v>50.8</v>
      </c>
      <c r="H1021" s="9">
        <f>'1_Du_lieu'!X400</f>
        <v>3.1935935495764549</v>
      </c>
      <c r="I1021" s="9">
        <f>'1_Du_lieu'!T400</f>
        <v>1.8516146312491992</v>
      </c>
      <c r="J1021" s="9">
        <f>'1_Du_lieu'!Y400</f>
        <v>8.4766211656511903</v>
      </c>
      <c r="K1021" s="5">
        <f t="shared" si="161"/>
        <v>0</v>
      </c>
      <c r="L1021" s="5">
        <f t="shared" si="162"/>
        <v>0</v>
      </c>
      <c r="M1021" s="5">
        <f t="shared" si="163"/>
        <v>0</v>
      </c>
      <c r="N1021" s="5">
        <f t="shared" si="164"/>
        <v>0</v>
      </c>
      <c r="O1021" s="5">
        <f t="shared" si="165"/>
        <v>1</v>
      </c>
      <c r="P1021" s="5">
        <f t="shared" si="166"/>
        <v>0</v>
      </c>
    </row>
    <row r="1022" spans="1:16" x14ac:dyDescent="0.25">
      <c r="A1022" t="s">
        <v>109</v>
      </c>
      <c r="B1022">
        <v>2023</v>
      </c>
      <c r="C1022" s="7">
        <f>'1_Du_lieu'!V401</f>
        <v>2.5877640352277083</v>
      </c>
      <c r="D1022" s="9">
        <f>'1_Du_lieu'!W401</f>
        <v>4.3372907408324899</v>
      </c>
      <c r="E1022" s="9">
        <f>'1_Du_lieu'!L401</f>
        <v>4.3719999999999999</v>
      </c>
      <c r="F1022" s="9">
        <f>'1_Du_lieu'!M401</f>
        <v>22.51</v>
      </c>
      <c r="G1022" s="9">
        <f>'1_Du_lieu'!N401</f>
        <v>31.6</v>
      </c>
      <c r="H1022" s="9">
        <f>'1_Du_lieu'!X401</f>
        <v>3.5347750450300257</v>
      </c>
      <c r="I1022" s="9">
        <f>'1_Du_lieu'!T401</f>
        <v>0.37772909269471933</v>
      </c>
      <c r="J1022" s="9">
        <f>'1_Du_lieu'!Y401</f>
        <v>9.1196495066916796</v>
      </c>
      <c r="K1022" s="5">
        <f t="shared" si="161"/>
        <v>0</v>
      </c>
      <c r="L1022" s="5">
        <f t="shared" si="162"/>
        <v>0</v>
      </c>
      <c r="M1022" s="5">
        <f t="shared" si="163"/>
        <v>0</v>
      </c>
      <c r="N1022" s="5">
        <f t="shared" si="164"/>
        <v>0</v>
      </c>
      <c r="O1022" s="5">
        <f t="shared" si="165"/>
        <v>1</v>
      </c>
      <c r="P1022" s="5">
        <f t="shared" si="166"/>
        <v>0</v>
      </c>
    </row>
    <row r="1023" spans="1:16" x14ac:dyDescent="0.25">
      <c r="A1023" t="s">
        <v>110</v>
      </c>
      <c r="B1023">
        <v>2023</v>
      </c>
      <c r="C1023" s="7">
        <f>'1_Du_lieu'!V402</f>
        <v>2.5014359517392109</v>
      </c>
      <c r="D1023" s="9">
        <f>'1_Du_lieu'!W402</f>
        <v>4.2456340097683265</v>
      </c>
      <c r="E1023" s="9">
        <f>'1_Du_lieu'!L402</f>
        <v>3.375</v>
      </c>
      <c r="F1023" s="9">
        <f>'1_Du_lieu'!M402</f>
        <v>25.68</v>
      </c>
      <c r="G1023" s="9">
        <f>'1_Du_lieu'!N402</f>
        <v>23.8</v>
      </c>
      <c r="H1023" s="9">
        <f>'1_Du_lieu'!X402</f>
        <v>2.2822317178119582</v>
      </c>
      <c r="I1023" s="9">
        <f>'1_Du_lieu'!T402</f>
        <v>1.0221465076660987</v>
      </c>
      <c r="J1023" s="9">
        <f>'1_Du_lieu'!Y402</f>
        <v>6.7878449823095792</v>
      </c>
      <c r="K1023" s="5">
        <f t="shared" si="161"/>
        <v>0</v>
      </c>
      <c r="L1023" s="5">
        <f t="shared" si="162"/>
        <v>0</v>
      </c>
      <c r="M1023" s="5">
        <f t="shared" si="163"/>
        <v>0</v>
      </c>
      <c r="N1023" s="5">
        <f t="shared" si="164"/>
        <v>0</v>
      </c>
      <c r="O1023" s="5">
        <f t="shared" si="165"/>
        <v>1</v>
      </c>
      <c r="P1023" s="5">
        <f t="shared" si="166"/>
        <v>0</v>
      </c>
    </row>
    <row r="1024" spans="1:16" x14ac:dyDescent="0.25">
      <c r="A1024" t="s">
        <v>111</v>
      </c>
      <c r="B1024">
        <v>2023</v>
      </c>
      <c r="C1024" s="7">
        <f>'1_Du_lieu'!V403</f>
        <v>3.0204248861443626</v>
      </c>
      <c r="D1024" s="9">
        <f>'1_Du_lieu'!W403</f>
        <v>4.6995708614095761</v>
      </c>
      <c r="E1024" s="9">
        <f>'1_Du_lieu'!L403</f>
        <v>7.4969999999999999</v>
      </c>
      <c r="F1024" s="9">
        <f>'1_Du_lieu'!M403</f>
        <v>16.989999999999998</v>
      </c>
      <c r="G1024" s="9">
        <f>'1_Du_lieu'!N403</f>
        <v>28.2</v>
      </c>
      <c r="H1024" s="9">
        <f>'1_Du_lieu'!X403</f>
        <v>3.3154290302726985</v>
      </c>
      <c r="I1024" s="9">
        <f>'1_Du_lieu'!T403</f>
        <v>1.8447348193697155</v>
      </c>
      <c r="J1024" s="9">
        <f>'1_Du_lieu'!Y403</f>
        <v>8.6638702992607257</v>
      </c>
      <c r="K1024" s="5">
        <f t="shared" si="161"/>
        <v>0</v>
      </c>
      <c r="L1024" s="5">
        <f t="shared" si="162"/>
        <v>0</v>
      </c>
      <c r="M1024" s="5">
        <f t="shared" si="163"/>
        <v>0</v>
      </c>
      <c r="N1024" s="5">
        <f t="shared" si="164"/>
        <v>0</v>
      </c>
      <c r="O1024" s="5">
        <f t="shared" si="165"/>
        <v>1</v>
      </c>
      <c r="P1024" s="5">
        <f t="shared" si="166"/>
        <v>0</v>
      </c>
    </row>
    <row r="1025" spans="1:16" x14ac:dyDescent="0.25">
      <c r="A1025" t="s">
        <v>112</v>
      </c>
      <c r="B1025">
        <v>2023</v>
      </c>
      <c r="C1025" s="7">
        <f>'1_Du_lieu'!V404</f>
        <v>2.9285235238605409</v>
      </c>
      <c r="D1025" s="9">
        <f>'1_Du_lieu'!W404</f>
        <v>4.5528237056158822</v>
      </c>
      <c r="E1025" s="9">
        <f>'1_Du_lieu'!L404</f>
        <v>5.7359999999999998</v>
      </c>
      <c r="F1025" s="9">
        <f>'1_Du_lieu'!M404</f>
        <v>31.68</v>
      </c>
      <c r="G1025" s="9">
        <f>'1_Du_lieu'!N404</f>
        <v>29.2</v>
      </c>
      <c r="H1025" s="9">
        <f>'1_Du_lieu'!X404</f>
        <v>3.2946589515718152</v>
      </c>
      <c r="I1025" s="9">
        <f>'1_Du_lieu'!T404</f>
        <v>0.56211354693648108</v>
      </c>
      <c r="J1025" s="9">
        <f>'1_Du_lieu'!Y404</f>
        <v>8.579303767479141</v>
      </c>
      <c r="K1025" s="5">
        <f t="shared" si="161"/>
        <v>0</v>
      </c>
      <c r="L1025" s="5">
        <f t="shared" si="162"/>
        <v>0</v>
      </c>
      <c r="M1025" s="5">
        <f t="shared" si="163"/>
        <v>0</v>
      </c>
      <c r="N1025" s="5">
        <f t="shared" si="164"/>
        <v>0</v>
      </c>
      <c r="O1025" s="5">
        <f t="shared" si="165"/>
        <v>1</v>
      </c>
      <c r="P1025" s="5">
        <f t="shared" si="166"/>
        <v>0</v>
      </c>
    </row>
    <row r="1026" spans="1:16" x14ac:dyDescent="0.25">
      <c r="A1026" t="s">
        <v>113</v>
      </c>
      <c r="B1026">
        <v>2023</v>
      </c>
      <c r="C1026" s="7">
        <f>'1_Du_lieu'!V405</f>
        <v>3.3534067178258069</v>
      </c>
      <c r="D1026" s="9">
        <f>'1_Du_lieu'!W405</f>
        <v>5.2208962195794522</v>
      </c>
      <c r="E1026" s="9">
        <f>'1_Du_lieu'!L405</f>
        <v>9.9939999999999998</v>
      </c>
      <c r="F1026" s="9">
        <f>'1_Du_lieu'!M405</f>
        <v>45.63</v>
      </c>
      <c r="G1026" s="9">
        <f>'1_Du_lieu'!N405</f>
        <v>36.5</v>
      </c>
      <c r="H1026" s="9">
        <f>'1_Du_lieu'!X405</f>
        <v>4.1304894126587515</v>
      </c>
      <c r="I1026" s="9">
        <f>'1_Du_lieu'!T405</f>
        <v>1.8527315914489311</v>
      </c>
      <c r="J1026" s="9">
        <f>'1_Du_lieu'!Y405</f>
        <v>9.5257567677856638</v>
      </c>
      <c r="K1026" s="5">
        <f t="shared" si="161"/>
        <v>0</v>
      </c>
      <c r="L1026" s="5">
        <f t="shared" si="162"/>
        <v>0</v>
      </c>
      <c r="M1026" s="5">
        <f t="shared" si="163"/>
        <v>0</v>
      </c>
      <c r="N1026" s="5">
        <f t="shared" si="164"/>
        <v>0</v>
      </c>
      <c r="O1026" s="5">
        <f t="shared" si="165"/>
        <v>1</v>
      </c>
      <c r="P1026" s="5">
        <f t="shared" si="166"/>
        <v>0</v>
      </c>
    </row>
    <row r="1027" spans="1:16" x14ac:dyDescent="0.25">
      <c r="A1027" t="s">
        <v>114</v>
      </c>
      <c r="B1027">
        <v>2023</v>
      </c>
      <c r="C1027" s="7">
        <f>'1_Du_lieu'!V406</f>
        <v>2.4680995314716192</v>
      </c>
      <c r="D1027" s="9">
        <f>'1_Du_lieu'!W406</f>
        <v>4.3757570216602861</v>
      </c>
      <c r="E1027" s="9">
        <f>'1_Du_lieu'!L406</f>
        <v>3.7349999999999999</v>
      </c>
      <c r="F1027" s="9">
        <f>'1_Du_lieu'!M406</f>
        <v>28.11</v>
      </c>
      <c r="G1027" s="9">
        <f>'1_Du_lieu'!N406</f>
        <v>13.7</v>
      </c>
      <c r="H1027" s="9">
        <f>'1_Du_lieu'!X406</f>
        <v>1.4593842792877025</v>
      </c>
      <c r="I1027" s="9">
        <f>'1_Du_lieu'!T406</f>
        <v>0.68653027598517091</v>
      </c>
      <c r="J1027" s="9">
        <f>'1_Du_lieu'!Y406</f>
        <v>6.9696966805223202</v>
      </c>
      <c r="K1027" s="5">
        <f t="shared" si="161"/>
        <v>0</v>
      </c>
      <c r="L1027" s="5">
        <f t="shared" si="162"/>
        <v>0</v>
      </c>
      <c r="M1027" s="5">
        <f t="shared" si="163"/>
        <v>0</v>
      </c>
      <c r="N1027" s="5">
        <f t="shared" si="164"/>
        <v>0</v>
      </c>
      <c r="O1027" s="5">
        <f t="shared" si="165"/>
        <v>1</v>
      </c>
      <c r="P1027" s="5">
        <f t="shared" si="166"/>
        <v>0</v>
      </c>
    </row>
    <row r="1028" spans="1:16" x14ac:dyDescent="0.25">
      <c r="A1028" t="s">
        <v>115</v>
      </c>
      <c r="B1028">
        <v>2023</v>
      </c>
      <c r="C1028" s="7">
        <f>'1_Du_lieu'!V407</f>
        <v>3.1484533605716547</v>
      </c>
      <c r="D1028" s="9">
        <f>'1_Du_lieu'!W407</f>
        <v>4.4830025520138834</v>
      </c>
      <c r="E1028" s="9">
        <f>'1_Du_lieu'!L407</f>
        <v>9.0820000000000007</v>
      </c>
      <c r="F1028" s="9">
        <f>'1_Du_lieu'!M407</f>
        <v>42.39</v>
      </c>
      <c r="G1028" s="9">
        <f>'1_Du_lieu'!N407</f>
        <v>25.3</v>
      </c>
      <c r="H1028" s="9">
        <f>'1_Du_lieu'!X407</f>
        <v>3.0975907097764734</v>
      </c>
      <c r="I1028" s="9">
        <f>'1_Du_lieu'!T407</f>
        <v>1.8245280025384738</v>
      </c>
      <c r="J1028" s="9">
        <f>'1_Du_lieu'!Y407</f>
        <v>8.1603468042105192</v>
      </c>
      <c r="K1028" s="5">
        <f t="shared" si="161"/>
        <v>0</v>
      </c>
      <c r="L1028" s="5">
        <f t="shared" si="162"/>
        <v>0</v>
      </c>
      <c r="M1028" s="5">
        <f t="shared" si="163"/>
        <v>0</v>
      </c>
      <c r="N1028" s="5">
        <f t="shared" si="164"/>
        <v>0</v>
      </c>
      <c r="O1028" s="5">
        <f t="shared" si="165"/>
        <v>1</v>
      </c>
      <c r="P1028" s="5">
        <f t="shared" si="166"/>
        <v>0</v>
      </c>
    </row>
    <row r="1029" spans="1:16" x14ac:dyDescent="0.25">
      <c r="A1029" t="s">
        <v>116</v>
      </c>
      <c r="B1029">
        <v>2023</v>
      </c>
      <c r="C1029" s="7">
        <f>'1_Du_lieu'!V408</f>
        <v>2.5802168295923251</v>
      </c>
      <c r="D1029" s="9">
        <f>'1_Du_lieu'!W408</f>
        <v>4.2835865618606288</v>
      </c>
      <c r="E1029" s="9">
        <f>'1_Du_lieu'!L408</f>
        <v>5.0250000000000004</v>
      </c>
      <c r="F1029" s="9">
        <f>'1_Du_lieu'!M408</f>
        <v>30.12</v>
      </c>
      <c r="G1029" s="9">
        <f>'1_Du_lieu'!N408</f>
        <v>16.8</v>
      </c>
      <c r="H1029" s="9">
        <f>'1_Du_lieu'!X408</f>
        <v>0.57791387397611804</v>
      </c>
      <c r="I1029" s="9">
        <f>'1_Du_lieu'!T408</f>
        <v>5.4691505725517011</v>
      </c>
      <c r="J1029" s="9">
        <f>'1_Du_lieu'!Y408</f>
        <v>7.9163334449462655</v>
      </c>
      <c r="K1029" s="5">
        <f t="shared" si="161"/>
        <v>0</v>
      </c>
      <c r="L1029" s="5">
        <f t="shared" si="162"/>
        <v>0</v>
      </c>
      <c r="M1029" s="5">
        <f t="shared" si="163"/>
        <v>0</v>
      </c>
      <c r="N1029" s="5">
        <f t="shared" si="164"/>
        <v>0</v>
      </c>
      <c r="O1029" s="5">
        <f t="shared" si="165"/>
        <v>1</v>
      </c>
      <c r="P1029" s="5">
        <f t="shared" si="166"/>
        <v>0</v>
      </c>
    </row>
    <row r="1030" spans="1:16" x14ac:dyDescent="0.25">
      <c r="A1030" t="s">
        <v>117</v>
      </c>
      <c r="B1030">
        <v>2023</v>
      </c>
      <c r="C1030" s="7">
        <f>'1_Du_lieu'!V409</f>
        <v>2.3223877202902252</v>
      </c>
      <c r="D1030" s="9">
        <f>'1_Du_lieu'!W409</f>
        <v>4.0775374439057197</v>
      </c>
      <c r="E1030" s="9">
        <f>'1_Du_lieu'!L409</f>
        <v>3.6360000000000001</v>
      </c>
      <c r="F1030" s="9">
        <f>'1_Du_lieu'!M409</f>
        <v>32.44</v>
      </c>
      <c r="G1030" s="9">
        <f>'1_Du_lieu'!N409</f>
        <v>17.8</v>
      </c>
      <c r="H1030" s="9">
        <f>'1_Du_lieu'!X409</f>
        <v>2.665450879720793</v>
      </c>
      <c r="I1030" s="9">
        <f>'1_Du_lieu'!T409</f>
        <v>0.84559445290038915</v>
      </c>
      <c r="J1030" s="9">
        <f>'1_Du_lieu'!Y409</f>
        <v>6.0224786006371511</v>
      </c>
      <c r="K1030" s="5">
        <f t="shared" si="161"/>
        <v>0</v>
      </c>
      <c r="L1030" s="5">
        <f t="shared" si="162"/>
        <v>0</v>
      </c>
      <c r="M1030" s="5">
        <f t="shared" si="163"/>
        <v>0</v>
      </c>
      <c r="N1030" s="5">
        <f t="shared" si="164"/>
        <v>0</v>
      </c>
      <c r="O1030" s="5">
        <f t="shared" si="165"/>
        <v>1</v>
      </c>
      <c r="P1030" s="5">
        <f t="shared" si="166"/>
        <v>0</v>
      </c>
    </row>
    <row r="1031" spans="1:16" x14ac:dyDescent="0.25">
      <c r="A1031" t="s">
        <v>119</v>
      </c>
      <c r="B1031">
        <v>2023</v>
      </c>
      <c r="C1031" s="7">
        <f>'1_Du_lieu'!V411</f>
        <v>2.8678989020441064</v>
      </c>
      <c r="D1031" s="9">
        <f>'1_Du_lieu'!W411</f>
        <v>4.5390303834835466</v>
      </c>
      <c r="E1031" s="9">
        <f>'1_Du_lieu'!L411</f>
        <v>7.0049999999999999</v>
      </c>
      <c r="F1031" s="9">
        <f>'1_Du_lieu'!M411</f>
        <v>18.399999999999999</v>
      </c>
      <c r="G1031" s="9">
        <f>'1_Du_lieu'!N411</f>
        <v>15.9</v>
      </c>
      <c r="H1031" s="9">
        <f>'1_Du_lieu'!X411</f>
        <v>1.5310142902595101</v>
      </c>
      <c r="I1031" s="9">
        <f>'1_Du_lieu'!T411</f>
        <v>0.45887346564184922</v>
      </c>
      <c r="J1031" s="9">
        <f>'1_Du_lieu'!Y411</f>
        <v>8.96078867488567</v>
      </c>
      <c r="K1031" s="5">
        <f t="shared" si="161"/>
        <v>0</v>
      </c>
      <c r="L1031" s="5">
        <f t="shared" si="162"/>
        <v>0</v>
      </c>
      <c r="M1031" s="5">
        <f t="shared" si="163"/>
        <v>0</v>
      </c>
      <c r="N1031" s="5">
        <f t="shared" si="164"/>
        <v>0</v>
      </c>
      <c r="O1031" s="5">
        <f t="shared" si="165"/>
        <v>1</v>
      </c>
      <c r="P1031" s="5">
        <f t="shared" si="166"/>
        <v>0</v>
      </c>
    </row>
    <row r="1032" spans="1:16" x14ac:dyDescent="0.25">
      <c r="A1032" t="s">
        <v>120</v>
      </c>
      <c r="B1032">
        <v>2023</v>
      </c>
      <c r="C1032" s="7">
        <f>'1_Du_lieu'!V412</f>
        <v>2.8903717578961645</v>
      </c>
      <c r="D1032" s="9">
        <f>'1_Du_lieu'!W412</f>
        <v>4.4461744544976334</v>
      </c>
      <c r="E1032" s="9">
        <f>'1_Du_lieu'!L412</f>
        <v>4.6020000000000003</v>
      </c>
      <c r="F1032" s="9">
        <f>'1_Du_lieu'!M412</f>
        <v>27.05</v>
      </c>
      <c r="G1032" s="9">
        <f>'1_Du_lieu'!N412</f>
        <v>22.8</v>
      </c>
      <c r="H1032" s="9">
        <f>'1_Du_lieu'!X412</f>
        <v>2.3051078729742289</v>
      </c>
      <c r="I1032" s="9">
        <f>'1_Du_lieu'!T412</f>
        <v>1.1539941018079241</v>
      </c>
      <c r="J1032" s="9">
        <f>'1_Du_lieu'!Y412</f>
        <v>6.7356612423436184</v>
      </c>
      <c r="K1032" s="5">
        <f t="shared" si="161"/>
        <v>0</v>
      </c>
      <c r="L1032" s="5">
        <f t="shared" si="162"/>
        <v>0</v>
      </c>
      <c r="M1032" s="5">
        <f t="shared" si="163"/>
        <v>0</v>
      </c>
      <c r="N1032" s="5">
        <f t="shared" si="164"/>
        <v>0</v>
      </c>
      <c r="O1032" s="5">
        <f t="shared" si="165"/>
        <v>1</v>
      </c>
      <c r="P1032" s="5">
        <f t="shared" si="166"/>
        <v>0</v>
      </c>
    </row>
    <row r="1033" spans="1:16" x14ac:dyDescent="0.25">
      <c r="A1033" t="s">
        <v>121</v>
      </c>
      <c r="B1033">
        <v>2023</v>
      </c>
      <c r="C1033" s="7">
        <f>'1_Du_lieu'!V413</f>
        <v>2.9856819377004897</v>
      </c>
      <c r="D1033" s="9">
        <f>'1_Du_lieu'!W413</f>
        <v>4.4426512564903167</v>
      </c>
      <c r="E1033" s="9">
        <f>'1_Du_lieu'!L413</f>
        <v>6.1319999999999997</v>
      </c>
      <c r="F1033" s="9">
        <f>'1_Du_lieu'!M413</f>
        <v>39.380000000000003</v>
      </c>
      <c r="G1033" s="9">
        <f>'1_Du_lieu'!N413</f>
        <v>22.7</v>
      </c>
      <c r="H1033" s="9">
        <f>'1_Du_lieu'!X413</f>
        <v>3.0583893790985237</v>
      </c>
      <c r="I1033" s="9">
        <f>'1_Du_lieu'!T413</f>
        <v>0.59479553903345728</v>
      </c>
      <c r="J1033" s="9">
        <f>'1_Du_lieu'!Y413</f>
        <v>6.0287603318516787</v>
      </c>
      <c r="K1033" s="5">
        <f t="shared" si="161"/>
        <v>0</v>
      </c>
      <c r="L1033" s="5">
        <f t="shared" si="162"/>
        <v>0</v>
      </c>
      <c r="M1033" s="5">
        <f t="shared" si="163"/>
        <v>0</v>
      </c>
      <c r="N1033" s="5">
        <f t="shared" si="164"/>
        <v>0</v>
      </c>
      <c r="O1033" s="5">
        <f t="shared" si="165"/>
        <v>1</v>
      </c>
      <c r="P1033" s="5">
        <f t="shared" si="166"/>
        <v>0</v>
      </c>
    </row>
    <row r="1034" spans="1:16" x14ac:dyDescent="0.25">
      <c r="A1034" t="s">
        <v>122</v>
      </c>
      <c r="B1034">
        <v>2023</v>
      </c>
      <c r="C1034" s="7">
        <f>'1_Du_lieu'!V414</f>
        <v>2.4765384001174837</v>
      </c>
      <c r="D1034" s="9">
        <f>'1_Du_lieu'!W414</f>
        <v>4.0569887756783318</v>
      </c>
      <c r="E1034" s="9">
        <f>'1_Du_lieu'!L414</f>
        <v>3.3919999999999999</v>
      </c>
      <c r="F1034" s="9">
        <f>'1_Du_lieu'!M414</f>
        <v>23.18</v>
      </c>
      <c r="G1034" s="9">
        <f>'1_Du_lieu'!N414</f>
        <v>27.6</v>
      </c>
      <c r="H1034" s="9">
        <f>'1_Du_lieu'!X414</f>
        <v>2.1331566502704176</v>
      </c>
      <c r="I1034" s="9">
        <f>'1_Du_lieu'!T414</f>
        <v>0.99095751269664323</v>
      </c>
      <c r="J1034" s="9">
        <f>'1_Du_lieu'!Y414</f>
        <v>6.4597479476082977</v>
      </c>
      <c r="K1034" s="5">
        <f t="shared" si="161"/>
        <v>0</v>
      </c>
      <c r="L1034" s="5">
        <f t="shared" si="162"/>
        <v>0</v>
      </c>
      <c r="M1034" s="5">
        <f t="shared" si="163"/>
        <v>0</v>
      </c>
      <c r="N1034" s="5">
        <f t="shared" si="164"/>
        <v>0</v>
      </c>
      <c r="O1034" s="5">
        <f t="shared" si="165"/>
        <v>1</v>
      </c>
      <c r="P1034" s="5">
        <f t="shared" si="166"/>
        <v>0</v>
      </c>
    </row>
    <row r="1035" spans="1:16" x14ac:dyDescent="0.25">
      <c r="A1035" t="s">
        <v>123</v>
      </c>
      <c r="B1035">
        <v>2023</v>
      </c>
      <c r="C1035" s="7">
        <f>'1_Du_lieu'!V415</f>
        <v>2.954910279033736</v>
      </c>
      <c r="D1035" s="9">
        <f>'1_Du_lieu'!W415</f>
        <v>3.9435216724875173</v>
      </c>
      <c r="E1035" s="9">
        <f>'1_Du_lieu'!L415</f>
        <v>3.7719999999999998</v>
      </c>
      <c r="F1035" s="9">
        <f>'1_Du_lieu'!M415</f>
        <v>20.420000000000002</v>
      </c>
      <c r="G1035" s="9">
        <f>'1_Du_lieu'!N415</f>
        <v>21.7</v>
      </c>
      <c r="H1035" s="9">
        <f>'1_Du_lieu'!X415</f>
        <v>2.2432298019540498</v>
      </c>
      <c r="I1035" s="9">
        <f>'1_Du_lieu'!T415</f>
        <v>1.1128186105664777</v>
      </c>
      <c r="J1035" s="9">
        <f>'1_Du_lieu'!Y415</f>
        <v>7.6741993886035393</v>
      </c>
      <c r="K1035" s="5">
        <f t="shared" si="161"/>
        <v>0</v>
      </c>
      <c r="L1035" s="5">
        <f t="shared" si="162"/>
        <v>0</v>
      </c>
      <c r="M1035" s="5">
        <f t="shared" si="163"/>
        <v>0</v>
      </c>
      <c r="N1035" s="5">
        <f t="shared" si="164"/>
        <v>0</v>
      </c>
      <c r="O1035" s="5">
        <f t="shared" si="165"/>
        <v>1</v>
      </c>
      <c r="P1035" s="5">
        <f t="shared" si="166"/>
        <v>0</v>
      </c>
    </row>
    <row r="1036" spans="1:16" x14ac:dyDescent="0.25">
      <c r="A1036" t="s">
        <v>124</v>
      </c>
      <c r="B1036">
        <v>2023</v>
      </c>
      <c r="C1036" s="7">
        <f>'1_Du_lieu'!V416</f>
        <v>2.9755295662364718</v>
      </c>
      <c r="D1036" s="9">
        <f>'1_Du_lieu'!W416</f>
        <v>4.0055133485154846</v>
      </c>
      <c r="E1036" s="9">
        <f>'1_Du_lieu'!L416</f>
        <v>3.9649999999999999</v>
      </c>
      <c r="F1036" s="9">
        <f>'1_Du_lieu'!M416</f>
        <v>15.69</v>
      </c>
      <c r="G1036" s="9">
        <f>'1_Du_lieu'!N416</f>
        <v>25.7</v>
      </c>
      <c r="H1036" s="9">
        <f>'1_Du_lieu'!X416</f>
        <v>3.8512133359859355</v>
      </c>
      <c r="I1036" s="9">
        <f>'1_Du_lieu'!T416</f>
        <v>2.9633933759442184</v>
      </c>
      <c r="J1036" s="9">
        <f>'1_Du_lieu'!Y416</f>
        <v>7.1087350175946247</v>
      </c>
      <c r="K1036" s="5">
        <f t="shared" si="161"/>
        <v>0</v>
      </c>
      <c r="L1036" s="5">
        <f t="shared" si="162"/>
        <v>0</v>
      </c>
      <c r="M1036" s="5">
        <f t="shared" si="163"/>
        <v>0</v>
      </c>
      <c r="N1036" s="5">
        <f t="shared" si="164"/>
        <v>0</v>
      </c>
      <c r="O1036" s="5">
        <f t="shared" si="165"/>
        <v>1</v>
      </c>
      <c r="P1036" s="5">
        <f t="shared" si="166"/>
        <v>0</v>
      </c>
    </row>
    <row r="1037" spans="1:16" x14ac:dyDescent="0.25">
      <c r="A1037" t="s">
        <v>125</v>
      </c>
      <c r="B1037">
        <v>2023</v>
      </c>
      <c r="C1037" s="7">
        <f>'1_Du_lieu'!V417</f>
        <v>2.8903717578961645</v>
      </c>
      <c r="D1037" s="9">
        <f>'1_Du_lieu'!W417</f>
        <v>4.4212473478271628</v>
      </c>
      <c r="E1037" s="9">
        <f>'1_Du_lieu'!L417</f>
        <v>5.4859999999999998</v>
      </c>
      <c r="F1037" s="9">
        <f>'1_Du_lieu'!M417</f>
        <v>21.69</v>
      </c>
      <c r="G1037" s="9">
        <f>'1_Du_lieu'!N417</f>
        <v>33.6</v>
      </c>
      <c r="H1037" s="9">
        <f>'1_Du_lieu'!X417</f>
        <v>3.9371821635260744</v>
      </c>
      <c r="I1037" s="9">
        <f>'1_Du_lieu'!T417</f>
        <v>3.4411562284927735</v>
      </c>
      <c r="J1037" s="9">
        <f>'1_Du_lieu'!Y417</f>
        <v>7.4516481064523239</v>
      </c>
      <c r="K1037" s="5">
        <f t="shared" si="161"/>
        <v>0</v>
      </c>
      <c r="L1037" s="5">
        <f t="shared" si="162"/>
        <v>0</v>
      </c>
      <c r="M1037" s="5">
        <f t="shared" si="163"/>
        <v>0</v>
      </c>
      <c r="N1037" s="5">
        <f t="shared" si="164"/>
        <v>0</v>
      </c>
      <c r="O1037" s="5">
        <f t="shared" si="165"/>
        <v>1</v>
      </c>
      <c r="P1037" s="5">
        <f t="shared" si="166"/>
        <v>0</v>
      </c>
    </row>
    <row r="1038" spans="1:16" x14ac:dyDescent="0.25">
      <c r="A1038" t="s">
        <v>126</v>
      </c>
      <c r="B1038">
        <v>2023</v>
      </c>
      <c r="C1038" s="7">
        <f>'1_Du_lieu'!V418</f>
        <v>2.6173958328340792</v>
      </c>
      <c r="D1038" s="9">
        <f>'1_Du_lieu'!W418</f>
        <v>4.4485163759427149</v>
      </c>
      <c r="E1038" s="9">
        <f>'1_Du_lieu'!L418</f>
        <v>5.16</v>
      </c>
      <c r="F1038" s="9">
        <f>'1_Du_lieu'!M418</f>
        <v>35.5</v>
      </c>
      <c r="G1038" s="9">
        <f>'1_Du_lieu'!N418</f>
        <v>18.600000000000001</v>
      </c>
      <c r="H1038" s="9">
        <f>'1_Du_lieu'!X418</f>
        <v>2.6536588840470872</v>
      </c>
      <c r="I1038" s="9">
        <f>'1_Du_lieu'!T418</f>
        <v>0.99800399201596801</v>
      </c>
      <c r="J1038" s="9">
        <f>'1_Du_lieu'!Y418</f>
        <v>7.9624505105837899</v>
      </c>
      <c r="K1038" s="5">
        <f t="shared" si="161"/>
        <v>0</v>
      </c>
      <c r="L1038" s="5">
        <f t="shared" si="162"/>
        <v>0</v>
      </c>
      <c r="M1038" s="5">
        <f t="shared" si="163"/>
        <v>0</v>
      </c>
      <c r="N1038" s="5">
        <f t="shared" si="164"/>
        <v>0</v>
      </c>
      <c r="O1038" s="5">
        <f t="shared" si="165"/>
        <v>1</v>
      </c>
      <c r="P1038" s="5">
        <f t="shared" si="166"/>
        <v>0</v>
      </c>
    </row>
    <row r="1039" spans="1:16" x14ac:dyDescent="0.25">
      <c r="A1039" t="s">
        <v>127</v>
      </c>
      <c r="B1039">
        <v>2023</v>
      </c>
      <c r="C1039" s="7">
        <f>'1_Du_lieu'!V419</f>
        <v>2.8791984572980396</v>
      </c>
      <c r="D1039" s="9">
        <f>'1_Du_lieu'!W419</f>
        <v>4.1759245492145238</v>
      </c>
      <c r="E1039" s="9">
        <f>'1_Du_lieu'!L419</f>
        <v>4.2779999999999996</v>
      </c>
      <c r="F1039" s="9">
        <f>'1_Du_lieu'!M419</f>
        <v>19.420000000000002</v>
      </c>
      <c r="G1039" s="9">
        <f>'1_Du_lieu'!N419</f>
        <v>34.1</v>
      </c>
      <c r="H1039" s="9">
        <f>'1_Du_lieu'!X419</f>
        <v>3.1316354267149693</v>
      </c>
      <c r="I1039" s="9">
        <f>'1_Du_lieu'!T419</f>
        <v>1.3065064018813692</v>
      </c>
      <c r="J1039" s="9">
        <f>'1_Du_lieu'!Y419</f>
        <v>7.6855193052619608</v>
      </c>
      <c r="K1039" s="5">
        <f t="shared" si="161"/>
        <v>0</v>
      </c>
      <c r="L1039" s="5">
        <f t="shared" si="162"/>
        <v>0</v>
      </c>
      <c r="M1039" s="5">
        <f t="shared" si="163"/>
        <v>0</v>
      </c>
      <c r="N1039" s="5">
        <f t="shared" si="164"/>
        <v>0</v>
      </c>
      <c r="O1039" s="5">
        <f t="shared" si="165"/>
        <v>1</v>
      </c>
      <c r="P1039" s="5">
        <f t="shared" si="166"/>
        <v>0</v>
      </c>
    </row>
    <row r="1040" spans="1:16" x14ac:dyDescent="0.25">
      <c r="A1040" t="s">
        <v>128</v>
      </c>
      <c r="B1040">
        <v>2023</v>
      </c>
      <c r="C1040" s="7">
        <f>'1_Du_lieu'!V420</f>
        <v>2.5416019934645457</v>
      </c>
      <c r="D1040" s="9">
        <f>'1_Du_lieu'!W420</f>
        <v>4.1447207695471677</v>
      </c>
      <c r="E1040" s="9">
        <f>'1_Du_lieu'!L420</f>
        <v>3.871</v>
      </c>
      <c r="F1040" s="9">
        <f>'1_Du_lieu'!M420</f>
        <v>32.71</v>
      </c>
      <c r="G1040" s="9">
        <f>'1_Du_lieu'!N420</f>
        <v>23.1</v>
      </c>
      <c r="H1040" s="9">
        <f>'1_Du_lieu'!X420</f>
        <v>2.5767721638564964</v>
      </c>
      <c r="I1040" s="9">
        <f>'1_Du_lieu'!T420</f>
        <v>0.45573658425430102</v>
      </c>
      <c r="J1040" s="9">
        <f>'1_Du_lieu'!Y420</f>
        <v>7.7508299485250332</v>
      </c>
      <c r="K1040" s="5">
        <f t="shared" si="161"/>
        <v>0</v>
      </c>
      <c r="L1040" s="5">
        <f t="shared" si="162"/>
        <v>0</v>
      </c>
      <c r="M1040" s="5">
        <f t="shared" si="163"/>
        <v>0</v>
      </c>
      <c r="N1040" s="5">
        <f t="shared" si="164"/>
        <v>0</v>
      </c>
      <c r="O1040" s="5">
        <f t="shared" si="165"/>
        <v>1</v>
      </c>
      <c r="P1040" s="5">
        <f t="shared" si="166"/>
        <v>0</v>
      </c>
    </row>
    <row r="1041" spans="1:16" x14ac:dyDescent="0.25">
      <c r="A1041" t="s">
        <v>129</v>
      </c>
      <c r="B1041">
        <v>2023</v>
      </c>
      <c r="C1041" s="7">
        <f>'1_Du_lieu'!V421</f>
        <v>2.5494451709255714</v>
      </c>
      <c r="D1041" s="9">
        <f>'1_Du_lieu'!W421</f>
        <v>4.0826093060036799</v>
      </c>
      <c r="E1041" s="9">
        <f>'1_Du_lieu'!L421</f>
        <v>5.6340000000000003</v>
      </c>
      <c r="F1041" s="9">
        <f>'1_Du_lieu'!M421</f>
        <v>23.39</v>
      </c>
      <c r="G1041" s="9">
        <f>'1_Du_lieu'!N421</f>
        <v>27.7</v>
      </c>
      <c r="H1041" s="9">
        <f>'1_Du_lieu'!X421</f>
        <v>3.484044469482082</v>
      </c>
      <c r="I1041" s="9">
        <f>'1_Du_lieu'!T421</f>
        <v>0.87079568956133657</v>
      </c>
      <c r="J1041" s="9">
        <f>'1_Du_lieu'!Y421</f>
        <v>7.1034042959869534</v>
      </c>
      <c r="K1041" s="5">
        <f t="shared" si="161"/>
        <v>0</v>
      </c>
      <c r="L1041" s="5">
        <f t="shared" si="162"/>
        <v>0</v>
      </c>
      <c r="M1041" s="5">
        <f t="shared" si="163"/>
        <v>0</v>
      </c>
      <c r="N1041" s="5">
        <f t="shared" si="164"/>
        <v>0</v>
      </c>
      <c r="O1041" s="5">
        <f t="shared" si="165"/>
        <v>1</v>
      </c>
      <c r="P1041" s="5">
        <f t="shared" si="166"/>
        <v>0</v>
      </c>
    </row>
    <row r="1042" spans="1:16" x14ac:dyDescent="0.25">
      <c r="A1042" t="s">
        <v>130</v>
      </c>
      <c r="B1042">
        <v>2023</v>
      </c>
      <c r="C1042" s="7">
        <f>'1_Du_lieu'!V422</f>
        <v>2.8094026953624978</v>
      </c>
      <c r="D1042" s="9">
        <f>'1_Du_lieu'!W422</f>
        <v>4.3320482648676402</v>
      </c>
      <c r="E1042" s="9">
        <f>'1_Du_lieu'!L422</f>
        <v>5.4539999999999997</v>
      </c>
      <c r="F1042" s="9">
        <f>'1_Du_lieu'!M422</f>
        <v>30.74</v>
      </c>
      <c r="G1042" s="9">
        <f>'1_Du_lieu'!N422</f>
        <v>27.5</v>
      </c>
      <c r="H1042" s="9">
        <f>'1_Du_lieu'!X422</f>
        <v>2.6152570004470386</v>
      </c>
      <c r="I1042" s="9">
        <f>'1_Du_lieu'!T422</f>
        <v>0.19657951641438962</v>
      </c>
      <c r="J1042" s="9">
        <f>'1_Du_lieu'!Y422</f>
        <v>8.3387361577244334</v>
      </c>
      <c r="K1042" s="5">
        <f t="shared" si="161"/>
        <v>0</v>
      </c>
      <c r="L1042" s="5">
        <f t="shared" si="162"/>
        <v>0</v>
      </c>
      <c r="M1042" s="5">
        <f t="shared" si="163"/>
        <v>0</v>
      </c>
      <c r="N1042" s="5">
        <f t="shared" si="164"/>
        <v>0</v>
      </c>
      <c r="O1042" s="5">
        <f t="shared" si="165"/>
        <v>1</v>
      </c>
      <c r="P1042" s="5">
        <f t="shared" si="166"/>
        <v>0</v>
      </c>
    </row>
    <row r="1043" spans="1:16" x14ac:dyDescent="0.25">
      <c r="A1043" t="s">
        <v>131</v>
      </c>
      <c r="B1043">
        <v>2023</v>
      </c>
      <c r="C1043" s="7">
        <f>'1_Du_lieu'!V423</f>
        <v>2.6026896854443837</v>
      </c>
      <c r="D1043" s="9">
        <f>'1_Du_lieu'!W423</f>
        <v>4.6141299273595635</v>
      </c>
      <c r="E1043" s="9">
        <f>'1_Du_lieu'!L423</f>
        <v>4.5919999999999996</v>
      </c>
      <c r="F1043" s="9">
        <f>'1_Du_lieu'!M423</f>
        <v>21.87</v>
      </c>
      <c r="G1043" s="9">
        <f>'1_Du_lieu'!N423</f>
        <v>26.1</v>
      </c>
      <c r="H1043" s="9">
        <f>'1_Du_lieu'!X423</f>
        <v>2.5484130705097932</v>
      </c>
      <c r="I1043" s="9">
        <f>'1_Du_lieu'!T423</f>
        <v>0.72109606602035092</v>
      </c>
      <c r="J1043" s="9">
        <f>'1_Du_lieu'!Y423</f>
        <v>7.5147452630909077</v>
      </c>
      <c r="K1043" s="5">
        <f t="shared" si="161"/>
        <v>0</v>
      </c>
      <c r="L1043" s="5">
        <f t="shared" si="162"/>
        <v>0</v>
      </c>
      <c r="M1043" s="5">
        <f t="shared" si="163"/>
        <v>0</v>
      </c>
      <c r="N1043" s="5">
        <f t="shared" si="164"/>
        <v>0</v>
      </c>
      <c r="O1043" s="5">
        <f t="shared" si="165"/>
        <v>1</v>
      </c>
      <c r="P1043" s="5">
        <f t="shared" si="166"/>
        <v>0</v>
      </c>
    </row>
    <row r="1044" spans="1:16" x14ac:dyDescent="0.25">
      <c r="A1044" t="s">
        <v>132</v>
      </c>
      <c r="B1044">
        <v>2023</v>
      </c>
      <c r="C1044" s="7">
        <f>'1_Du_lieu'!V424</f>
        <v>3.0252910757955354</v>
      </c>
      <c r="D1044" s="9">
        <f>'1_Du_lieu'!W424</f>
        <v>5.3622306922916891</v>
      </c>
      <c r="E1044" s="9">
        <f>'1_Du_lieu'!L424</f>
        <v>7.4489999999999998</v>
      </c>
      <c r="F1044" s="9">
        <f>'1_Du_lieu'!M424</f>
        <v>67.36</v>
      </c>
      <c r="G1044" s="9">
        <f>'1_Du_lieu'!N424</f>
        <v>41.9</v>
      </c>
      <c r="H1044" s="9">
        <f>'1_Du_lieu'!X424</f>
        <v>3.9967676005152759</v>
      </c>
      <c r="I1044" s="9">
        <f>'1_Du_lieu'!T424</f>
        <v>2.3892267593397043</v>
      </c>
      <c r="J1044" s="9">
        <f>'1_Du_lieu'!Y424</f>
        <v>9.1526265097857102</v>
      </c>
      <c r="K1044" s="5">
        <f t="shared" si="161"/>
        <v>0</v>
      </c>
      <c r="L1044" s="5">
        <f t="shared" si="162"/>
        <v>0</v>
      </c>
      <c r="M1044" s="5">
        <f t="shared" si="163"/>
        <v>0</v>
      </c>
      <c r="N1044" s="5">
        <f t="shared" si="164"/>
        <v>0</v>
      </c>
      <c r="O1044" s="5">
        <f t="shared" si="165"/>
        <v>1</v>
      </c>
      <c r="P1044" s="5">
        <f t="shared" si="166"/>
        <v>0</v>
      </c>
    </row>
    <row r="1045" spans="1:16" x14ac:dyDescent="0.25">
      <c r="A1045" t="s">
        <v>133</v>
      </c>
      <c r="B1045">
        <v>2023</v>
      </c>
      <c r="C1045" s="7">
        <f>'1_Du_lieu'!V425</f>
        <v>2.6100697927420065</v>
      </c>
      <c r="D1045" s="9">
        <f>'1_Du_lieu'!W425</f>
        <v>4.2612704335380815</v>
      </c>
      <c r="E1045" s="9">
        <f>'1_Du_lieu'!L425</f>
        <v>5.1349999999999998</v>
      </c>
      <c r="F1045" s="9">
        <f>'1_Du_lieu'!M425</f>
        <v>32.76</v>
      </c>
      <c r="G1045" s="9">
        <f>'1_Du_lieu'!N425</f>
        <v>28</v>
      </c>
      <c r="H1045" s="9">
        <f>'1_Du_lieu'!X425</f>
        <v>3.0069198408392999</v>
      </c>
      <c r="I1045" s="9">
        <f>'1_Du_lieu'!T425</f>
        <v>6.1143381228981957</v>
      </c>
      <c r="J1045" s="9">
        <f>'1_Du_lieu'!Y425</f>
        <v>8.2586037931677296</v>
      </c>
      <c r="K1045" s="5">
        <f t="shared" si="161"/>
        <v>0</v>
      </c>
      <c r="L1045" s="5">
        <f t="shared" si="162"/>
        <v>0</v>
      </c>
      <c r="M1045" s="5">
        <f t="shared" si="163"/>
        <v>0</v>
      </c>
      <c r="N1045" s="5">
        <f t="shared" si="164"/>
        <v>0</v>
      </c>
      <c r="O1045" s="5">
        <f t="shared" si="165"/>
        <v>1</v>
      </c>
      <c r="P1045" s="5">
        <f t="shared" si="166"/>
        <v>0</v>
      </c>
    </row>
    <row r="1046" spans="1:16" x14ac:dyDescent="0.25">
      <c r="A1046" t="s">
        <v>134</v>
      </c>
      <c r="B1046">
        <v>2023</v>
      </c>
      <c r="C1046" s="7">
        <f>'1_Du_lieu'!V426</f>
        <v>2.388762789235098</v>
      </c>
      <c r="D1046" s="9">
        <f>'1_Du_lieu'!W426</f>
        <v>4.0926765051214034</v>
      </c>
      <c r="E1046" s="9">
        <f>'1_Du_lieu'!L426</f>
        <v>2.387</v>
      </c>
      <c r="F1046" s="9">
        <f>'1_Du_lieu'!M426</f>
        <v>33.869999999999997</v>
      </c>
      <c r="G1046" s="9">
        <f>'1_Du_lieu'!N426</f>
        <v>12.2</v>
      </c>
      <c r="H1046" s="9">
        <f>'1_Du_lieu'!X426</f>
        <v>1.7353662339180389</v>
      </c>
      <c r="I1046" s="9">
        <f>'1_Du_lieu'!T426</f>
        <v>3.9205872539205879</v>
      </c>
      <c r="J1046" s="9">
        <f>'1_Du_lieu'!Y426</f>
        <v>5.8897086381535946</v>
      </c>
      <c r="K1046" s="5">
        <f t="shared" si="161"/>
        <v>0</v>
      </c>
      <c r="L1046" s="5">
        <f t="shared" si="162"/>
        <v>0</v>
      </c>
      <c r="M1046" s="5">
        <f t="shared" si="163"/>
        <v>0</v>
      </c>
      <c r="N1046" s="5">
        <f t="shared" si="164"/>
        <v>0</v>
      </c>
      <c r="O1046" s="5">
        <f t="shared" si="165"/>
        <v>1</v>
      </c>
      <c r="P1046" s="5">
        <f t="shared" si="166"/>
        <v>0</v>
      </c>
    </row>
    <row r="1047" spans="1:16" x14ac:dyDescent="0.25">
      <c r="A1047" t="s">
        <v>136</v>
      </c>
      <c r="B1047">
        <v>2023</v>
      </c>
      <c r="C1047" s="7">
        <f>'1_Du_lieu'!V428</f>
        <v>4.4908810395859637</v>
      </c>
      <c r="D1047" s="9">
        <f>'1_Du_lieu'!W428</f>
        <v>5.1293068238137547</v>
      </c>
      <c r="E1047" s="9">
        <f>'1_Du_lieu'!L428</f>
        <v>28.876000000000001</v>
      </c>
      <c r="F1047" s="9">
        <f>'1_Du_lieu'!M428</f>
        <v>77.66</v>
      </c>
      <c r="G1047" s="9">
        <f>'1_Du_lieu'!N428</f>
        <v>36</v>
      </c>
      <c r="H1047" s="9">
        <f>'1_Du_lieu'!X428</f>
        <v>2.5606313407704517</v>
      </c>
      <c r="I1047" s="9">
        <f>'1_Du_lieu'!T428</f>
        <v>3.330971692027874</v>
      </c>
      <c r="J1047" s="9">
        <f>'1_Du_lieu'!Y428</f>
        <v>8.7140256210606033</v>
      </c>
      <c r="K1047" s="5">
        <f t="shared" si="161"/>
        <v>0</v>
      </c>
      <c r="L1047" s="5">
        <f t="shared" si="162"/>
        <v>0</v>
      </c>
      <c r="M1047" s="5">
        <f t="shared" si="163"/>
        <v>0</v>
      </c>
      <c r="N1047" s="5">
        <f t="shared" si="164"/>
        <v>0</v>
      </c>
      <c r="O1047" s="5">
        <f t="shared" si="165"/>
        <v>1</v>
      </c>
      <c r="P1047" s="5">
        <f t="shared" si="166"/>
        <v>0</v>
      </c>
    </row>
    <row r="1048" spans="1:16" x14ac:dyDescent="0.25">
      <c r="A1048" t="s">
        <v>137</v>
      </c>
      <c r="B1048">
        <v>2023</v>
      </c>
      <c r="C1048" s="7">
        <f>'1_Du_lieu'!V429</f>
        <v>2.917770732084279</v>
      </c>
      <c r="D1048" s="9">
        <f>'1_Du_lieu'!W429</f>
        <v>4.28496492183075</v>
      </c>
      <c r="E1048" s="9">
        <f>'1_Du_lieu'!L429</f>
        <v>4.4429999999999996</v>
      </c>
      <c r="F1048" s="9">
        <f>'1_Du_lieu'!M429</f>
        <v>27.71</v>
      </c>
      <c r="G1048" s="9">
        <f>'1_Du_lieu'!N429</f>
        <v>27.6</v>
      </c>
      <c r="H1048" s="9">
        <f>'1_Du_lieu'!X429</f>
        <v>2.8583173541466627</v>
      </c>
      <c r="I1048" s="9">
        <f>'1_Du_lieu'!T429</f>
        <v>0.77550474662388025</v>
      </c>
      <c r="J1048" s="9">
        <f>'1_Du_lieu'!Y429</f>
        <v>8.302959826231783</v>
      </c>
      <c r="K1048" s="5">
        <f t="shared" si="161"/>
        <v>0</v>
      </c>
      <c r="L1048" s="5">
        <f t="shared" si="162"/>
        <v>0</v>
      </c>
      <c r="M1048" s="5">
        <f t="shared" si="163"/>
        <v>0</v>
      </c>
      <c r="N1048" s="5">
        <f t="shared" si="164"/>
        <v>0</v>
      </c>
      <c r="O1048" s="5">
        <f t="shared" si="165"/>
        <v>1</v>
      </c>
      <c r="P1048" s="5">
        <f t="shared" si="166"/>
        <v>0</v>
      </c>
    </row>
    <row r="1049" spans="1:16" x14ac:dyDescent="0.25">
      <c r="A1049" t="s">
        <v>138</v>
      </c>
      <c r="B1049">
        <v>2023</v>
      </c>
      <c r="C1049" s="7">
        <f>'1_Du_lieu'!V430</f>
        <v>2.7343675094195836</v>
      </c>
      <c r="D1049" s="9">
        <f>'1_Du_lieu'!W430</f>
        <v>4.1367652781060524</v>
      </c>
      <c r="E1049" s="9">
        <f>'1_Du_lieu'!L430</f>
        <v>3.44</v>
      </c>
      <c r="F1049" s="9">
        <f>'1_Du_lieu'!M430</f>
        <v>11.78</v>
      </c>
      <c r="G1049" s="9">
        <f>'1_Du_lieu'!N430</f>
        <v>22.9</v>
      </c>
      <c r="H1049" s="9">
        <f>'1_Du_lieu'!X430</f>
        <v>1.9910358300052735</v>
      </c>
      <c r="I1049" s="9">
        <f>'1_Du_lieu'!T430</f>
        <v>0.90315040110503109</v>
      </c>
      <c r="J1049" s="9">
        <f>'1_Du_lieu'!Y430</f>
        <v>7.8277192562225881</v>
      </c>
      <c r="K1049" s="5">
        <f t="shared" si="161"/>
        <v>0</v>
      </c>
      <c r="L1049" s="5">
        <f t="shared" si="162"/>
        <v>0</v>
      </c>
      <c r="M1049" s="5">
        <f t="shared" si="163"/>
        <v>0</v>
      </c>
      <c r="N1049" s="5">
        <f t="shared" si="164"/>
        <v>0</v>
      </c>
      <c r="O1049" s="5">
        <f t="shared" si="165"/>
        <v>1</v>
      </c>
      <c r="P1049" s="5">
        <f t="shared" si="166"/>
        <v>0</v>
      </c>
    </row>
    <row r="1050" spans="1:16" x14ac:dyDescent="0.25">
      <c r="A1050" t="s">
        <v>139</v>
      </c>
      <c r="B1050">
        <v>2023</v>
      </c>
      <c r="C1050" s="7">
        <f>'1_Du_lieu'!V431</f>
        <v>2.8390784635086144</v>
      </c>
      <c r="D1050" s="9">
        <f>'1_Du_lieu'!W431</f>
        <v>4.7041101338429954</v>
      </c>
      <c r="E1050" s="9">
        <f>'1_Du_lieu'!L431</f>
        <v>4.2539999999999996</v>
      </c>
      <c r="F1050" s="9">
        <f>'1_Du_lieu'!M431</f>
        <v>40.65</v>
      </c>
      <c r="G1050" s="9">
        <f>'1_Du_lieu'!N431</f>
        <v>36.6</v>
      </c>
      <c r="H1050" s="9">
        <f>'1_Du_lieu'!X431</f>
        <v>3.7041660015095488</v>
      </c>
      <c r="I1050" s="9">
        <f>'1_Du_lieu'!T431</f>
        <v>1.2589794860401393</v>
      </c>
      <c r="J1050" s="9">
        <f>'1_Du_lieu'!Y431</f>
        <v>8.9949045397301752</v>
      </c>
      <c r="K1050" s="5">
        <f t="shared" si="161"/>
        <v>0</v>
      </c>
      <c r="L1050" s="5">
        <f t="shared" si="162"/>
        <v>0</v>
      </c>
      <c r="M1050" s="5">
        <f t="shared" si="163"/>
        <v>0</v>
      </c>
      <c r="N1050" s="5">
        <f t="shared" si="164"/>
        <v>0</v>
      </c>
      <c r="O1050" s="5">
        <f t="shared" si="165"/>
        <v>1</v>
      </c>
      <c r="P1050" s="5">
        <f t="shared" si="166"/>
        <v>0</v>
      </c>
    </row>
    <row r="1051" spans="1:16" x14ac:dyDescent="0.25">
      <c r="A1051" t="s">
        <v>141</v>
      </c>
      <c r="B1051">
        <v>2023</v>
      </c>
      <c r="C1051" s="7">
        <f>'1_Du_lieu'!V433</f>
        <v>2.5176964726109912</v>
      </c>
      <c r="D1051" s="9">
        <f>'1_Du_lieu'!W433</f>
        <v>4.2355547307736243</v>
      </c>
      <c r="E1051" s="9">
        <f>'1_Du_lieu'!L433</f>
        <v>3.2749999999999999</v>
      </c>
      <c r="F1051" s="9">
        <f>'1_Du_lieu'!M433</f>
        <v>15.28</v>
      </c>
      <c r="G1051" s="9">
        <f>'1_Du_lieu'!N433</f>
        <v>14.2</v>
      </c>
      <c r="H1051" s="9">
        <f>'1_Du_lieu'!X433</f>
        <v>0.53717991903893936</v>
      </c>
      <c r="I1051" s="9">
        <f>'1_Du_lieu'!T433</f>
        <v>0.94934941642932924</v>
      </c>
      <c r="J1051" s="9">
        <f>'1_Du_lieu'!Y433</f>
        <v>7.3317804126112112</v>
      </c>
      <c r="K1051" s="5">
        <f t="shared" si="161"/>
        <v>0</v>
      </c>
      <c r="L1051" s="5">
        <f t="shared" si="162"/>
        <v>0</v>
      </c>
      <c r="M1051" s="5">
        <f t="shared" si="163"/>
        <v>0</v>
      </c>
      <c r="N1051" s="5">
        <f t="shared" si="164"/>
        <v>0</v>
      </c>
      <c r="O1051" s="5">
        <f t="shared" si="165"/>
        <v>1</v>
      </c>
      <c r="P1051" s="5">
        <f t="shared" si="166"/>
        <v>0</v>
      </c>
    </row>
    <row r="1052" spans="1:16" x14ac:dyDescent="0.25">
      <c r="A1052" t="s">
        <v>142</v>
      </c>
      <c r="B1052">
        <v>2023</v>
      </c>
      <c r="C1052" s="7">
        <f>'1_Du_lieu'!V434</f>
        <v>2.4159137783010487</v>
      </c>
      <c r="D1052" s="9">
        <f>'1_Du_lieu'!W434</f>
        <v>4.4115854369154262</v>
      </c>
      <c r="E1052" s="9">
        <f>'1_Du_lieu'!L434</f>
        <v>2.7429999999999999</v>
      </c>
      <c r="F1052" s="9">
        <f>'1_Du_lieu'!M434</f>
        <v>18.329999999999998</v>
      </c>
      <c r="G1052" s="9">
        <f>'1_Du_lieu'!N434</f>
        <v>16.8</v>
      </c>
      <c r="H1052" s="9">
        <f>'1_Du_lieu'!X434</f>
        <v>1.8352487534496564</v>
      </c>
      <c r="I1052" s="9">
        <f>'1_Du_lieu'!T434</f>
        <v>0.8824394548485146</v>
      </c>
      <c r="J1052" s="9">
        <f>'1_Du_lieu'!Y434</f>
        <v>8.0516595568419529</v>
      </c>
      <c r="K1052" s="5">
        <f t="shared" si="161"/>
        <v>0</v>
      </c>
      <c r="L1052" s="5">
        <f t="shared" si="162"/>
        <v>0</v>
      </c>
      <c r="M1052" s="5">
        <f t="shared" si="163"/>
        <v>0</v>
      </c>
      <c r="N1052" s="5">
        <f t="shared" si="164"/>
        <v>0</v>
      </c>
      <c r="O1052" s="5">
        <f t="shared" si="165"/>
        <v>1</v>
      </c>
      <c r="P1052" s="5">
        <f t="shared" si="166"/>
        <v>0</v>
      </c>
    </row>
    <row r="1053" spans="1:16" x14ac:dyDescent="0.25">
      <c r="A1053" t="s">
        <v>143</v>
      </c>
      <c r="B1053">
        <v>2023</v>
      </c>
      <c r="C1053" s="7">
        <f>'1_Du_lieu'!V435</f>
        <v>2.5416019934645457</v>
      </c>
      <c r="D1053" s="9">
        <f>'1_Du_lieu'!W435</f>
        <v>3.9852734671677386</v>
      </c>
      <c r="E1053" s="9">
        <f>'1_Du_lieu'!L435</f>
        <v>2.3149999999999999</v>
      </c>
      <c r="F1053" s="9">
        <f>'1_Du_lieu'!M435</f>
        <v>15.12</v>
      </c>
      <c r="G1053" s="9">
        <f>'1_Du_lieu'!N435</f>
        <v>21.8</v>
      </c>
      <c r="H1053" s="9">
        <f>'1_Du_lieu'!X435</f>
        <v>3.3430375540206008</v>
      </c>
      <c r="I1053" s="9">
        <f>'1_Du_lieu'!T435</f>
        <v>0.73873430189608469</v>
      </c>
      <c r="J1053" s="9">
        <f>'1_Du_lieu'!Y435</f>
        <v>5.6517871795378207</v>
      </c>
      <c r="K1053" s="5">
        <f t="shared" si="161"/>
        <v>0</v>
      </c>
      <c r="L1053" s="5">
        <f t="shared" si="162"/>
        <v>0</v>
      </c>
      <c r="M1053" s="5">
        <f t="shared" si="163"/>
        <v>0</v>
      </c>
      <c r="N1053" s="5">
        <f t="shared" si="164"/>
        <v>0</v>
      </c>
      <c r="O1053" s="5">
        <f t="shared" si="165"/>
        <v>1</v>
      </c>
      <c r="P1053" s="5">
        <f t="shared" si="166"/>
        <v>0</v>
      </c>
    </row>
    <row r="1054" spans="1:16" x14ac:dyDescent="0.25">
      <c r="A1054" t="s">
        <v>144</v>
      </c>
      <c r="B1054">
        <v>2023</v>
      </c>
      <c r="C1054" s="7">
        <f>'1_Du_lieu'!V436</f>
        <v>2.6810215287142909</v>
      </c>
      <c r="D1054" s="9">
        <f>'1_Du_lieu'!W436</f>
        <v>4.5347477216915459</v>
      </c>
      <c r="E1054" s="9">
        <f>'1_Du_lieu'!L436</f>
        <v>4.3029999999999999</v>
      </c>
      <c r="F1054" s="9">
        <f>'1_Du_lieu'!M436</f>
        <v>32.57</v>
      </c>
      <c r="G1054" s="9">
        <f>'1_Du_lieu'!N436</f>
        <v>18.2</v>
      </c>
      <c r="H1054" s="9">
        <f>'1_Du_lieu'!X436</f>
        <v>2.7450291859298734</v>
      </c>
      <c r="I1054" s="9">
        <f>'1_Du_lieu'!T436</f>
        <v>1.2553351744915893</v>
      </c>
      <c r="J1054" s="9">
        <f>'1_Du_lieu'!Y436</f>
        <v>9.0023070834663255</v>
      </c>
      <c r="K1054" s="5">
        <f t="shared" si="161"/>
        <v>0</v>
      </c>
      <c r="L1054" s="5">
        <f t="shared" si="162"/>
        <v>0</v>
      </c>
      <c r="M1054" s="5">
        <f t="shared" si="163"/>
        <v>0</v>
      </c>
      <c r="N1054" s="5">
        <f t="shared" si="164"/>
        <v>0</v>
      </c>
      <c r="O1054" s="5">
        <f t="shared" si="165"/>
        <v>1</v>
      </c>
      <c r="P1054" s="5">
        <f t="shared" si="166"/>
        <v>0</v>
      </c>
    </row>
    <row r="1055" spans="1:16" x14ac:dyDescent="0.25">
      <c r="A1055" t="s">
        <v>145</v>
      </c>
      <c r="B1055">
        <v>2023</v>
      </c>
      <c r="C1055" s="7">
        <f>'1_Du_lieu'!V437</f>
        <v>2.3702437414678603</v>
      </c>
      <c r="D1055" s="9">
        <f>'1_Du_lieu'!W437</f>
        <v>4.2931954209672663</v>
      </c>
      <c r="E1055" s="9">
        <f>'1_Du_lieu'!L437</f>
        <v>2.968</v>
      </c>
      <c r="F1055" s="9">
        <f>'1_Du_lieu'!M437</f>
        <v>22.87</v>
      </c>
      <c r="G1055" s="9">
        <f>'1_Du_lieu'!N437</f>
        <v>15.9</v>
      </c>
      <c r="H1055" s="9">
        <f>'1_Du_lieu'!X437</f>
        <v>0.6333113889492803</v>
      </c>
      <c r="I1055" s="9">
        <f>'1_Du_lieu'!T437</f>
        <v>0.67987567987567987</v>
      </c>
      <c r="J1055" s="9">
        <f>'1_Du_lieu'!Y437</f>
        <v>6.9693206346402921</v>
      </c>
      <c r="K1055" s="5">
        <f t="shared" si="161"/>
        <v>0</v>
      </c>
      <c r="L1055" s="5">
        <f t="shared" si="162"/>
        <v>0</v>
      </c>
      <c r="M1055" s="5">
        <f t="shared" si="163"/>
        <v>0</v>
      </c>
      <c r="N1055" s="5">
        <f t="shared" si="164"/>
        <v>0</v>
      </c>
      <c r="O1055" s="5">
        <f t="shared" si="165"/>
        <v>1</v>
      </c>
      <c r="P1055" s="5">
        <f t="shared" si="166"/>
        <v>0</v>
      </c>
    </row>
    <row r="1056" spans="1:16" x14ac:dyDescent="0.25">
      <c r="A1056" t="s">
        <v>146</v>
      </c>
      <c r="B1056">
        <v>2023</v>
      </c>
      <c r="C1056" s="7">
        <f>'1_Du_lieu'!V438</f>
        <v>2.9755295662364718</v>
      </c>
      <c r="D1056" s="9">
        <f>'1_Du_lieu'!W438</f>
        <v>4.8652240913223981</v>
      </c>
      <c r="E1056" s="9">
        <f>'1_Du_lieu'!L438</f>
        <v>8.0709999999999997</v>
      </c>
      <c r="F1056" s="9">
        <f>'1_Du_lieu'!M438</f>
        <v>33.93</v>
      </c>
      <c r="G1056" s="9">
        <f>'1_Du_lieu'!N438</f>
        <v>35.799999999999997</v>
      </c>
      <c r="H1056" s="9">
        <f>'1_Du_lieu'!X438</f>
        <v>3.0987317940675676</v>
      </c>
      <c r="I1056" s="9">
        <f>'1_Du_lieu'!T438</f>
        <v>0.7430033847931975</v>
      </c>
      <c r="J1056" s="9">
        <f>'1_Du_lieu'!Y438</f>
        <v>8.6696739061991703</v>
      </c>
      <c r="K1056" s="5">
        <f t="shared" ref="K1056:K1119" si="167">IF(B1056=2019,1,0)</f>
        <v>0</v>
      </c>
      <c r="L1056" s="5">
        <f t="shared" ref="L1056:L1119" si="168">IF(B1056=2020,1,0)</f>
        <v>0</v>
      </c>
      <c r="M1056" s="5">
        <f t="shared" ref="M1056:M1119" si="169">IF(B1056=2021,1,0)</f>
        <v>0</v>
      </c>
      <c r="N1056" s="5">
        <f t="shared" ref="N1056:N1119" si="170">IF(B1056=2022,1,0)</f>
        <v>0</v>
      </c>
      <c r="O1056" s="5">
        <f t="shared" ref="O1056:O1119" si="171">IF(B1056=2023,1,0)</f>
        <v>1</v>
      </c>
      <c r="P1056" s="5">
        <f t="shared" ref="P1056:P1119" si="172">IF(B1056=2024,1,0)</f>
        <v>0</v>
      </c>
    </row>
    <row r="1057" spans="1:16" x14ac:dyDescent="0.25">
      <c r="A1057" t="s">
        <v>147</v>
      </c>
      <c r="B1057">
        <v>2023</v>
      </c>
      <c r="C1057" s="7">
        <f>'1_Du_lieu'!V439</f>
        <v>2.5877640352277083</v>
      </c>
      <c r="D1057" s="9">
        <f>'1_Du_lieu'!W439</f>
        <v>3.9140210080908191</v>
      </c>
      <c r="E1057" s="9">
        <f>'1_Du_lieu'!L439</f>
        <v>2.56</v>
      </c>
      <c r="F1057" s="9">
        <f>'1_Du_lieu'!M439</f>
        <v>20.95</v>
      </c>
      <c r="G1057" s="9">
        <f>'1_Du_lieu'!N439</f>
        <v>23.2</v>
      </c>
      <c r="H1057" s="9">
        <f>'1_Du_lieu'!X439</f>
        <v>2.758077157298735</v>
      </c>
      <c r="I1057" s="9">
        <f>'1_Du_lieu'!T439</f>
        <v>0.23378141437755698</v>
      </c>
      <c r="J1057" s="9">
        <f>'1_Du_lieu'!Y439</f>
        <v>5.7104270173748697</v>
      </c>
      <c r="K1057" s="5">
        <f t="shared" si="167"/>
        <v>0</v>
      </c>
      <c r="L1057" s="5">
        <f t="shared" si="168"/>
        <v>0</v>
      </c>
      <c r="M1057" s="5">
        <f t="shared" si="169"/>
        <v>0</v>
      </c>
      <c r="N1057" s="5">
        <f t="shared" si="170"/>
        <v>0</v>
      </c>
      <c r="O1057" s="5">
        <f t="shared" si="171"/>
        <v>1</v>
      </c>
      <c r="P1057" s="5">
        <f t="shared" si="172"/>
        <v>0</v>
      </c>
    </row>
    <row r="1058" spans="1:16" x14ac:dyDescent="0.25">
      <c r="A1058" t="s">
        <v>149</v>
      </c>
      <c r="B1058">
        <v>2023</v>
      </c>
      <c r="C1058" s="7">
        <f>'1_Du_lieu'!V441</f>
        <v>3.6763006719070761</v>
      </c>
      <c r="D1058" s="9">
        <f>'1_Du_lieu'!W441</f>
        <v>4.6849051540069446</v>
      </c>
      <c r="E1058" s="9">
        <f>'1_Du_lieu'!L441</f>
        <v>20.716999999999999</v>
      </c>
      <c r="F1058" s="9">
        <f>'1_Du_lieu'!M441</f>
        <v>87.64</v>
      </c>
      <c r="G1058" s="9">
        <f>'1_Du_lieu'!N441</f>
        <v>49.7</v>
      </c>
      <c r="H1058" s="9">
        <f>'1_Du_lieu'!X441</f>
        <v>3.6083664972247567</v>
      </c>
      <c r="I1058" s="9">
        <f>'1_Du_lieu'!T441</f>
        <v>6.4246707356247992</v>
      </c>
      <c r="J1058" s="9">
        <f>'1_Du_lieu'!Y441</f>
        <v>8.5604250798082386</v>
      </c>
      <c r="K1058" s="5">
        <f t="shared" si="167"/>
        <v>0</v>
      </c>
      <c r="L1058" s="5">
        <f t="shared" si="168"/>
        <v>0</v>
      </c>
      <c r="M1058" s="5">
        <f t="shared" si="169"/>
        <v>0</v>
      </c>
      <c r="N1058" s="5">
        <f t="shared" si="170"/>
        <v>0</v>
      </c>
      <c r="O1058" s="5">
        <f t="shared" si="171"/>
        <v>1</v>
      </c>
      <c r="P1058" s="5">
        <f t="shared" si="172"/>
        <v>0</v>
      </c>
    </row>
    <row r="1059" spans="1:16" x14ac:dyDescent="0.25">
      <c r="A1059" t="s">
        <v>150</v>
      </c>
      <c r="B1059">
        <v>2023</v>
      </c>
      <c r="C1059" s="7">
        <f>'1_Du_lieu'!V442</f>
        <v>2.9338568698359038</v>
      </c>
      <c r="D1059" s="9">
        <f>'1_Du_lieu'!W442</f>
        <v>4.1026433650367959</v>
      </c>
      <c r="E1059" s="9">
        <f>'1_Du_lieu'!L442</f>
        <v>4.016</v>
      </c>
      <c r="F1059" s="9">
        <f>'1_Du_lieu'!M442</f>
        <v>26.01</v>
      </c>
      <c r="G1059" s="9">
        <f>'1_Du_lieu'!N442</f>
        <v>18.3</v>
      </c>
      <c r="H1059" s="9">
        <f>'1_Du_lieu'!X442</f>
        <v>2.5524177094632949</v>
      </c>
      <c r="I1059" s="9">
        <f>'1_Du_lieu'!T442</f>
        <v>0.56950556562257315</v>
      </c>
      <c r="J1059" s="9">
        <f>'1_Du_lieu'!Y442</f>
        <v>5.9050893313612365</v>
      </c>
      <c r="K1059" s="5">
        <f t="shared" si="167"/>
        <v>0</v>
      </c>
      <c r="L1059" s="5">
        <f t="shared" si="168"/>
        <v>0</v>
      </c>
      <c r="M1059" s="5">
        <f t="shared" si="169"/>
        <v>0</v>
      </c>
      <c r="N1059" s="5">
        <f t="shared" si="170"/>
        <v>0</v>
      </c>
      <c r="O1059" s="5">
        <f t="shared" si="171"/>
        <v>1</v>
      </c>
      <c r="P1059" s="5">
        <f t="shared" si="172"/>
        <v>0</v>
      </c>
    </row>
    <row r="1060" spans="1:16" x14ac:dyDescent="0.25">
      <c r="A1060" t="s">
        <v>151</v>
      </c>
      <c r="B1060">
        <v>2023</v>
      </c>
      <c r="C1060" s="7">
        <f>'1_Du_lieu'!V443</f>
        <v>2.3608540011180215</v>
      </c>
      <c r="D1060" s="9">
        <f>'1_Du_lieu'!W443</f>
        <v>4.180522258463153</v>
      </c>
      <c r="E1060" s="9">
        <f>'1_Du_lieu'!L443</f>
        <v>3.883</v>
      </c>
      <c r="F1060" s="9">
        <f>'1_Du_lieu'!M443</f>
        <v>16.940000000000001</v>
      </c>
      <c r="G1060" s="9">
        <f>'1_Du_lieu'!N443</f>
        <v>16.7</v>
      </c>
      <c r="H1060" s="9">
        <f>'1_Du_lieu'!X443</f>
        <v>1.2401345948674423</v>
      </c>
      <c r="I1060" s="9">
        <f>'1_Du_lieu'!T443</f>
        <v>0.43994720633523976</v>
      </c>
      <c r="J1060" s="9">
        <f>'1_Du_lieu'!Y443</f>
        <v>6.1277421654005302</v>
      </c>
      <c r="K1060" s="5">
        <f t="shared" si="167"/>
        <v>0</v>
      </c>
      <c r="L1060" s="5">
        <f t="shared" si="168"/>
        <v>0</v>
      </c>
      <c r="M1060" s="5">
        <f t="shared" si="169"/>
        <v>0</v>
      </c>
      <c r="N1060" s="5">
        <f t="shared" si="170"/>
        <v>0</v>
      </c>
      <c r="O1060" s="5">
        <f t="shared" si="171"/>
        <v>1</v>
      </c>
      <c r="P1060" s="5">
        <f t="shared" si="172"/>
        <v>0</v>
      </c>
    </row>
    <row r="1061" spans="1:16" x14ac:dyDescent="0.25">
      <c r="A1061" t="s">
        <v>152</v>
      </c>
      <c r="B1061">
        <v>2023</v>
      </c>
      <c r="C1061" s="7">
        <f>'1_Du_lieu'!V444</f>
        <v>3.2542429687054919</v>
      </c>
      <c r="D1061" s="9">
        <f>'1_Du_lieu'!W444</f>
        <v>4.8895969657191998</v>
      </c>
      <c r="E1061" s="9">
        <f>'1_Du_lieu'!L444</f>
        <v>8.048</v>
      </c>
      <c r="F1061" s="9">
        <f>'1_Du_lieu'!M444</f>
        <v>45.26</v>
      </c>
      <c r="G1061" s="9">
        <f>'1_Du_lieu'!N444</f>
        <v>22.8</v>
      </c>
      <c r="H1061" s="9">
        <f>'1_Du_lieu'!X444</f>
        <v>2.9083693785797728</v>
      </c>
      <c r="I1061" s="9">
        <f>'1_Du_lieu'!T444</f>
        <v>0.5436588238847444</v>
      </c>
      <c r="J1061" s="9">
        <f>'1_Du_lieu'!Y444</f>
        <v>9.2919295755159954</v>
      </c>
      <c r="K1061" s="5">
        <f t="shared" si="167"/>
        <v>0</v>
      </c>
      <c r="L1061" s="5">
        <f t="shared" si="168"/>
        <v>0</v>
      </c>
      <c r="M1061" s="5">
        <f t="shared" si="169"/>
        <v>0</v>
      </c>
      <c r="N1061" s="5">
        <f t="shared" si="170"/>
        <v>0</v>
      </c>
      <c r="O1061" s="5">
        <f t="shared" si="171"/>
        <v>1</v>
      </c>
      <c r="P1061" s="5">
        <f t="shared" si="172"/>
        <v>0</v>
      </c>
    </row>
    <row r="1062" spans="1:16" x14ac:dyDescent="0.25">
      <c r="A1062" t="s">
        <v>153</v>
      </c>
      <c r="B1062">
        <v>2023</v>
      </c>
      <c r="C1062" s="7">
        <f>'1_Du_lieu'!V445</f>
        <v>2.7536607123542622</v>
      </c>
      <c r="D1062" s="9">
        <f>'1_Du_lieu'!W445</f>
        <v>4.2312037449392976</v>
      </c>
      <c r="E1062" s="9">
        <f>'1_Du_lieu'!L445</f>
        <v>2.605</v>
      </c>
      <c r="F1062" s="9">
        <f>'1_Du_lieu'!M445</f>
        <v>20.36</v>
      </c>
      <c r="G1062" s="9">
        <f>'1_Du_lieu'!N445</f>
        <v>14.6</v>
      </c>
      <c r="H1062" s="9">
        <f>'1_Du_lieu'!X445</f>
        <v>0.85303955406626408</v>
      </c>
      <c r="I1062" s="9">
        <f>'1_Du_lieu'!T445</f>
        <v>0.68741407324084491</v>
      </c>
      <c r="J1062" s="9">
        <f>'1_Du_lieu'!Y445</f>
        <v>4.9815497132011588</v>
      </c>
      <c r="K1062" s="5">
        <f t="shared" si="167"/>
        <v>0</v>
      </c>
      <c r="L1062" s="5">
        <f t="shared" si="168"/>
        <v>0</v>
      </c>
      <c r="M1062" s="5">
        <f t="shared" si="169"/>
        <v>0</v>
      </c>
      <c r="N1062" s="5">
        <f t="shared" si="170"/>
        <v>0</v>
      </c>
      <c r="O1062" s="5">
        <f t="shared" si="171"/>
        <v>1</v>
      </c>
      <c r="P1062" s="5">
        <f t="shared" si="172"/>
        <v>0</v>
      </c>
    </row>
    <row r="1063" spans="1:16" x14ac:dyDescent="0.25">
      <c r="A1063" t="s">
        <v>85</v>
      </c>
      <c r="B1063">
        <v>2024</v>
      </c>
      <c r="C1063" s="7">
        <f>'1_Du_lieu'!V446</f>
        <v>2.7725887222397811</v>
      </c>
      <c r="D1063" s="9">
        <f>'1_Du_lieu'!W446</f>
        <v>4.1896547420264252</v>
      </c>
      <c r="E1063" s="9">
        <f>'1_Du_lieu'!L446</f>
        <v>2.7749999999999999</v>
      </c>
      <c r="F1063" s="9">
        <f>'1_Du_lieu'!M446</f>
        <v>36.94</v>
      </c>
      <c r="G1063" s="9">
        <f>'1_Du_lieu'!N446</f>
        <v>16.2</v>
      </c>
      <c r="H1063" s="9">
        <f>'1_Du_lieu'!X446</f>
        <v>1.9679463726137187</v>
      </c>
      <c r="I1063" s="9">
        <f>'1_Du_lieu'!T446</f>
        <v>0.52284847851092753</v>
      </c>
      <c r="J1063" s="9">
        <f>'1_Du_lieu'!Y446</f>
        <v>4.9537121466966347</v>
      </c>
      <c r="K1063" s="5">
        <f t="shared" si="167"/>
        <v>0</v>
      </c>
      <c r="L1063" s="5">
        <f t="shared" si="168"/>
        <v>0</v>
      </c>
      <c r="M1063" s="5">
        <f t="shared" si="169"/>
        <v>0</v>
      </c>
      <c r="N1063" s="5">
        <f t="shared" si="170"/>
        <v>0</v>
      </c>
      <c r="O1063" s="5">
        <f t="shared" si="171"/>
        <v>0</v>
      </c>
      <c r="P1063" s="5">
        <f t="shared" si="172"/>
        <v>1</v>
      </c>
    </row>
    <row r="1064" spans="1:16" x14ac:dyDescent="0.25">
      <c r="A1064" t="s">
        <v>87</v>
      </c>
      <c r="B1064">
        <v>2024</v>
      </c>
      <c r="C1064" s="7">
        <f>'1_Du_lieu'!V447</f>
        <v>3.3322045101752038</v>
      </c>
      <c r="D1064" s="9">
        <f>'1_Du_lieu'!W447</f>
        <v>5.8260001073804499</v>
      </c>
      <c r="E1064" s="9">
        <f>'1_Du_lieu'!L447</f>
        <v>10.509</v>
      </c>
      <c r="F1064" s="9">
        <f>'1_Du_lieu'!M447</f>
        <v>62.1</v>
      </c>
      <c r="G1064" s="9">
        <f>'1_Du_lieu'!N447</f>
        <v>30.1</v>
      </c>
      <c r="H1064" s="9">
        <f>'1_Du_lieu'!X447</f>
        <v>2.174610926525149</v>
      </c>
      <c r="I1064" s="9">
        <f>'1_Du_lieu'!T447</f>
        <v>1.5067805123053744</v>
      </c>
      <c r="J1064" s="9">
        <f>'1_Du_lieu'!Y447</f>
        <v>10.327038128190678</v>
      </c>
      <c r="K1064" s="5">
        <f t="shared" si="167"/>
        <v>0</v>
      </c>
      <c r="L1064" s="5">
        <f t="shared" si="168"/>
        <v>0</v>
      </c>
      <c r="M1064" s="5">
        <f t="shared" si="169"/>
        <v>0</v>
      </c>
      <c r="N1064" s="5">
        <f t="shared" si="170"/>
        <v>0</v>
      </c>
      <c r="O1064" s="5">
        <f t="shared" si="171"/>
        <v>0</v>
      </c>
      <c r="P1064" s="5">
        <f t="shared" si="172"/>
        <v>1</v>
      </c>
    </row>
    <row r="1065" spans="1:16" x14ac:dyDescent="0.25">
      <c r="A1065" t="s">
        <v>89</v>
      </c>
      <c r="B1065">
        <v>2024</v>
      </c>
      <c r="C1065" s="7">
        <f>'1_Du_lieu'!V448</f>
        <v>3.9318256327243257</v>
      </c>
      <c r="D1065" s="9">
        <f>'1_Du_lieu'!W448</f>
        <v>5.1772790381709806</v>
      </c>
      <c r="E1065" s="9">
        <f>'1_Du_lieu'!L448</f>
        <v>15.816000000000001</v>
      </c>
      <c r="F1065" s="9">
        <f>'1_Du_lieu'!M448</f>
        <v>85.85</v>
      </c>
      <c r="G1065" s="9">
        <f>'1_Du_lieu'!N448</f>
        <v>23.8</v>
      </c>
      <c r="H1065" s="9">
        <f>'1_Du_lieu'!X448</f>
        <v>3.3653395022314503</v>
      </c>
      <c r="I1065" s="9">
        <f>'1_Du_lieu'!T448</f>
        <v>0.80122622448268666</v>
      </c>
      <c r="J1065" s="9">
        <f>'1_Du_lieu'!Y448</f>
        <v>9.6024162429653313</v>
      </c>
      <c r="K1065" s="5">
        <f t="shared" si="167"/>
        <v>0</v>
      </c>
      <c r="L1065" s="5">
        <f t="shared" si="168"/>
        <v>0</v>
      </c>
      <c r="M1065" s="5">
        <f t="shared" si="169"/>
        <v>0</v>
      </c>
      <c r="N1065" s="5">
        <f t="shared" si="170"/>
        <v>0</v>
      </c>
      <c r="O1065" s="5">
        <f t="shared" si="171"/>
        <v>0</v>
      </c>
      <c r="P1065" s="5">
        <f t="shared" si="172"/>
        <v>1</v>
      </c>
    </row>
    <row r="1066" spans="1:16" x14ac:dyDescent="0.25">
      <c r="A1066" t="s">
        <v>90</v>
      </c>
      <c r="B1066">
        <v>2024</v>
      </c>
      <c r="C1066" s="7">
        <f>'1_Du_lieu'!V449</f>
        <v>2.7725887222397811</v>
      </c>
      <c r="D1066" s="9">
        <f>'1_Du_lieu'!W449</f>
        <v>4.678420647727684</v>
      </c>
      <c r="E1066" s="9">
        <f>'1_Du_lieu'!L449</f>
        <v>6.6920000000000002</v>
      </c>
      <c r="F1066" s="9">
        <f>'1_Du_lieu'!M449</f>
        <v>29.45</v>
      </c>
      <c r="G1066" s="9">
        <f>'1_Du_lieu'!N449</f>
        <v>21.6</v>
      </c>
      <c r="H1066" s="9">
        <f>'1_Du_lieu'!X449</f>
        <v>1.3767887209846028</v>
      </c>
      <c r="I1066" s="9">
        <f>'1_Du_lieu'!T449</f>
        <v>1.0354890332297844</v>
      </c>
      <c r="J1066" s="9">
        <f>'1_Du_lieu'!Y449</f>
        <v>8.5243673951642371</v>
      </c>
      <c r="K1066" s="5">
        <f t="shared" si="167"/>
        <v>0</v>
      </c>
      <c r="L1066" s="5">
        <f t="shared" si="168"/>
        <v>0</v>
      </c>
      <c r="M1066" s="5">
        <f t="shared" si="169"/>
        <v>0</v>
      </c>
      <c r="N1066" s="5">
        <f t="shared" si="170"/>
        <v>0</v>
      </c>
      <c r="O1066" s="5">
        <f t="shared" si="171"/>
        <v>0</v>
      </c>
      <c r="P1066" s="5">
        <f t="shared" si="172"/>
        <v>1</v>
      </c>
    </row>
    <row r="1067" spans="1:16" x14ac:dyDescent="0.25">
      <c r="A1067" t="s">
        <v>91</v>
      </c>
      <c r="B1067">
        <v>2024</v>
      </c>
      <c r="C1067" s="7">
        <f>'1_Du_lieu'!V450</f>
        <v>2.9957322735539909</v>
      </c>
      <c r="D1067" s="9">
        <f>'1_Du_lieu'!W450</f>
        <v>4.5217885770490405</v>
      </c>
      <c r="E1067" s="9">
        <f>'1_Du_lieu'!L450</f>
        <v>4.6929999999999996</v>
      </c>
      <c r="F1067" s="9">
        <f>'1_Du_lieu'!M450</f>
        <v>38.6</v>
      </c>
      <c r="G1067" s="9">
        <f>'1_Du_lieu'!N450</f>
        <v>21.4</v>
      </c>
      <c r="H1067" s="9">
        <f>'1_Du_lieu'!X450</f>
        <v>1.7739907853339476</v>
      </c>
      <c r="I1067" s="9">
        <f>'1_Du_lieu'!T450</f>
        <v>0.39488232506712995</v>
      </c>
      <c r="J1067" s="9">
        <f>'1_Du_lieu'!Y450</f>
        <v>8.046869510959576</v>
      </c>
      <c r="K1067" s="5">
        <f t="shared" si="167"/>
        <v>0</v>
      </c>
      <c r="L1067" s="5">
        <f t="shared" si="168"/>
        <v>0</v>
      </c>
      <c r="M1067" s="5">
        <f t="shared" si="169"/>
        <v>0</v>
      </c>
      <c r="N1067" s="5">
        <f t="shared" si="170"/>
        <v>0</v>
      </c>
      <c r="O1067" s="5">
        <f t="shared" si="171"/>
        <v>0</v>
      </c>
      <c r="P1067" s="5">
        <f t="shared" si="172"/>
        <v>1</v>
      </c>
    </row>
    <row r="1068" spans="1:16" x14ac:dyDescent="0.25">
      <c r="A1068" t="s">
        <v>93</v>
      </c>
      <c r="B1068">
        <v>2024</v>
      </c>
      <c r="C1068" s="7">
        <f>'1_Du_lieu'!V451</f>
        <v>3.044522437723423</v>
      </c>
      <c r="D1068" s="9">
        <f>'1_Du_lieu'!W451</f>
        <v>4.4461744544976334</v>
      </c>
      <c r="E1068" s="9">
        <f>'1_Du_lieu'!L451</f>
        <v>5.5460000000000003</v>
      </c>
      <c r="F1068" s="9">
        <f>'1_Du_lieu'!M451</f>
        <v>41.34</v>
      </c>
      <c r="G1068" s="9">
        <f>'1_Du_lieu'!N451</f>
        <v>26.1</v>
      </c>
      <c r="H1068" s="9">
        <f>'1_Du_lieu'!X451</f>
        <v>3.1665151187207949</v>
      </c>
      <c r="I1068" s="9">
        <f>'1_Du_lieu'!T451</f>
        <v>0.8561080013170892</v>
      </c>
      <c r="J1068" s="9">
        <f>'1_Du_lieu'!Y451</f>
        <v>6.7389815347334512</v>
      </c>
      <c r="K1068" s="5">
        <f t="shared" si="167"/>
        <v>0</v>
      </c>
      <c r="L1068" s="5">
        <f t="shared" si="168"/>
        <v>0</v>
      </c>
      <c r="M1068" s="5">
        <f t="shared" si="169"/>
        <v>0</v>
      </c>
      <c r="N1068" s="5">
        <f t="shared" si="170"/>
        <v>0</v>
      </c>
      <c r="O1068" s="5">
        <f t="shared" si="171"/>
        <v>0</v>
      </c>
      <c r="P1068" s="5">
        <f t="shared" si="172"/>
        <v>1</v>
      </c>
    </row>
    <row r="1069" spans="1:16" x14ac:dyDescent="0.25">
      <c r="A1069" t="s">
        <v>94</v>
      </c>
      <c r="B1069">
        <v>2024</v>
      </c>
      <c r="C1069" s="7">
        <f>'1_Du_lieu'!V452</f>
        <v>2.6390573296152584</v>
      </c>
      <c r="D1069" s="9">
        <f>'1_Du_lieu'!W452</f>
        <v>4.2598590006996737</v>
      </c>
      <c r="E1069" s="9">
        <f>'1_Du_lieu'!L452</f>
        <v>2.4630000000000001</v>
      </c>
      <c r="F1069" s="9">
        <f>'1_Du_lieu'!M452</f>
        <v>27.77</v>
      </c>
      <c r="G1069" s="9">
        <f>'1_Du_lieu'!N452</f>
        <v>14.3</v>
      </c>
      <c r="H1069" s="9">
        <f>'1_Du_lieu'!X452</f>
        <v>1.4155802736934249</v>
      </c>
      <c r="I1069" s="9">
        <f>'1_Du_lieu'!T452</f>
        <v>1.5074835791967267</v>
      </c>
      <c r="J1069" s="9">
        <f>'1_Du_lieu'!Y452</f>
        <v>8.5289834127907138</v>
      </c>
      <c r="K1069" s="5">
        <f t="shared" si="167"/>
        <v>0</v>
      </c>
      <c r="L1069" s="5">
        <f t="shared" si="168"/>
        <v>0</v>
      </c>
      <c r="M1069" s="5">
        <f t="shared" si="169"/>
        <v>0</v>
      </c>
      <c r="N1069" s="5">
        <f t="shared" si="170"/>
        <v>0</v>
      </c>
      <c r="O1069" s="5">
        <f t="shared" si="171"/>
        <v>0</v>
      </c>
      <c r="P1069" s="5">
        <f t="shared" si="172"/>
        <v>1</v>
      </c>
    </row>
    <row r="1070" spans="1:16" x14ac:dyDescent="0.25">
      <c r="A1070" t="s">
        <v>95</v>
      </c>
      <c r="B1070">
        <v>2024</v>
      </c>
      <c r="C1070" s="7">
        <f>'1_Du_lieu'!V453</f>
        <v>3.0910424533583161</v>
      </c>
      <c r="D1070" s="9">
        <f>'1_Du_lieu'!W453</f>
        <v>4.6931810633108046</v>
      </c>
      <c r="E1070" s="9">
        <f>'1_Du_lieu'!L453</f>
        <v>4.8220000000000001</v>
      </c>
      <c r="F1070" s="9">
        <f>'1_Du_lieu'!M453</f>
        <v>24.23</v>
      </c>
      <c r="G1070" s="9">
        <f>'1_Du_lieu'!N453</f>
        <v>33.700000000000003</v>
      </c>
      <c r="H1070" s="9">
        <f>'1_Du_lieu'!X453</f>
        <v>3.0169391132682017</v>
      </c>
      <c r="I1070" s="9">
        <f>'1_Du_lieu'!T453</f>
        <v>0.61143381228981963</v>
      </c>
      <c r="J1070" s="9">
        <f>'1_Du_lieu'!Y453</f>
        <v>8.8378118501142797</v>
      </c>
      <c r="K1070" s="5">
        <f t="shared" si="167"/>
        <v>0</v>
      </c>
      <c r="L1070" s="5">
        <f t="shared" si="168"/>
        <v>0</v>
      </c>
      <c r="M1070" s="5">
        <f t="shared" si="169"/>
        <v>0</v>
      </c>
      <c r="N1070" s="5">
        <f t="shared" si="170"/>
        <v>0</v>
      </c>
      <c r="O1070" s="5">
        <f t="shared" si="171"/>
        <v>0</v>
      </c>
      <c r="P1070" s="5">
        <f t="shared" si="172"/>
        <v>1</v>
      </c>
    </row>
    <row r="1071" spans="1:16" x14ac:dyDescent="0.25">
      <c r="A1071" t="s">
        <v>97</v>
      </c>
      <c r="B1071">
        <v>2024</v>
      </c>
      <c r="C1071" s="7">
        <f>'1_Du_lieu'!V454</f>
        <v>2.3978952727983707</v>
      </c>
      <c r="D1071" s="9">
        <f>'1_Du_lieu'!W454</f>
        <v>4.0430512678345503</v>
      </c>
      <c r="E1071" s="9">
        <f>'1_Du_lieu'!L454</f>
        <v>2.3199999999999998</v>
      </c>
      <c r="F1071" s="9">
        <f>'1_Du_lieu'!M454</f>
        <v>24.57</v>
      </c>
      <c r="G1071" s="9">
        <f>'1_Du_lieu'!N454</f>
        <v>29</v>
      </c>
      <c r="H1071" s="9">
        <f>'1_Du_lieu'!X454</f>
        <v>2.8204493552852776</v>
      </c>
      <c r="I1071" s="9">
        <f>'1_Du_lieu'!T454</f>
        <v>0.91102338293349516</v>
      </c>
      <c r="J1071" s="9">
        <f>'1_Du_lieu'!Y454</f>
        <v>4.5900565481780431</v>
      </c>
      <c r="K1071" s="5">
        <f t="shared" si="167"/>
        <v>0</v>
      </c>
      <c r="L1071" s="5">
        <f t="shared" si="168"/>
        <v>0</v>
      </c>
      <c r="M1071" s="5">
        <f t="shared" si="169"/>
        <v>0</v>
      </c>
      <c r="N1071" s="5">
        <f t="shared" si="170"/>
        <v>0</v>
      </c>
      <c r="O1071" s="5">
        <f t="shared" si="171"/>
        <v>0</v>
      </c>
      <c r="P1071" s="5">
        <f t="shared" si="172"/>
        <v>1</v>
      </c>
    </row>
    <row r="1072" spans="1:16" x14ac:dyDescent="0.25">
      <c r="A1072" t="s">
        <v>98</v>
      </c>
      <c r="B1072">
        <v>2024</v>
      </c>
      <c r="C1072" s="7">
        <f>'1_Du_lieu'!V455</f>
        <v>3.4011973816621555</v>
      </c>
      <c r="D1072" s="9">
        <f>'1_Du_lieu'!W455</f>
        <v>5.0695329353437408</v>
      </c>
      <c r="E1072" s="9">
        <f>'1_Du_lieu'!L455</f>
        <v>11.715999999999999</v>
      </c>
      <c r="F1072" s="9">
        <f>'1_Du_lieu'!M455</f>
        <v>50.94</v>
      </c>
      <c r="G1072" s="9">
        <f>'1_Du_lieu'!N455</f>
        <v>35.9</v>
      </c>
      <c r="H1072" s="9">
        <f>'1_Du_lieu'!X455</f>
        <v>2.8962026782069579</v>
      </c>
      <c r="I1072" s="9">
        <f>'1_Du_lieu'!T455</f>
        <v>1.8750808224492437</v>
      </c>
      <c r="J1072" s="9">
        <f>'1_Du_lieu'!Y455</f>
        <v>9.904681839091948</v>
      </c>
      <c r="K1072" s="5">
        <f t="shared" si="167"/>
        <v>0</v>
      </c>
      <c r="L1072" s="5">
        <f t="shared" si="168"/>
        <v>0</v>
      </c>
      <c r="M1072" s="5">
        <f t="shared" si="169"/>
        <v>0</v>
      </c>
      <c r="N1072" s="5">
        <f t="shared" si="170"/>
        <v>0</v>
      </c>
      <c r="O1072" s="5">
        <f t="shared" si="171"/>
        <v>0</v>
      </c>
      <c r="P1072" s="5">
        <f t="shared" si="172"/>
        <v>1</v>
      </c>
    </row>
    <row r="1073" spans="1:16" x14ac:dyDescent="0.25">
      <c r="A1073" t="s">
        <v>100</v>
      </c>
      <c r="B1073">
        <v>2024</v>
      </c>
      <c r="C1073" s="7">
        <f>'1_Du_lieu'!V456</f>
        <v>2.9444389791664403</v>
      </c>
      <c r="D1073" s="9">
        <f>'1_Du_lieu'!W456</f>
        <v>4.0324691585040133</v>
      </c>
      <c r="E1073" s="9">
        <f>'1_Du_lieu'!L456</f>
        <v>3.0470000000000002</v>
      </c>
      <c r="F1073" s="9">
        <f>'1_Du_lieu'!M456</f>
        <v>13.37</v>
      </c>
      <c r="G1073" s="9">
        <f>'1_Du_lieu'!N456</f>
        <v>13.7</v>
      </c>
      <c r="H1073" s="9">
        <f>'1_Du_lieu'!X456</f>
        <v>1.4972580731896656</v>
      </c>
      <c r="I1073" s="9">
        <f>'1_Du_lieu'!T456</f>
        <v>0.45931256219857614</v>
      </c>
      <c r="J1073" s="9">
        <f>'1_Du_lieu'!Y456</f>
        <v>7.1132235386163387</v>
      </c>
      <c r="K1073" s="5">
        <f t="shared" si="167"/>
        <v>0</v>
      </c>
      <c r="L1073" s="5">
        <f t="shared" si="168"/>
        <v>0</v>
      </c>
      <c r="M1073" s="5">
        <f t="shared" si="169"/>
        <v>0</v>
      </c>
      <c r="N1073" s="5">
        <f t="shared" si="170"/>
        <v>0</v>
      </c>
      <c r="O1073" s="5">
        <f t="shared" si="171"/>
        <v>0</v>
      </c>
      <c r="P1073" s="5">
        <f t="shared" si="172"/>
        <v>1</v>
      </c>
    </row>
    <row r="1074" spans="1:16" x14ac:dyDescent="0.25">
      <c r="A1074" t="s">
        <v>102</v>
      </c>
      <c r="B1074">
        <v>2024</v>
      </c>
      <c r="C1074" s="7">
        <f>'1_Du_lieu'!V458</f>
        <v>2.7725887222397811</v>
      </c>
      <c r="D1074" s="9">
        <f>'1_Du_lieu'!W458</f>
        <v>4.2682978693455391</v>
      </c>
      <c r="E1074" s="9">
        <f>'1_Du_lieu'!L458</f>
        <v>3.1110000000000002</v>
      </c>
      <c r="F1074" s="9">
        <f>'1_Du_lieu'!M458</f>
        <v>23.51</v>
      </c>
      <c r="G1074" s="9">
        <f>'1_Du_lieu'!N458</f>
        <v>16.399999999999999</v>
      </c>
      <c r="H1074" s="9">
        <f>'1_Du_lieu'!X458</f>
        <v>0.14996939029400611</v>
      </c>
      <c r="I1074" s="9">
        <f>'1_Du_lieu'!T458</f>
        <v>0.57755775577557755</v>
      </c>
      <c r="J1074" s="9">
        <f>'1_Du_lieu'!Y458</f>
        <v>4.9030500834163186</v>
      </c>
      <c r="K1074" s="5">
        <f t="shared" si="167"/>
        <v>0</v>
      </c>
      <c r="L1074" s="5">
        <f t="shared" si="168"/>
        <v>0</v>
      </c>
      <c r="M1074" s="5">
        <f t="shared" si="169"/>
        <v>0</v>
      </c>
      <c r="N1074" s="5">
        <f t="shared" si="170"/>
        <v>0</v>
      </c>
      <c r="O1074" s="5">
        <f t="shared" si="171"/>
        <v>0</v>
      </c>
      <c r="P1074" s="5">
        <f t="shared" si="172"/>
        <v>1</v>
      </c>
    </row>
    <row r="1075" spans="1:16" x14ac:dyDescent="0.25">
      <c r="A1075" t="s">
        <v>103</v>
      </c>
      <c r="B1075">
        <v>2024</v>
      </c>
      <c r="C1075" s="7">
        <f>'1_Du_lieu'!V459</f>
        <v>3.3322045101752038</v>
      </c>
      <c r="D1075" s="9">
        <f>'1_Du_lieu'!W459</f>
        <v>4.6472713620067267</v>
      </c>
      <c r="E1075" s="9">
        <f>'1_Du_lieu'!L459</f>
        <v>8.5429999999999993</v>
      </c>
      <c r="F1075" s="9">
        <f>'1_Du_lieu'!M459</f>
        <v>70.67</v>
      </c>
      <c r="G1075" s="9">
        <f>'1_Du_lieu'!N459</f>
        <v>25.2</v>
      </c>
      <c r="H1075" s="9">
        <f>'1_Du_lieu'!X459</f>
        <v>1.153238075556438</v>
      </c>
      <c r="I1075" s="9">
        <f>'1_Du_lieu'!T459</f>
        <v>1.4154281670205235</v>
      </c>
      <c r="J1075" s="9">
        <f>'1_Du_lieu'!Y459</f>
        <v>7.4655980675111842</v>
      </c>
      <c r="K1075" s="5">
        <f t="shared" si="167"/>
        <v>0</v>
      </c>
      <c r="L1075" s="5">
        <f t="shared" si="168"/>
        <v>0</v>
      </c>
      <c r="M1075" s="5">
        <f t="shared" si="169"/>
        <v>0</v>
      </c>
      <c r="N1075" s="5">
        <f t="shared" si="170"/>
        <v>0</v>
      </c>
      <c r="O1075" s="5">
        <f t="shared" si="171"/>
        <v>0</v>
      </c>
      <c r="P1075" s="5">
        <f t="shared" si="172"/>
        <v>1</v>
      </c>
    </row>
    <row r="1076" spans="1:16" x14ac:dyDescent="0.25">
      <c r="A1076" t="s">
        <v>104</v>
      </c>
      <c r="B1076">
        <v>2024</v>
      </c>
      <c r="C1076" s="7">
        <f>'1_Du_lieu'!V460</f>
        <v>2.7080502011022101</v>
      </c>
      <c r="D1076" s="9">
        <f>'1_Du_lieu'!W460</f>
        <v>4.2002049529215784</v>
      </c>
      <c r="E1076" s="9">
        <f>'1_Du_lieu'!L460</f>
        <v>3.39</v>
      </c>
      <c r="F1076" s="9">
        <f>'1_Du_lieu'!M460</f>
        <v>29.53</v>
      </c>
      <c r="G1076" s="9">
        <f>'1_Du_lieu'!N460</f>
        <v>16.2</v>
      </c>
      <c r="H1076" s="9">
        <f>'1_Du_lieu'!X460</f>
        <v>2.4457426153554831</v>
      </c>
      <c r="I1076" s="9">
        <f>'1_Du_lieu'!T460</f>
        <v>1.8961404367239587</v>
      </c>
      <c r="J1076" s="9">
        <f>'1_Du_lieu'!Y460</f>
        <v>4.0587173845789497</v>
      </c>
      <c r="K1076" s="5">
        <f t="shared" si="167"/>
        <v>0</v>
      </c>
      <c r="L1076" s="5">
        <f t="shared" si="168"/>
        <v>0</v>
      </c>
      <c r="M1076" s="5">
        <f t="shared" si="169"/>
        <v>0</v>
      </c>
      <c r="N1076" s="5">
        <f t="shared" si="170"/>
        <v>0</v>
      </c>
      <c r="O1076" s="5">
        <f t="shared" si="171"/>
        <v>0</v>
      </c>
      <c r="P1076" s="5">
        <f t="shared" si="172"/>
        <v>1</v>
      </c>
    </row>
    <row r="1077" spans="1:16" x14ac:dyDescent="0.25">
      <c r="A1077" t="s">
        <v>107</v>
      </c>
      <c r="B1077">
        <v>2024</v>
      </c>
      <c r="C1077" s="7">
        <f>'1_Du_lieu'!V462</f>
        <v>3.1354942159291497</v>
      </c>
      <c r="D1077" s="9">
        <f>'1_Du_lieu'!W462</f>
        <v>4.677490847567717</v>
      </c>
      <c r="E1077" s="9">
        <f>'1_Du_lieu'!L462</f>
        <v>6.5060000000000002</v>
      </c>
      <c r="F1077" s="9">
        <f>'1_Du_lieu'!M462</f>
        <v>28.74</v>
      </c>
      <c r="G1077" s="9">
        <f>'1_Du_lieu'!N462</f>
        <v>32.299999999999997</v>
      </c>
      <c r="H1077" s="9">
        <f>'1_Du_lieu'!X462</f>
        <v>3.0323602921703454</v>
      </c>
      <c r="I1077" s="9">
        <f>'1_Du_lieu'!T462</f>
        <v>1.1183180496533214</v>
      </c>
      <c r="J1077" s="9">
        <f>'1_Du_lieu'!Y462</f>
        <v>8.909113650174131</v>
      </c>
      <c r="K1077" s="5">
        <f t="shared" si="167"/>
        <v>0</v>
      </c>
      <c r="L1077" s="5">
        <f t="shared" si="168"/>
        <v>0</v>
      </c>
      <c r="M1077" s="5">
        <f t="shared" si="169"/>
        <v>0</v>
      </c>
      <c r="N1077" s="5">
        <f t="shared" si="170"/>
        <v>0</v>
      </c>
      <c r="O1077" s="5">
        <f t="shared" si="171"/>
        <v>0</v>
      </c>
      <c r="P1077" s="5">
        <f t="shared" si="172"/>
        <v>1</v>
      </c>
    </row>
    <row r="1078" spans="1:16" x14ac:dyDescent="0.25">
      <c r="A1078" t="s">
        <v>108</v>
      </c>
      <c r="B1078">
        <v>2024</v>
      </c>
      <c r="C1078" s="7">
        <f>'1_Du_lieu'!V463</f>
        <v>4.4308167988433134</v>
      </c>
      <c r="D1078" s="9">
        <f>'1_Du_lieu'!W463</f>
        <v>5.0931365156079993</v>
      </c>
      <c r="E1078" s="9">
        <f>'1_Du_lieu'!L463</f>
        <v>22.579000000000001</v>
      </c>
      <c r="F1078" s="9">
        <f>'1_Du_lieu'!M463</f>
        <v>49.11</v>
      </c>
      <c r="G1078" s="9">
        <f>'1_Du_lieu'!N463</f>
        <v>53.9</v>
      </c>
      <c r="H1078" s="9">
        <f>'1_Du_lieu'!X463</f>
        <v>3.3194894766662983</v>
      </c>
      <c r="I1078" s="9">
        <f>'1_Du_lieu'!T463</f>
        <v>1.8468385794255298</v>
      </c>
      <c r="J1078" s="9">
        <f>'1_Du_lieu'!Y463</f>
        <v>8.4883203538471221</v>
      </c>
      <c r="K1078" s="5">
        <f t="shared" si="167"/>
        <v>0</v>
      </c>
      <c r="L1078" s="5">
        <f t="shared" si="168"/>
        <v>0</v>
      </c>
      <c r="M1078" s="5">
        <f t="shared" si="169"/>
        <v>0</v>
      </c>
      <c r="N1078" s="5">
        <f t="shared" si="170"/>
        <v>0</v>
      </c>
      <c r="O1078" s="5">
        <f t="shared" si="171"/>
        <v>0</v>
      </c>
      <c r="P1078" s="5">
        <f t="shared" si="172"/>
        <v>1</v>
      </c>
    </row>
    <row r="1079" spans="1:16" x14ac:dyDescent="0.25">
      <c r="A1079" t="s">
        <v>109</v>
      </c>
      <c r="B1079">
        <v>2024</v>
      </c>
      <c r="C1079" s="7">
        <f>'1_Du_lieu'!V464</f>
        <v>2.8903717578961645</v>
      </c>
      <c r="D1079" s="9">
        <f>'1_Du_lieu'!W464</f>
        <v>4.4164280613912137</v>
      </c>
      <c r="E1079" s="9">
        <f>'1_Du_lieu'!L464</f>
        <v>4.484</v>
      </c>
      <c r="F1079" s="9">
        <f>'1_Du_lieu'!M464</f>
        <v>22.59</v>
      </c>
      <c r="G1079" s="9">
        <f>'1_Du_lieu'!N464</f>
        <v>32.299999999999997</v>
      </c>
      <c r="H1079" s="9">
        <f>'1_Du_lieu'!X464</f>
        <v>3.5761073893199447</v>
      </c>
      <c r="I1079" s="9">
        <f>'1_Du_lieu'!T464</f>
        <v>0.37599639043465183</v>
      </c>
      <c r="J1079" s="9">
        <f>'1_Du_lieu'!Y464</f>
        <v>9.1150511919513608</v>
      </c>
      <c r="K1079" s="5">
        <f t="shared" si="167"/>
        <v>0</v>
      </c>
      <c r="L1079" s="5">
        <f t="shared" si="168"/>
        <v>0</v>
      </c>
      <c r="M1079" s="5">
        <f t="shared" si="169"/>
        <v>0</v>
      </c>
      <c r="N1079" s="5">
        <f t="shared" si="170"/>
        <v>0</v>
      </c>
      <c r="O1079" s="5">
        <f t="shared" si="171"/>
        <v>0</v>
      </c>
      <c r="P1079" s="5">
        <f t="shared" si="172"/>
        <v>1</v>
      </c>
    </row>
    <row r="1080" spans="1:16" x14ac:dyDescent="0.25">
      <c r="A1080" t="s">
        <v>110</v>
      </c>
      <c r="B1080">
        <v>2024</v>
      </c>
      <c r="C1080" s="7">
        <f>'1_Du_lieu'!V465</f>
        <v>2.6390573296152584</v>
      </c>
      <c r="D1080" s="9">
        <f>'1_Du_lieu'!W465</f>
        <v>4.3744983682530902</v>
      </c>
      <c r="E1080" s="9">
        <f>'1_Du_lieu'!L465</f>
        <v>3.4889999999999999</v>
      </c>
      <c r="F1080" s="9">
        <f>'1_Du_lieu'!M465</f>
        <v>26.17</v>
      </c>
      <c r="G1080" s="9">
        <f>'1_Du_lieu'!N465</f>
        <v>25.6</v>
      </c>
      <c r="H1080" s="9">
        <f>'1_Du_lieu'!X465</f>
        <v>2.367937285247359</v>
      </c>
      <c r="I1080" s="9">
        <f>'1_Du_lieu'!T465</f>
        <v>1.1179429849077696</v>
      </c>
      <c r="J1080" s="9">
        <f>'1_Du_lieu'!Y465</f>
        <v>6.7923444274708089</v>
      </c>
      <c r="K1080" s="5">
        <f t="shared" si="167"/>
        <v>0</v>
      </c>
      <c r="L1080" s="5">
        <f t="shared" si="168"/>
        <v>0</v>
      </c>
      <c r="M1080" s="5">
        <f t="shared" si="169"/>
        <v>0</v>
      </c>
      <c r="N1080" s="5">
        <f t="shared" si="170"/>
        <v>0</v>
      </c>
      <c r="O1080" s="5">
        <f t="shared" si="171"/>
        <v>0</v>
      </c>
      <c r="P1080" s="5">
        <f t="shared" si="172"/>
        <v>1</v>
      </c>
    </row>
    <row r="1081" spans="1:16" x14ac:dyDescent="0.25">
      <c r="A1081" t="s">
        <v>111</v>
      </c>
      <c r="B1081">
        <v>2024</v>
      </c>
      <c r="C1081" s="7">
        <f>'1_Du_lieu'!V466</f>
        <v>3.2958368660043291</v>
      </c>
      <c r="D1081" s="9">
        <f>'1_Du_lieu'!W466</f>
        <v>4.7681390142662314</v>
      </c>
      <c r="E1081" s="9">
        <f>'1_Du_lieu'!L466</f>
        <v>8.2309999999999999</v>
      </c>
      <c r="F1081" s="9">
        <f>'1_Du_lieu'!M466</f>
        <v>17.09</v>
      </c>
      <c r="G1081" s="9">
        <f>'1_Du_lieu'!N466</f>
        <v>29.3</v>
      </c>
      <c r="H1081" s="9">
        <f>'1_Du_lieu'!X466</f>
        <v>3.3521150877319186</v>
      </c>
      <c r="I1081" s="9">
        <f>'1_Du_lieu'!T466</f>
        <v>1.8966694484485247</v>
      </c>
      <c r="J1081" s="9">
        <f>'1_Du_lieu'!Y466</f>
        <v>8.8265144389714987</v>
      </c>
      <c r="K1081" s="5">
        <f t="shared" si="167"/>
        <v>0</v>
      </c>
      <c r="L1081" s="5">
        <f t="shared" si="168"/>
        <v>0</v>
      </c>
      <c r="M1081" s="5">
        <f t="shared" si="169"/>
        <v>0</v>
      </c>
      <c r="N1081" s="5">
        <f t="shared" si="170"/>
        <v>0</v>
      </c>
      <c r="O1081" s="5">
        <f t="shared" si="171"/>
        <v>0</v>
      </c>
      <c r="P1081" s="5">
        <f t="shared" si="172"/>
        <v>1</v>
      </c>
    </row>
    <row r="1082" spans="1:16" x14ac:dyDescent="0.25">
      <c r="A1082" t="s">
        <v>112</v>
      </c>
      <c r="B1082">
        <v>2024</v>
      </c>
      <c r="C1082" s="7">
        <f>'1_Du_lieu'!V467</f>
        <v>3.044522437723423</v>
      </c>
      <c r="D1082" s="9">
        <f>'1_Du_lieu'!W467</f>
        <v>4.6653241088078383</v>
      </c>
      <c r="E1082" s="9">
        <f>'1_Du_lieu'!L467</f>
        <v>6.0410000000000004</v>
      </c>
      <c r="F1082" s="9">
        <f>'1_Du_lieu'!M467</f>
        <v>31.87</v>
      </c>
      <c r="G1082" s="9">
        <f>'1_Du_lieu'!N467</f>
        <v>29.4</v>
      </c>
      <c r="H1082" s="9">
        <f>'1_Du_lieu'!X467</f>
        <v>3.400809748829857</v>
      </c>
      <c r="I1082" s="9">
        <f>'1_Du_lieu'!T467</f>
        <v>0.45495905368516831</v>
      </c>
      <c r="J1082" s="9">
        <f>'1_Du_lieu'!Y467</f>
        <v>8.6407727281864286</v>
      </c>
      <c r="K1082" s="5">
        <f t="shared" si="167"/>
        <v>0</v>
      </c>
      <c r="L1082" s="5">
        <f t="shared" si="168"/>
        <v>0</v>
      </c>
      <c r="M1082" s="5">
        <f t="shared" si="169"/>
        <v>0</v>
      </c>
      <c r="N1082" s="5">
        <f t="shared" si="170"/>
        <v>0</v>
      </c>
      <c r="O1082" s="5">
        <f t="shared" si="171"/>
        <v>0</v>
      </c>
      <c r="P1082" s="5">
        <f t="shared" si="172"/>
        <v>1</v>
      </c>
    </row>
    <row r="1083" spans="1:16" x14ac:dyDescent="0.25">
      <c r="A1083" t="s">
        <v>113</v>
      </c>
      <c r="B1083">
        <v>2024</v>
      </c>
      <c r="C1083" s="7">
        <f>'1_Du_lieu'!V468</f>
        <v>3.5835189384561099</v>
      </c>
      <c r="D1083" s="9">
        <f>'1_Du_lieu'!W468</f>
        <v>5.3288465715828597</v>
      </c>
      <c r="E1083" s="9">
        <f>'1_Du_lieu'!L468</f>
        <v>10.497999999999999</v>
      </c>
      <c r="F1083" s="9">
        <f>'1_Du_lieu'!M468</f>
        <v>45.67</v>
      </c>
      <c r="G1083" s="9">
        <f>'1_Du_lieu'!N468</f>
        <v>38</v>
      </c>
      <c r="H1083" s="9">
        <f>'1_Du_lieu'!X468</f>
        <v>4.2098513587657651</v>
      </c>
      <c r="I1083" s="9">
        <f>'1_Du_lieu'!T468</f>
        <v>1.8357260531889856</v>
      </c>
      <c r="J1083" s="9">
        <f>'1_Du_lieu'!Y468</f>
        <v>9.6381343255674103</v>
      </c>
      <c r="K1083" s="5">
        <f t="shared" si="167"/>
        <v>0</v>
      </c>
      <c r="L1083" s="5">
        <f t="shared" si="168"/>
        <v>0</v>
      </c>
      <c r="M1083" s="5">
        <f t="shared" si="169"/>
        <v>0</v>
      </c>
      <c r="N1083" s="5">
        <f t="shared" si="170"/>
        <v>0</v>
      </c>
      <c r="O1083" s="5">
        <f t="shared" si="171"/>
        <v>0</v>
      </c>
      <c r="P1083" s="5">
        <f t="shared" si="172"/>
        <v>1</v>
      </c>
    </row>
    <row r="1084" spans="1:16" x14ac:dyDescent="0.25">
      <c r="A1084" t="s">
        <v>114</v>
      </c>
      <c r="B1084">
        <v>2024</v>
      </c>
      <c r="C1084" s="7">
        <f>'1_Du_lieu'!V469</f>
        <v>2.7080502011022101</v>
      </c>
      <c r="D1084" s="9">
        <f>'1_Du_lieu'!W469</f>
        <v>4.5020294270685781</v>
      </c>
      <c r="E1084" s="9">
        <f>'1_Du_lieu'!L469</f>
        <v>3.9809999999999999</v>
      </c>
      <c r="F1084" s="9">
        <f>'1_Du_lieu'!M469</f>
        <v>28.11</v>
      </c>
      <c r="G1084" s="9">
        <f>'1_Du_lieu'!N469</f>
        <v>14.1</v>
      </c>
      <c r="H1084" s="9">
        <f>'1_Du_lieu'!X469</f>
        <v>1.2939387164844527</v>
      </c>
      <c r="I1084" s="9">
        <f>'1_Du_lieu'!T469</f>
        <v>0.68493150684931503</v>
      </c>
      <c r="J1084" s="9">
        <f>'1_Du_lieu'!Y469</f>
        <v>6.9676266760195276</v>
      </c>
      <c r="K1084" s="5">
        <f t="shared" si="167"/>
        <v>0</v>
      </c>
      <c r="L1084" s="5">
        <f t="shared" si="168"/>
        <v>0</v>
      </c>
      <c r="M1084" s="5">
        <f t="shared" si="169"/>
        <v>0</v>
      </c>
      <c r="N1084" s="5">
        <f t="shared" si="170"/>
        <v>0</v>
      </c>
      <c r="O1084" s="5">
        <f t="shared" si="171"/>
        <v>0</v>
      </c>
      <c r="P1084" s="5">
        <f t="shared" si="172"/>
        <v>1</v>
      </c>
    </row>
    <row r="1085" spans="1:16" x14ac:dyDescent="0.25">
      <c r="A1085" t="s">
        <v>115</v>
      </c>
      <c r="B1085">
        <v>2024</v>
      </c>
      <c r="C1085" s="7">
        <f>'1_Du_lieu'!V470</f>
        <v>3.2188758248682006</v>
      </c>
      <c r="D1085" s="9">
        <f>'1_Du_lieu'!W470</f>
        <v>4.6472713620067267</v>
      </c>
      <c r="E1085" s="9">
        <f>'1_Du_lieu'!L470</f>
        <v>9.0359999999999996</v>
      </c>
      <c r="F1085" s="9">
        <f>'1_Du_lieu'!M470</f>
        <v>42.39</v>
      </c>
      <c r="G1085" s="9">
        <f>'1_Du_lieu'!N470</f>
        <v>26.2</v>
      </c>
      <c r="H1085" s="9">
        <f>'1_Du_lieu'!X470</f>
        <v>3.1546257150891464</v>
      </c>
      <c r="I1085" s="9">
        <f>'1_Du_lieu'!T470</f>
        <v>1.7332387930355315</v>
      </c>
      <c r="J1085" s="9">
        <f>'1_Du_lieu'!Y470</f>
        <v>8.1587738697921548</v>
      </c>
      <c r="K1085" s="5">
        <f t="shared" si="167"/>
        <v>0</v>
      </c>
      <c r="L1085" s="5">
        <f t="shared" si="168"/>
        <v>0</v>
      </c>
      <c r="M1085" s="5">
        <f t="shared" si="169"/>
        <v>0</v>
      </c>
      <c r="N1085" s="5">
        <f t="shared" si="170"/>
        <v>0</v>
      </c>
      <c r="O1085" s="5">
        <f t="shared" si="171"/>
        <v>0</v>
      </c>
      <c r="P1085" s="5">
        <f t="shared" si="172"/>
        <v>1</v>
      </c>
    </row>
    <row r="1086" spans="1:16" x14ac:dyDescent="0.25">
      <c r="A1086" t="s">
        <v>116</v>
      </c>
      <c r="B1086">
        <v>2024</v>
      </c>
      <c r="C1086" s="7">
        <f>'1_Du_lieu'!V471</f>
        <v>2.8332133440562162</v>
      </c>
      <c r="D1086" s="9">
        <f>'1_Du_lieu'!W471</f>
        <v>4.3956829611213672</v>
      </c>
      <c r="E1086" s="9">
        <f>'1_Du_lieu'!L471</f>
        <v>4.9249999999999998</v>
      </c>
      <c r="F1086" s="9">
        <f>'1_Du_lieu'!M471</f>
        <v>29.85</v>
      </c>
      <c r="G1086" s="9">
        <f>'1_Du_lieu'!N471</f>
        <v>17.399999999999999</v>
      </c>
      <c r="H1086" s="9">
        <f>'1_Du_lieu'!X471</f>
        <v>0.60361638494950653</v>
      </c>
      <c r="I1086" s="9">
        <f>'1_Du_lieu'!T471</f>
        <v>4.8112299767928901</v>
      </c>
      <c r="J1086" s="9">
        <f>'1_Du_lieu'!Y471</f>
        <v>7.914252278742441</v>
      </c>
      <c r="K1086" s="5">
        <f t="shared" si="167"/>
        <v>0</v>
      </c>
      <c r="L1086" s="5">
        <f t="shared" si="168"/>
        <v>0</v>
      </c>
      <c r="M1086" s="5">
        <f t="shared" si="169"/>
        <v>0</v>
      </c>
      <c r="N1086" s="5">
        <f t="shared" si="170"/>
        <v>0</v>
      </c>
      <c r="O1086" s="5">
        <f t="shared" si="171"/>
        <v>0</v>
      </c>
      <c r="P1086" s="5">
        <f t="shared" si="172"/>
        <v>1</v>
      </c>
    </row>
    <row r="1087" spans="1:16" x14ac:dyDescent="0.25">
      <c r="A1087" t="s">
        <v>117</v>
      </c>
      <c r="B1087">
        <v>2024</v>
      </c>
      <c r="C1087" s="7">
        <f>'1_Du_lieu'!V472</f>
        <v>2.5649493574615367</v>
      </c>
      <c r="D1087" s="9">
        <f>'1_Du_lieu'!W472</f>
        <v>4.2150861799182291</v>
      </c>
      <c r="E1087" s="9">
        <f>'1_Du_lieu'!L472</f>
        <v>3.6059999999999999</v>
      </c>
      <c r="F1087" s="9">
        <f>'1_Du_lieu'!M472</f>
        <v>32.369999999999997</v>
      </c>
      <c r="G1087" s="9">
        <f>'1_Du_lieu'!N472</f>
        <v>18.7</v>
      </c>
      <c r="H1087" s="9">
        <f>'1_Du_lieu'!X472</f>
        <v>2.7554520297049514</v>
      </c>
      <c r="I1087" s="9">
        <f>'1_Du_lieu'!T472</f>
        <v>0.83084081090063144</v>
      </c>
      <c r="J1087" s="9">
        <f>'1_Du_lieu'!Y472</f>
        <v>6.0051208735554678</v>
      </c>
      <c r="K1087" s="5">
        <f t="shared" si="167"/>
        <v>0</v>
      </c>
      <c r="L1087" s="5">
        <f t="shared" si="168"/>
        <v>0</v>
      </c>
      <c r="M1087" s="5">
        <f t="shared" si="169"/>
        <v>0</v>
      </c>
      <c r="N1087" s="5">
        <f t="shared" si="170"/>
        <v>0</v>
      </c>
      <c r="O1087" s="5">
        <f t="shared" si="171"/>
        <v>0</v>
      </c>
      <c r="P1087" s="5">
        <f t="shared" si="172"/>
        <v>1</v>
      </c>
    </row>
    <row r="1088" spans="1:16" x14ac:dyDescent="0.25">
      <c r="A1088" t="s">
        <v>119</v>
      </c>
      <c r="B1088">
        <v>2024</v>
      </c>
      <c r="C1088" s="7">
        <f>'1_Du_lieu'!V474</f>
        <v>3.0910424533583161</v>
      </c>
      <c r="D1088" s="9">
        <f>'1_Du_lieu'!W474</f>
        <v>4.6395716127054234</v>
      </c>
      <c r="E1088" s="9">
        <f>'1_Du_lieu'!L474</f>
        <v>7.73</v>
      </c>
      <c r="F1088" s="9">
        <f>'1_Du_lieu'!M474</f>
        <v>18.61</v>
      </c>
      <c r="G1088" s="9">
        <f>'1_Du_lieu'!N474</f>
        <v>17.2</v>
      </c>
      <c r="H1088" s="9">
        <f>'1_Du_lieu'!X474</f>
        <v>1.6112242672103196</v>
      </c>
      <c r="I1088" s="9">
        <f>'1_Du_lieu'!T474</f>
        <v>0.45552898303154543</v>
      </c>
      <c r="J1088" s="9">
        <f>'1_Du_lieu'!Y474</f>
        <v>9.0020115387999873</v>
      </c>
      <c r="K1088" s="5">
        <f t="shared" si="167"/>
        <v>0</v>
      </c>
      <c r="L1088" s="5">
        <f t="shared" si="168"/>
        <v>0</v>
      </c>
      <c r="M1088" s="5">
        <f t="shared" si="169"/>
        <v>0</v>
      </c>
      <c r="N1088" s="5">
        <f t="shared" si="170"/>
        <v>0</v>
      </c>
      <c r="O1088" s="5">
        <f t="shared" si="171"/>
        <v>0</v>
      </c>
      <c r="P1088" s="5">
        <f t="shared" si="172"/>
        <v>1</v>
      </c>
    </row>
    <row r="1089" spans="1:16" x14ac:dyDescent="0.25">
      <c r="A1089" t="s">
        <v>120</v>
      </c>
      <c r="B1089">
        <v>2024</v>
      </c>
      <c r="C1089" s="7">
        <f>'1_Du_lieu'!V475</f>
        <v>2.9957322735539909</v>
      </c>
      <c r="D1089" s="9">
        <f>'1_Du_lieu'!W475</f>
        <v>4.5325994931532563</v>
      </c>
      <c r="E1089" s="9">
        <f>'1_Du_lieu'!L475</f>
        <v>4.7409999999999997</v>
      </c>
      <c r="F1089" s="9">
        <f>'1_Du_lieu'!M475</f>
        <v>27.14</v>
      </c>
      <c r="G1089" s="9">
        <f>'1_Du_lieu'!N475</f>
        <v>24</v>
      </c>
      <c r="H1089" s="9">
        <f>'1_Du_lieu'!X475</f>
        <v>2.3943545508393007</v>
      </c>
      <c r="I1089" s="9">
        <f>'1_Du_lieu'!T475</f>
        <v>1.1360767482958847</v>
      </c>
      <c r="J1089" s="9">
        <f>'1_Du_lieu'!Y475</f>
        <v>6.7199788715052184</v>
      </c>
      <c r="K1089" s="5">
        <f t="shared" si="167"/>
        <v>0</v>
      </c>
      <c r="L1089" s="5">
        <f t="shared" si="168"/>
        <v>0</v>
      </c>
      <c r="M1089" s="5">
        <f t="shared" si="169"/>
        <v>0</v>
      </c>
      <c r="N1089" s="5">
        <f t="shared" si="170"/>
        <v>0</v>
      </c>
      <c r="O1089" s="5">
        <f t="shared" si="171"/>
        <v>0</v>
      </c>
      <c r="P1089" s="5">
        <f t="shared" si="172"/>
        <v>1</v>
      </c>
    </row>
    <row r="1090" spans="1:16" x14ac:dyDescent="0.25">
      <c r="A1090" t="s">
        <v>121</v>
      </c>
      <c r="B1090">
        <v>2024</v>
      </c>
      <c r="C1090" s="7">
        <f>'1_Du_lieu'!V476</f>
        <v>3.2580965380214821</v>
      </c>
      <c r="D1090" s="9">
        <f>'1_Du_lieu'!W476</f>
        <v>4.604169685654508</v>
      </c>
      <c r="E1090" s="9">
        <f>'1_Du_lieu'!L476</f>
        <v>5.9939999999999998</v>
      </c>
      <c r="F1090" s="9">
        <f>'1_Du_lieu'!M476</f>
        <v>39.659999999999997</v>
      </c>
      <c r="G1090" s="9">
        <f>'1_Du_lieu'!N476</f>
        <v>23</v>
      </c>
      <c r="H1090" s="9">
        <f>'1_Du_lieu'!X476</f>
        <v>3.0564112921639643</v>
      </c>
      <c r="I1090" s="9">
        <f>'1_Du_lieu'!T476</f>
        <v>0.44036697247706424</v>
      </c>
      <c r="J1090" s="9">
        <f>'1_Du_lieu'!Y476</f>
        <v>6.0100409326809174</v>
      </c>
      <c r="K1090" s="5">
        <f t="shared" si="167"/>
        <v>0</v>
      </c>
      <c r="L1090" s="5">
        <f t="shared" si="168"/>
        <v>0</v>
      </c>
      <c r="M1090" s="5">
        <f t="shared" si="169"/>
        <v>0</v>
      </c>
      <c r="N1090" s="5">
        <f t="shared" si="170"/>
        <v>0</v>
      </c>
      <c r="O1090" s="5">
        <f t="shared" si="171"/>
        <v>0</v>
      </c>
      <c r="P1090" s="5">
        <f t="shared" si="172"/>
        <v>1</v>
      </c>
    </row>
    <row r="1091" spans="1:16" x14ac:dyDescent="0.25">
      <c r="A1091" t="s">
        <v>122</v>
      </c>
      <c r="B1091">
        <v>2024</v>
      </c>
      <c r="C1091" s="7">
        <f>'1_Du_lieu'!V477</f>
        <v>2.5649493574615367</v>
      </c>
      <c r="D1091" s="9">
        <f>'1_Du_lieu'!W477</f>
        <v>4.133565275375382</v>
      </c>
      <c r="E1091" s="9">
        <f>'1_Du_lieu'!L477</f>
        <v>3.44</v>
      </c>
      <c r="F1091" s="9">
        <f>'1_Du_lieu'!M477</f>
        <v>23.62</v>
      </c>
      <c r="G1091" s="9">
        <f>'1_Du_lieu'!N477</f>
        <v>29</v>
      </c>
      <c r="H1091" s="9">
        <f>'1_Du_lieu'!X477</f>
        <v>2.2984734576914283</v>
      </c>
      <c r="I1091" s="9">
        <f>'1_Du_lieu'!T477</f>
        <v>0.98280098280098283</v>
      </c>
      <c r="J1091" s="9">
        <f>'1_Du_lieu'!Y477</f>
        <v>6.4515756563294717</v>
      </c>
      <c r="K1091" s="5">
        <f t="shared" si="167"/>
        <v>0</v>
      </c>
      <c r="L1091" s="5">
        <f t="shared" si="168"/>
        <v>0</v>
      </c>
      <c r="M1091" s="5">
        <f t="shared" si="169"/>
        <v>0</v>
      </c>
      <c r="N1091" s="5">
        <f t="shared" si="170"/>
        <v>0</v>
      </c>
      <c r="O1091" s="5">
        <f t="shared" si="171"/>
        <v>0</v>
      </c>
      <c r="P1091" s="5">
        <f t="shared" si="172"/>
        <v>1</v>
      </c>
    </row>
    <row r="1092" spans="1:16" x14ac:dyDescent="0.25">
      <c r="A1092" t="s">
        <v>123</v>
      </c>
      <c r="B1092">
        <v>2024</v>
      </c>
      <c r="C1092" s="7">
        <f>'1_Du_lieu'!V478</f>
        <v>3.2580965380214821</v>
      </c>
      <c r="D1092" s="9">
        <f>'1_Du_lieu'!W478</f>
        <v>4.0724397268340509</v>
      </c>
      <c r="E1092" s="9">
        <f>'1_Du_lieu'!L478</f>
        <v>3.9430000000000001</v>
      </c>
      <c r="F1092" s="9">
        <f>'1_Du_lieu'!M478</f>
        <v>20.48</v>
      </c>
      <c r="G1092" s="9">
        <f>'1_Du_lieu'!N478</f>
        <v>23.8</v>
      </c>
      <c r="H1092" s="9">
        <f>'1_Du_lieu'!X478</f>
        <v>2.3705870819969586</v>
      </c>
      <c r="I1092" s="9">
        <f>'1_Du_lieu'!T478</f>
        <v>1.1614401858304297</v>
      </c>
      <c r="J1092" s="9">
        <f>'1_Du_lieu'!Y478</f>
        <v>7.7445264996249579</v>
      </c>
      <c r="K1092" s="5">
        <f t="shared" si="167"/>
        <v>0</v>
      </c>
      <c r="L1092" s="5">
        <f t="shared" si="168"/>
        <v>0</v>
      </c>
      <c r="M1092" s="5">
        <f t="shared" si="169"/>
        <v>0</v>
      </c>
      <c r="N1092" s="5">
        <f t="shared" si="170"/>
        <v>0</v>
      </c>
      <c r="O1092" s="5">
        <f t="shared" si="171"/>
        <v>0</v>
      </c>
      <c r="P1092" s="5">
        <f t="shared" si="172"/>
        <v>1</v>
      </c>
    </row>
    <row r="1093" spans="1:16" x14ac:dyDescent="0.25">
      <c r="A1093" t="s">
        <v>124</v>
      </c>
      <c r="B1093">
        <v>2024</v>
      </c>
      <c r="C1093" s="7">
        <f>'1_Du_lieu'!V479</f>
        <v>3.0910424533583161</v>
      </c>
      <c r="D1093" s="9">
        <f>'1_Du_lieu'!W479</f>
        <v>4.1059436980654525</v>
      </c>
      <c r="E1093" s="9">
        <f>'1_Du_lieu'!L479</f>
        <v>4.1280000000000001</v>
      </c>
      <c r="F1093" s="9">
        <f>'1_Du_lieu'!M479</f>
        <v>15.72</v>
      </c>
      <c r="G1093" s="9">
        <f>'1_Du_lieu'!N479</f>
        <v>26.5</v>
      </c>
      <c r="H1093" s="9">
        <f>'1_Du_lieu'!X479</f>
        <v>3.9513035308374196</v>
      </c>
      <c r="I1093" s="9">
        <f>'1_Du_lieu'!T479</f>
        <v>3.5423206520173944</v>
      </c>
      <c r="J1093" s="9">
        <f>'1_Du_lieu'!Y479</f>
        <v>7.4016585235521788</v>
      </c>
      <c r="K1093" s="5">
        <f t="shared" si="167"/>
        <v>0</v>
      </c>
      <c r="L1093" s="5">
        <f t="shared" si="168"/>
        <v>0</v>
      </c>
      <c r="M1093" s="5">
        <f t="shared" si="169"/>
        <v>0</v>
      </c>
      <c r="N1093" s="5">
        <f t="shared" si="170"/>
        <v>0</v>
      </c>
      <c r="O1093" s="5">
        <f t="shared" si="171"/>
        <v>0</v>
      </c>
      <c r="P1093" s="5">
        <f t="shared" si="172"/>
        <v>1</v>
      </c>
    </row>
    <row r="1094" spans="1:16" x14ac:dyDescent="0.25">
      <c r="A1094" t="s">
        <v>125</v>
      </c>
      <c r="B1094">
        <v>2024</v>
      </c>
      <c r="C1094" s="7">
        <f>'1_Du_lieu'!V480</f>
        <v>3.1780538303479458</v>
      </c>
      <c r="D1094" s="9">
        <f>'1_Du_lieu'!W480</f>
        <v>4.5152454784601046</v>
      </c>
      <c r="E1094" s="9">
        <f>'1_Du_lieu'!L480</f>
        <v>5.6769999999999996</v>
      </c>
      <c r="F1094" s="9">
        <f>'1_Du_lieu'!M480</f>
        <v>21.81</v>
      </c>
      <c r="G1094" s="9">
        <f>'1_Du_lieu'!N480</f>
        <v>33.9</v>
      </c>
      <c r="H1094" s="9">
        <f>'1_Du_lieu'!X480</f>
        <v>4.1157324997764873</v>
      </c>
      <c r="I1094" s="9">
        <f>'1_Du_lieu'!T480</f>
        <v>3.3970688149082795</v>
      </c>
      <c r="J1094" s="9">
        <f>'1_Du_lieu'!Y480</f>
        <v>7.4975953896761531</v>
      </c>
      <c r="K1094" s="5">
        <f t="shared" si="167"/>
        <v>0</v>
      </c>
      <c r="L1094" s="5">
        <f t="shared" si="168"/>
        <v>0</v>
      </c>
      <c r="M1094" s="5">
        <f t="shared" si="169"/>
        <v>0</v>
      </c>
      <c r="N1094" s="5">
        <f t="shared" si="170"/>
        <v>0</v>
      </c>
      <c r="O1094" s="5">
        <f t="shared" si="171"/>
        <v>0</v>
      </c>
      <c r="P1094" s="5">
        <f t="shared" si="172"/>
        <v>1</v>
      </c>
    </row>
    <row r="1095" spans="1:16" x14ac:dyDescent="0.25">
      <c r="A1095" t="s">
        <v>126</v>
      </c>
      <c r="B1095">
        <v>2024</v>
      </c>
      <c r="C1095" s="7">
        <f>'1_Du_lieu'!V481</f>
        <v>2.8332133440562162</v>
      </c>
      <c r="D1095" s="9">
        <f>'1_Du_lieu'!W481</f>
        <v>4.5507140001920323</v>
      </c>
      <c r="E1095" s="9">
        <f>'1_Du_lieu'!L481</f>
        <v>5.2469999999999999</v>
      </c>
      <c r="F1095" s="9">
        <f>'1_Du_lieu'!M481</f>
        <v>36.18</v>
      </c>
      <c r="G1095" s="9">
        <f>'1_Du_lieu'!N481</f>
        <v>18.600000000000001</v>
      </c>
      <c r="H1095" s="9">
        <f>'1_Du_lieu'!X481</f>
        <v>2.7565786736801647</v>
      </c>
      <c r="I1095" s="9">
        <f>'1_Du_lieu'!T481</f>
        <v>1.3056960992329034</v>
      </c>
      <c r="J1095" s="9">
        <f>'1_Du_lieu'!Y481</f>
        <v>8.379033964007025</v>
      </c>
      <c r="K1095" s="5">
        <f t="shared" si="167"/>
        <v>0</v>
      </c>
      <c r="L1095" s="5">
        <f t="shared" si="168"/>
        <v>0</v>
      </c>
      <c r="M1095" s="5">
        <f t="shared" si="169"/>
        <v>0</v>
      </c>
      <c r="N1095" s="5">
        <f t="shared" si="170"/>
        <v>0</v>
      </c>
      <c r="O1095" s="5">
        <f t="shared" si="171"/>
        <v>0</v>
      </c>
      <c r="P1095" s="5">
        <f t="shared" si="172"/>
        <v>1</v>
      </c>
    </row>
    <row r="1096" spans="1:16" x14ac:dyDescent="0.25">
      <c r="A1096" t="s">
        <v>127</v>
      </c>
      <c r="B1096">
        <v>2024</v>
      </c>
      <c r="C1096" s="7">
        <f>'1_Du_lieu'!V482</f>
        <v>3.044522437723423</v>
      </c>
      <c r="D1096" s="9">
        <f>'1_Du_lieu'!W482</f>
        <v>4.2918283667557331</v>
      </c>
      <c r="E1096" s="9">
        <f>'1_Du_lieu'!L482</f>
        <v>4.4370000000000003</v>
      </c>
      <c r="F1096" s="9">
        <f>'1_Du_lieu'!M482</f>
        <v>19.52</v>
      </c>
      <c r="G1096" s="9">
        <f>'1_Du_lieu'!N482</f>
        <v>35.200000000000003</v>
      </c>
      <c r="H1096" s="9">
        <f>'1_Du_lieu'!X482</f>
        <v>3.1923093156516198</v>
      </c>
      <c r="I1096" s="9">
        <f>'1_Du_lieu'!T482</f>
        <v>1.230649653474966</v>
      </c>
      <c r="J1096" s="9">
        <f>'1_Du_lieu'!Y482</f>
        <v>7.7511311727887735</v>
      </c>
      <c r="K1096" s="5">
        <f t="shared" si="167"/>
        <v>0</v>
      </c>
      <c r="L1096" s="5">
        <f t="shared" si="168"/>
        <v>0</v>
      </c>
      <c r="M1096" s="5">
        <f t="shared" si="169"/>
        <v>0</v>
      </c>
      <c r="N1096" s="5">
        <f t="shared" si="170"/>
        <v>0</v>
      </c>
      <c r="O1096" s="5">
        <f t="shared" si="171"/>
        <v>0</v>
      </c>
      <c r="P1096" s="5">
        <f t="shared" si="172"/>
        <v>1</v>
      </c>
    </row>
    <row r="1097" spans="1:16" x14ac:dyDescent="0.25">
      <c r="A1097" t="s">
        <v>128</v>
      </c>
      <c r="B1097">
        <v>2024</v>
      </c>
      <c r="C1097" s="7">
        <f>'1_Du_lieu'!V483</f>
        <v>2.7725887222397811</v>
      </c>
      <c r="D1097" s="9">
        <f>'1_Du_lieu'!W483</f>
        <v>4.2224445648494164</v>
      </c>
      <c r="E1097" s="9">
        <f>'1_Du_lieu'!L483</f>
        <v>3.9340000000000002</v>
      </c>
      <c r="F1097" s="9">
        <f>'1_Du_lieu'!M483</f>
        <v>33</v>
      </c>
      <c r="G1097" s="9">
        <f>'1_Du_lieu'!N483</f>
        <v>23.9</v>
      </c>
      <c r="H1097" s="9">
        <f>'1_Du_lieu'!X483</f>
        <v>2.6120265570220109</v>
      </c>
      <c r="I1097" s="9">
        <f>'1_Du_lieu'!T483</f>
        <v>0.45187528242205149</v>
      </c>
      <c r="J1097" s="9">
        <f>'1_Du_lieu'!Y483</f>
        <v>7.6383909039530744</v>
      </c>
      <c r="K1097" s="5">
        <f t="shared" si="167"/>
        <v>0</v>
      </c>
      <c r="L1097" s="5">
        <f t="shared" si="168"/>
        <v>0</v>
      </c>
      <c r="M1097" s="5">
        <f t="shared" si="169"/>
        <v>0</v>
      </c>
      <c r="N1097" s="5">
        <f t="shared" si="170"/>
        <v>0</v>
      </c>
      <c r="O1097" s="5">
        <f t="shared" si="171"/>
        <v>0</v>
      </c>
      <c r="P1097" s="5">
        <f t="shared" si="172"/>
        <v>1</v>
      </c>
    </row>
    <row r="1098" spans="1:16" x14ac:dyDescent="0.25">
      <c r="A1098" t="s">
        <v>129</v>
      </c>
      <c r="B1098">
        <v>2024</v>
      </c>
      <c r="C1098" s="7">
        <f>'1_Du_lieu'!V484</f>
        <v>2.8332133440562162</v>
      </c>
      <c r="D1098" s="9">
        <f>'1_Du_lieu'!W484</f>
        <v>4.169761201506855</v>
      </c>
      <c r="E1098" s="9">
        <f>'1_Du_lieu'!L484</f>
        <v>5.6120000000000001</v>
      </c>
      <c r="F1098" s="9">
        <f>'1_Du_lieu'!M484</f>
        <v>23.5</v>
      </c>
      <c r="G1098" s="9">
        <f>'1_Du_lieu'!N484</f>
        <v>28.4</v>
      </c>
      <c r="H1098" s="9">
        <f>'1_Du_lieu'!X484</f>
        <v>3.5835880200760712</v>
      </c>
      <c r="I1098" s="9">
        <f>'1_Du_lieu'!T484</f>
        <v>0.97318339100346019</v>
      </c>
      <c r="J1098" s="9">
        <f>'1_Du_lieu'!Y484</f>
        <v>7.0968041565255184</v>
      </c>
      <c r="K1098" s="5">
        <f t="shared" si="167"/>
        <v>0</v>
      </c>
      <c r="L1098" s="5">
        <f t="shared" si="168"/>
        <v>0</v>
      </c>
      <c r="M1098" s="5">
        <f t="shared" si="169"/>
        <v>0</v>
      </c>
      <c r="N1098" s="5">
        <f t="shared" si="170"/>
        <v>0</v>
      </c>
      <c r="O1098" s="5">
        <f t="shared" si="171"/>
        <v>0</v>
      </c>
      <c r="P1098" s="5">
        <f t="shared" si="172"/>
        <v>1</v>
      </c>
    </row>
    <row r="1099" spans="1:16" x14ac:dyDescent="0.25">
      <c r="A1099" t="s">
        <v>130</v>
      </c>
      <c r="B1099">
        <v>2024</v>
      </c>
      <c r="C1099" s="7">
        <f>'1_Du_lieu'!V485</f>
        <v>2.9957322735539909</v>
      </c>
      <c r="D1099" s="9">
        <f>'1_Du_lieu'!W485</f>
        <v>4.4200447018614026</v>
      </c>
      <c r="E1099" s="9">
        <f>'1_Du_lieu'!L485</f>
        <v>5.468</v>
      </c>
      <c r="F1099" s="9">
        <f>'1_Du_lieu'!M485</f>
        <v>30.75</v>
      </c>
      <c r="G1099" s="9">
        <f>'1_Du_lieu'!N485</f>
        <v>28.5</v>
      </c>
      <c r="H1099" s="9">
        <f>'1_Du_lieu'!X485</f>
        <v>2.6971526851914871</v>
      </c>
      <c r="I1099" s="9">
        <f>'1_Du_lieu'!T485</f>
        <v>0.19431310318025777</v>
      </c>
      <c r="J1099" s="9">
        <f>'1_Du_lieu'!Y485</f>
        <v>8.3375879421165102</v>
      </c>
      <c r="K1099" s="5">
        <f t="shared" si="167"/>
        <v>0</v>
      </c>
      <c r="L1099" s="5">
        <f t="shared" si="168"/>
        <v>0</v>
      </c>
      <c r="M1099" s="5">
        <f t="shared" si="169"/>
        <v>0</v>
      </c>
      <c r="N1099" s="5">
        <f t="shared" si="170"/>
        <v>0</v>
      </c>
      <c r="O1099" s="5">
        <f t="shared" si="171"/>
        <v>0</v>
      </c>
      <c r="P1099" s="5">
        <f t="shared" si="172"/>
        <v>1</v>
      </c>
    </row>
    <row r="1100" spans="1:16" x14ac:dyDescent="0.25">
      <c r="A1100" t="s">
        <v>131</v>
      </c>
      <c r="B1100">
        <v>2024</v>
      </c>
      <c r="C1100" s="7">
        <f>'1_Du_lieu'!V486</f>
        <v>2.8332133440562162</v>
      </c>
      <c r="D1100" s="9">
        <f>'1_Du_lieu'!W486</f>
        <v>4.6472713620067267</v>
      </c>
      <c r="E1100" s="9">
        <f>'1_Du_lieu'!L486</f>
        <v>4.4930000000000003</v>
      </c>
      <c r="F1100" s="9">
        <f>'1_Du_lieu'!M486</f>
        <v>22.3</v>
      </c>
      <c r="G1100" s="9">
        <f>'1_Du_lieu'!N486</f>
        <v>27.4</v>
      </c>
      <c r="H1100" s="9">
        <f>'1_Du_lieu'!X486</f>
        <v>2.6075957169644401</v>
      </c>
      <c r="I1100" s="9">
        <f>'1_Du_lieu'!T486</f>
        <v>0.79371378680847671</v>
      </c>
      <c r="J1100" s="9">
        <f>'1_Du_lieu'!Y486</f>
        <v>7.5643422042302797</v>
      </c>
      <c r="K1100" s="5">
        <f t="shared" si="167"/>
        <v>0</v>
      </c>
      <c r="L1100" s="5">
        <f t="shared" si="168"/>
        <v>0</v>
      </c>
      <c r="M1100" s="5">
        <f t="shared" si="169"/>
        <v>0</v>
      </c>
      <c r="N1100" s="5">
        <f t="shared" si="170"/>
        <v>0</v>
      </c>
      <c r="O1100" s="5">
        <f t="shared" si="171"/>
        <v>0</v>
      </c>
      <c r="P1100" s="5">
        <f t="shared" si="172"/>
        <v>1</v>
      </c>
    </row>
    <row r="1101" spans="1:16" x14ac:dyDescent="0.25">
      <c r="A1101" t="s">
        <v>132</v>
      </c>
      <c r="B1101">
        <v>2024</v>
      </c>
      <c r="C1101" s="7">
        <f>'1_Du_lieu'!V487</f>
        <v>3.2580965380214821</v>
      </c>
      <c r="D1101" s="9">
        <f>'1_Du_lieu'!W487</f>
        <v>5.4557483744968653</v>
      </c>
      <c r="E1101" s="9">
        <f>'1_Du_lieu'!L487</f>
        <v>7.7060000000000004</v>
      </c>
      <c r="F1101" s="9">
        <f>'1_Du_lieu'!M487</f>
        <v>69.34</v>
      </c>
      <c r="G1101" s="9">
        <f>'1_Du_lieu'!N487</f>
        <v>42.4</v>
      </c>
      <c r="H1101" s="9">
        <f>'1_Du_lieu'!X487</f>
        <v>4.2224025653807038</v>
      </c>
      <c r="I1101" s="9">
        <f>'1_Du_lieu'!T487</f>
        <v>2.3630504833512354</v>
      </c>
      <c r="J1101" s="9">
        <f>'1_Du_lieu'!Y487</f>
        <v>9.3590275827711498</v>
      </c>
      <c r="K1101" s="5">
        <f t="shared" si="167"/>
        <v>0</v>
      </c>
      <c r="L1101" s="5">
        <f t="shared" si="168"/>
        <v>0</v>
      </c>
      <c r="M1101" s="5">
        <f t="shared" si="169"/>
        <v>0</v>
      </c>
      <c r="N1101" s="5">
        <f t="shared" si="170"/>
        <v>0</v>
      </c>
      <c r="O1101" s="5">
        <f t="shared" si="171"/>
        <v>0</v>
      </c>
      <c r="P1101" s="5">
        <f t="shared" si="172"/>
        <v>1</v>
      </c>
    </row>
    <row r="1102" spans="1:16" x14ac:dyDescent="0.25">
      <c r="A1102" t="s">
        <v>133</v>
      </c>
      <c r="B1102">
        <v>2024</v>
      </c>
      <c r="C1102" s="7">
        <f>'1_Du_lieu'!V488</f>
        <v>2.8332133440562162</v>
      </c>
      <c r="D1102" s="9">
        <f>'1_Du_lieu'!W488</f>
        <v>4.3438054218536841</v>
      </c>
      <c r="E1102" s="9">
        <f>'1_Du_lieu'!L488</f>
        <v>5.0620000000000003</v>
      </c>
      <c r="F1102" s="9">
        <f>'1_Du_lieu'!M488</f>
        <v>32.770000000000003</v>
      </c>
      <c r="G1102" s="9">
        <f>'1_Du_lieu'!N488</f>
        <v>30</v>
      </c>
      <c r="H1102" s="9">
        <f>'1_Du_lieu'!X488</f>
        <v>3.0647949241597212</v>
      </c>
      <c r="I1102" s="9">
        <f>'1_Du_lieu'!T488</f>
        <v>6.2196601941747565</v>
      </c>
      <c r="J1102" s="9">
        <f>'1_Du_lieu'!Y488</f>
        <v>8.2894641427603997</v>
      </c>
      <c r="K1102" s="5">
        <f t="shared" si="167"/>
        <v>0</v>
      </c>
      <c r="L1102" s="5">
        <f t="shared" si="168"/>
        <v>0</v>
      </c>
      <c r="M1102" s="5">
        <f t="shared" si="169"/>
        <v>0</v>
      </c>
      <c r="N1102" s="5">
        <f t="shared" si="170"/>
        <v>0</v>
      </c>
      <c r="O1102" s="5">
        <f t="shared" si="171"/>
        <v>0</v>
      </c>
      <c r="P1102" s="5">
        <f t="shared" si="172"/>
        <v>1</v>
      </c>
    </row>
    <row r="1103" spans="1:16" x14ac:dyDescent="0.25">
      <c r="A1103" t="s">
        <v>134</v>
      </c>
      <c r="B1103">
        <v>2024</v>
      </c>
      <c r="C1103" s="7">
        <f>'1_Du_lieu'!V489</f>
        <v>2.6390573296152584</v>
      </c>
      <c r="D1103" s="9">
        <f>'1_Du_lieu'!W489</f>
        <v>4.1835756959500436</v>
      </c>
      <c r="E1103" s="9">
        <f>'1_Du_lieu'!L489</f>
        <v>2.452</v>
      </c>
      <c r="F1103" s="9">
        <f>'1_Du_lieu'!M489</f>
        <v>34.11</v>
      </c>
      <c r="G1103" s="9">
        <f>'1_Du_lieu'!N489</f>
        <v>12.9</v>
      </c>
      <c r="H1103" s="9">
        <f>'1_Du_lieu'!X489</f>
        <v>1.9109703593385061</v>
      </c>
      <c r="I1103" s="9">
        <f>'1_Du_lieu'!T489</f>
        <v>3.8994441217954035</v>
      </c>
      <c r="J1103" s="9">
        <f>'1_Du_lieu'!Y489</f>
        <v>5.9215784196438159</v>
      </c>
      <c r="K1103" s="5">
        <f t="shared" si="167"/>
        <v>0</v>
      </c>
      <c r="L1103" s="5">
        <f t="shared" si="168"/>
        <v>0</v>
      </c>
      <c r="M1103" s="5">
        <f t="shared" si="169"/>
        <v>0</v>
      </c>
      <c r="N1103" s="5">
        <f t="shared" si="170"/>
        <v>0</v>
      </c>
      <c r="O1103" s="5">
        <f t="shared" si="171"/>
        <v>0</v>
      </c>
      <c r="P1103" s="5">
        <f t="shared" si="172"/>
        <v>1</v>
      </c>
    </row>
    <row r="1104" spans="1:16" x14ac:dyDescent="0.25">
      <c r="A1104" t="s">
        <v>136</v>
      </c>
      <c r="B1104">
        <v>2024</v>
      </c>
      <c r="C1104" s="7">
        <f>'1_Du_lieu'!V491</f>
        <v>4.4659081186545837</v>
      </c>
      <c r="D1104" s="9">
        <f>'1_Du_lieu'!W491</f>
        <v>5.2187328872051939</v>
      </c>
      <c r="E1104" s="9">
        <f>'1_Du_lieu'!L491</f>
        <v>28.277999999999999</v>
      </c>
      <c r="F1104" s="9">
        <f>'1_Du_lieu'!M491</f>
        <v>77.84</v>
      </c>
      <c r="G1104" s="9">
        <f>'1_Du_lieu'!N491</f>
        <v>37.5</v>
      </c>
      <c r="H1104" s="9">
        <f>'1_Du_lieu'!X491</f>
        <v>2.7320389062615984</v>
      </c>
      <c r="I1104" s="9">
        <f>'1_Du_lieu'!T491</f>
        <v>3.4054235299048572</v>
      </c>
      <c r="J1104" s="9">
        <f>'1_Du_lieu'!Y491</f>
        <v>8.728846987571476</v>
      </c>
      <c r="K1104" s="5">
        <f t="shared" si="167"/>
        <v>0</v>
      </c>
      <c r="L1104" s="5">
        <f t="shared" si="168"/>
        <v>0</v>
      </c>
      <c r="M1104" s="5">
        <f t="shared" si="169"/>
        <v>0</v>
      </c>
      <c r="N1104" s="5">
        <f t="shared" si="170"/>
        <v>0</v>
      </c>
      <c r="O1104" s="5">
        <f t="shared" si="171"/>
        <v>0</v>
      </c>
      <c r="P1104" s="5">
        <f t="shared" si="172"/>
        <v>1</v>
      </c>
    </row>
    <row r="1105" spans="1:16" x14ac:dyDescent="0.25">
      <c r="A1105" t="s">
        <v>137</v>
      </c>
      <c r="B1105">
        <v>2024</v>
      </c>
      <c r="C1105" s="7">
        <f>'1_Du_lieu'!V492</f>
        <v>3.1354942159291497</v>
      </c>
      <c r="D1105" s="9">
        <f>'1_Du_lieu'!W492</f>
        <v>4.3981460165537651</v>
      </c>
      <c r="E1105" s="9">
        <f>'1_Du_lieu'!L492</f>
        <v>4.4729999999999999</v>
      </c>
      <c r="F1105" s="9">
        <f>'1_Du_lieu'!M492</f>
        <v>28.11</v>
      </c>
      <c r="G1105" s="9">
        <f>'1_Du_lieu'!N492</f>
        <v>27.9</v>
      </c>
      <c r="H1105" s="9">
        <f>'1_Du_lieu'!X492</f>
        <v>3.0315516050419387</v>
      </c>
      <c r="I1105" s="9">
        <f>'1_Du_lieu'!T492</f>
        <v>0.77041602465331283</v>
      </c>
      <c r="J1105" s="9">
        <f>'1_Du_lieu'!Y492</f>
        <v>8.3268313983763704</v>
      </c>
      <c r="K1105" s="5">
        <f t="shared" si="167"/>
        <v>0</v>
      </c>
      <c r="L1105" s="5">
        <f t="shared" si="168"/>
        <v>0</v>
      </c>
      <c r="M1105" s="5">
        <f t="shared" si="169"/>
        <v>0</v>
      </c>
      <c r="N1105" s="5">
        <f t="shared" si="170"/>
        <v>0</v>
      </c>
      <c r="O1105" s="5">
        <f t="shared" si="171"/>
        <v>0</v>
      </c>
      <c r="P1105" s="5">
        <f t="shared" si="172"/>
        <v>1</v>
      </c>
    </row>
    <row r="1106" spans="1:16" x14ac:dyDescent="0.25">
      <c r="A1106" t="s">
        <v>138</v>
      </c>
      <c r="B1106">
        <v>2024</v>
      </c>
      <c r="C1106" s="7">
        <f>'1_Du_lieu'!V493</f>
        <v>3.0910424533583161</v>
      </c>
      <c r="D1106" s="9">
        <f>'1_Du_lieu'!W493</f>
        <v>4.2326561780196128</v>
      </c>
      <c r="E1106" s="9">
        <f>'1_Du_lieu'!L493</f>
        <v>3.673</v>
      </c>
      <c r="F1106" s="9">
        <f>'1_Du_lieu'!M493</f>
        <v>11.88</v>
      </c>
      <c r="G1106" s="9">
        <f>'1_Du_lieu'!N493</f>
        <v>23.9</v>
      </c>
      <c r="H1106" s="9">
        <f>'1_Du_lieu'!X493</f>
        <v>2.0788859493644658</v>
      </c>
      <c r="I1106" s="9">
        <f>'1_Du_lieu'!T493</f>
        <v>0.89928057553956831</v>
      </c>
      <c r="J1106" s="9">
        <f>'1_Du_lieu'!Y493</f>
        <v>8.0432457957366807</v>
      </c>
      <c r="K1106" s="5">
        <f t="shared" si="167"/>
        <v>0</v>
      </c>
      <c r="L1106" s="5">
        <f t="shared" si="168"/>
        <v>0</v>
      </c>
      <c r="M1106" s="5">
        <f t="shared" si="169"/>
        <v>0</v>
      </c>
      <c r="N1106" s="5">
        <f t="shared" si="170"/>
        <v>0</v>
      </c>
      <c r="O1106" s="5">
        <f t="shared" si="171"/>
        <v>0</v>
      </c>
      <c r="P1106" s="5">
        <f t="shared" si="172"/>
        <v>1</v>
      </c>
    </row>
    <row r="1107" spans="1:16" x14ac:dyDescent="0.25">
      <c r="A1107" t="s">
        <v>139</v>
      </c>
      <c r="B1107">
        <v>2024</v>
      </c>
      <c r="C1107" s="7">
        <f>'1_Du_lieu'!V494</f>
        <v>2.9957322735539909</v>
      </c>
      <c r="D1107" s="9">
        <f>'1_Du_lieu'!W494</f>
        <v>4.7405748229942946</v>
      </c>
      <c r="E1107" s="9">
        <f>'1_Du_lieu'!L494</f>
        <v>4.4560000000000004</v>
      </c>
      <c r="F1107" s="9">
        <f>'1_Du_lieu'!M494</f>
        <v>40.729999999999997</v>
      </c>
      <c r="G1107" s="9">
        <f>'1_Du_lieu'!N494</f>
        <v>38.1</v>
      </c>
      <c r="H1107" s="9">
        <f>'1_Du_lieu'!X494</f>
        <v>3.7905172932687372</v>
      </c>
      <c r="I1107" s="9">
        <f>'1_Du_lieu'!T494</f>
        <v>1.1719894520949312</v>
      </c>
      <c r="J1107" s="9">
        <f>'1_Du_lieu'!Y494</f>
        <v>8.9982974797328783</v>
      </c>
      <c r="K1107" s="5">
        <f t="shared" si="167"/>
        <v>0</v>
      </c>
      <c r="L1107" s="5">
        <f t="shared" si="168"/>
        <v>0</v>
      </c>
      <c r="M1107" s="5">
        <f t="shared" si="169"/>
        <v>0</v>
      </c>
      <c r="N1107" s="5">
        <f t="shared" si="170"/>
        <v>0</v>
      </c>
      <c r="O1107" s="5">
        <f t="shared" si="171"/>
        <v>0</v>
      </c>
      <c r="P1107" s="5">
        <f t="shared" si="172"/>
        <v>1</v>
      </c>
    </row>
    <row r="1108" spans="1:16" x14ac:dyDescent="0.25">
      <c r="A1108" t="s">
        <v>141</v>
      </c>
      <c r="B1108">
        <v>2024</v>
      </c>
      <c r="C1108" s="7">
        <f>'1_Du_lieu'!V496</f>
        <v>2.8332133440562162</v>
      </c>
      <c r="D1108" s="9">
        <f>'1_Du_lieu'!W496</f>
        <v>4.3412046401536264</v>
      </c>
      <c r="E1108" s="9">
        <f>'1_Du_lieu'!L496</f>
        <v>3.3769999999999998</v>
      </c>
      <c r="F1108" s="9">
        <f>'1_Du_lieu'!M496</f>
        <v>16.850000000000001</v>
      </c>
      <c r="G1108" s="9">
        <f>'1_Du_lieu'!N496</f>
        <v>15.3</v>
      </c>
      <c r="H1108" s="9">
        <f>'1_Du_lieu'!X496</f>
        <v>0.72374167202848938</v>
      </c>
      <c r="I1108" s="9">
        <f>'1_Du_lieu'!T496</f>
        <v>0.890818996715105</v>
      </c>
      <c r="J1108" s="9">
        <f>'1_Du_lieu'!Y496</f>
        <v>7.4226725206513811</v>
      </c>
      <c r="K1108" s="5">
        <f t="shared" si="167"/>
        <v>0</v>
      </c>
      <c r="L1108" s="5">
        <f t="shared" si="168"/>
        <v>0</v>
      </c>
      <c r="M1108" s="5">
        <f t="shared" si="169"/>
        <v>0</v>
      </c>
      <c r="N1108" s="5">
        <f t="shared" si="170"/>
        <v>0</v>
      </c>
      <c r="O1108" s="5">
        <f t="shared" si="171"/>
        <v>0</v>
      </c>
      <c r="P1108" s="5">
        <f t="shared" si="172"/>
        <v>1</v>
      </c>
    </row>
    <row r="1109" spans="1:16" x14ac:dyDescent="0.25">
      <c r="A1109" t="s">
        <v>142</v>
      </c>
      <c r="B1109">
        <v>2024</v>
      </c>
      <c r="C1109" s="7">
        <f>'1_Du_lieu'!V497</f>
        <v>2.6390573296152584</v>
      </c>
      <c r="D1109" s="9">
        <f>'1_Du_lieu'!W497</f>
        <v>4.5538768916005408</v>
      </c>
      <c r="E1109" s="9">
        <f>'1_Du_lieu'!L497</f>
        <v>2.7360000000000002</v>
      </c>
      <c r="F1109" s="9">
        <f>'1_Du_lieu'!M497</f>
        <v>18.46</v>
      </c>
      <c r="G1109" s="9">
        <f>'1_Du_lieu'!N497</f>
        <v>17.399999999999999</v>
      </c>
      <c r="H1109" s="9">
        <f>'1_Du_lieu'!X497</f>
        <v>2.1194779948103237</v>
      </c>
      <c r="I1109" s="9">
        <f>'1_Du_lieu'!T497</f>
        <v>0.8789920890711983</v>
      </c>
      <c r="J1109" s="9">
        <f>'1_Du_lieu'!Y497</f>
        <v>8.0470295493691371</v>
      </c>
      <c r="K1109" s="5">
        <f t="shared" si="167"/>
        <v>0</v>
      </c>
      <c r="L1109" s="5">
        <f t="shared" si="168"/>
        <v>0</v>
      </c>
      <c r="M1109" s="5">
        <f t="shared" si="169"/>
        <v>0</v>
      </c>
      <c r="N1109" s="5">
        <f t="shared" si="170"/>
        <v>0</v>
      </c>
      <c r="O1109" s="5">
        <f t="shared" si="171"/>
        <v>0</v>
      </c>
      <c r="P1109" s="5">
        <f t="shared" si="172"/>
        <v>1</v>
      </c>
    </row>
    <row r="1110" spans="1:16" x14ac:dyDescent="0.25">
      <c r="A1110" t="s">
        <v>143</v>
      </c>
      <c r="B1110">
        <v>2024</v>
      </c>
      <c r="C1110" s="7">
        <f>'1_Du_lieu'!V498</f>
        <v>2.5649493574615367</v>
      </c>
      <c r="D1110" s="9">
        <f>'1_Du_lieu'!W498</f>
        <v>4.0943445622221004</v>
      </c>
      <c r="E1110" s="9">
        <f>'1_Du_lieu'!L498</f>
        <v>2.3330000000000002</v>
      </c>
      <c r="F1110" s="9">
        <f>'1_Du_lieu'!M498</f>
        <v>19.41</v>
      </c>
      <c r="G1110" s="9">
        <f>'1_Du_lieu'!N498</f>
        <v>22.5</v>
      </c>
      <c r="H1110" s="9">
        <f>'1_Du_lieu'!X498</f>
        <v>3.5099812641148551</v>
      </c>
      <c r="I1110" s="9">
        <f>'1_Du_lieu'!T498</f>
        <v>0.7314397171766428</v>
      </c>
      <c r="J1110" s="9">
        <f>'1_Du_lieu'!Y498</f>
        <v>5.7071102647488754</v>
      </c>
      <c r="K1110" s="5">
        <f t="shared" si="167"/>
        <v>0</v>
      </c>
      <c r="L1110" s="5">
        <f t="shared" si="168"/>
        <v>0</v>
      </c>
      <c r="M1110" s="5">
        <f t="shared" si="169"/>
        <v>0</v>
      </c>
      <c r="N1110" s="5">
        <f t="shared" si="170"/>
        <v>0</v>
      </c>
      <c r="O1110" s="5">
        <f t="shared" si="171"/>
        <v>0</v>
      </c>
      <c r="P1110" s="5">
        <f t="shared" si="172"/>
        <v>1</v>
      </c>
    </row>
    <row r="1111" spans="1:16" x14ac:dyDescent="0.25">
      <c r="A1111" t="s">
        <v>144</v>
      </c>
      <c r="B1111">
        <v>2024</v>
      </c>
      <c r="C1111" s="7">
        <f>'1_Du_lieu'!V499</f>
        <v>2.9444389791664403</v>
      </c>
      <c r="D1111" s="9">
        <f>'1_Du_lieu'!W499</f>
        <v>4.6405373298253823</v>
      </c>
      <c r="E1111" s="9">
        <f>'1_Du_lieu'!L499</f>
        <v>4.3609999999999998</v>
      </c>
      <c r="F1111" s="9">
        <f>'1_Du_lieu'!M499</f>
        <v>32.57</v>
      </c>
      <c r="G1111" s="9">
        <f>'1_Du_lieu'!N499</f>
        <v>20.100000000000001</v>
      </c>
      <c r="H1111" s="9">
        <f>'1_Du_lieu'!X499</f>
        <v>2.833042160172516</v>
      </c>
      <c r="I1111" s="9">
        <f>'1_Du_lieu'!T499</f>
        <v>1.1639507815098105</v>
      </c>
      <c r="J1111" s="9">
        <f>'1_Du_lieu'!Y499</f>
        <v>9.0344620131290867</v>
      </c>
      <c r="K1111" s="5">
        <f t="shared" si="167"/>
        <v>0</v>
      </c>
      <c r="L1111" s="5">
        <f t="shared" si="168"/>
        <v>0</v>
      </c>
      <c r="M1111" s="5">
        <f t="shared" si="169"/>
        <v>0</v>
      </c>
      <c r="N1111" s="5">
        <f t="shared" si="170"/>
        <v>0</v>
      </c>
      <c r="O1111" s="5">
        <f t="shared" si="171"/>
        <v>0</v>
      </c>
      <c r="P1111" s="5">
        <f t="shared" si="172"/>
        <v>1</v>
      </c>
    </row>
    <row r="1112" spans="1:16" x14ac:dyDescent="0.25">
      <c r="A1112" t="s">
        <v>145</v>
      </c>
      <c r="B1112">
        <v>2024</v>
      </c>
      <c r="C1112" s="7">
        <f>'1_Du_lieu'!V500</f>
        <v>2.6390573296152584</v>
      </c>
      <c r="D1112" s="9">
        <f>'1_Du_lieu'!W500</f>
        <v>4.3932138240644463</v>
      </c>
      <c r="E1112" s="9">
        <f>'1_Du_lieu'!L500</f>
        <v>3.0339999999999998</v>
      </c>
      <c r="F1112" s="9">
        <f>'1_Du_lieu'!M500</f>
        <v>22.92</v>
      </c>
      <c r="G1112" s="9">
        <f>'1_Du_lieu'!N500</f>
        <v>17.100000000000001</v>
      </c>
      <c r="H1112" s="9">
        <f>'1_Du_lieu'!X500</f>
        <v>0.73663024134596156</v>
      </c>
      <c r="I1112" s="9">
        <f>'1_Du_lieu'!T500</f>
        <v>0.67482888267617858</v>
      </c>
      <c r="J1112" s="9">
        <f>'1_Du_lieu'!Y500</f>
        <v>6.9775611532260999</v>
      </c>
      <c r="K1112" s="5">
        <f t="shared" si="167"/>
        <v>0</v>
      </c>
      <c r="L1112" s="5">
        <f t="shared" si="168"/>
        <v>0</v>
      </c>
      <c r="M1112" s="5">
        <f t="shared" si="169"/>
        <v>0</v>
      </c>
      <c r="N1112" s="5">
        <f t="shared" si="170"/>
        <v>0</v>
      </c>
      <c r="O1112" s="5">
        <f t="shared" si="171"/>
        <v>0</v>
      </c>
      <c r="P1112" s="5">
        <f t="shared" si="172"/>
        <v>1</v>
      </c>
    </row>
    <row r="1113" spans="1:16" x14ac:dyDescent="0.25">
      <c r="A1113" t="s">
        <v>146</v>
      </c>
      <c r="B1113">
        <v>2024</v>
      </c>
      <c r="C1113" s="7">
        <f>'1_Du_lieu'!V501</f>
        <v>3.1780538303479458</v>
      </c>
      <c r="D1113" s="9">
        <f>'1_Du_lieu'!W501</f>
        <v>4.9494688588587685</v>
      </c>
      <c r="E1113" s="9">
        <f>'1_Du_lieu'!L501</f>
        <v>8.3569999999999993</v>
      </c>
      <c r="F1113" s="9">
        <f>'1_Du_lieu'!M501</f>
        <v>34</v>
      </c>
      <c r="G1113" s="9">
        <f>'1_Du_lieu'!N501</f>
        <v>37.299999999999997</v>
      </c>
      <c r="H1113" s="9">
        <f>'1_Du_lieu'!X501</f>
        <v>3.1825494093573443</v>
      </c>
      <c r="I1113" s="9">
        <f>'1_Du_lieu'!T501</f>
        <v>0.73451399657226801</v>
      </c>
      <c r="J1113" s="9">
        <f>'1_Du_lieu'!Y501</f>
        <v>8.7034901690763391</v>
      </c>
      <c r="K1113" s="5">
        <f t="shared" si="167"/>
        <v>0</v>
      </c>
      <c r="L1113" s="5">
        <f t="shared" si="168"/>
        <v>0</v>
      </c>
      <c r="M1113" s="5">
        <f t="shared" si="169"/>
        <v>0</v>
      </c>
      <c r="N1113" s="5">
        <f t="shared" si="170"/>
        <v>0</v>
      </c>
      <c r="O1113" s="5">
        <f t="shared" si="171"/>
        <v>0</v>
      </c>
      <c r="P1113" s="5">
        <f t="shared" si="172"/>
        <v>1</v>
      </c>
    </row>
    <row r="1114" spans="1:16" x14ac:dyDescent="0.25">
      <c r="A1114" t="s">
        <v>147</v>
      </c>
      <c r="B1114">
        <v>2024</v>
      </c>
      <c r="C1114" s="7">
        <f>'1_Du_lieu'!V502</f>
        <v>2.6390573296152584</v>
      </c>
      <c r="D1114" s="9">
        <f>'1_Du_lieu'!W502</f>
        <v>4.0127729085282891</v>
      </c>
      <c r="E1114" s="9">
        <f>'1_Du_lieu'!L502</f>
        <v>2.66</v>
      </c>
      <c r="F1114" s="9">
        <f>'1_Du_lieu'!M502</f>
        <v>20.97</v>
      </c>
      <c r="G1114" s="9">
        <f>'1_Du_lieu'!N502</f>
        <v>24.2</v>
      </c>
      <c r="H1114" s="9">
        <f>'1_Du_lieu'!X502</f>
        <v>2.9885687777542134</v>
      </c>
      <c r="I1114" s="9">
        <f>'1_Du_lieu'!T502</f>
        <v>0.23137436372049977</v>
      </c>
      <c r="J1114" s="9">
        <f>'1_Du_lieu'!Y502</f>
        <v>6.1588839496498302</v>
      </c>
      <c r="K1114" s="5">
        <f t="shared" si="167"/>
        <v>0</v>
      </c>
      <c r="L1114" s="5">
        <f t="shared" si="168"/>
        <v>0</v>
      </c>
      <c r="M1114" s="5">
        <f t="shared" si="169"/>
        <v>0</v>
      </c>
      <c r="N1114" s="5">
        <f t="shared" si="170"/>
        <v>0</v>
      </c>
      <c r="O1114" s="5">
        <f t="shared" si="171"/>
        <v>0</v>
      </c>
      <c r="P1114" s="5">
        <f t="shared" si="172"/>
        <v>1</v>
      </c>
    </row>
    <row r="1115" spans="1:16" x14ac:dyDescent="0.25">
      <c r="A1115" t="s">
        <v>149</v>
      </c>
      <c r="B1115">
        <v>2024</v>
      </c>
      <c r="C1115" s="7">
        <f>'1_Du_lieu'!V504</f>
        <v>3.8501476017100584</v>
      </c>
      <c r="D1115" s="9">
        <f>'1_Du_lieu'!W504</f>
        <v>4.78164132910387</v>
      </c>
      <c r="E1115" s="9">
        <f>'1_Du_lieu'!L504</f>
        <v>19.88</v>
      </c>
      <c r="F1115" s="9">
        <f>'1_Du_lieu'!M504</f>
        <v>87.81</v>
      </c>
      <c r="G1115" s="9">
        <f>'1_Du_lieu'!N504</f>
        <v>51.3</v>
      </c>
      <c r="H1115" s="9">
        <f>'1_Du_lieu'!X504</f>
        <v>3.7381117507120294</v>
      </c>
      <c r="I1115" s="9">
        <f>'1_Du_lieu'!T504</f>
        <v>6.1912225705329149</v>
      </c>
      <c r="J1115" s="9">
        <f>'1_Du_lieu'!Y504</f>
        <v>8.5779119264509429</v>
      </c>
      <c r="K1115" s="5">
        <f t="shared" si="167"/>
        <v>0</v>
      </c>
      <c r="L1115" s="5">
        <f t="shared" si="168"/>
        <v>0</v>
      </c>
      <c r="M1115" s="5">
        <f t="shared" si="169"/>
        <v>0</v>
      </c>
      <c r="N1115" s="5">
        <f t="shared" si="170"/>
        <v>0</v>
      </c>
      <c r="O1115" s="5">
        <f t="shared" si="171"/>
        <v>0</v>
      </c>
      <c r="P1115" s="5">
        <f t="shared" si="172"/>
        <v>1</v>
      </c>
    </row>
    <row r="1116" spans="1:16" x14ac:dyDescent="0.25">
      <c r="A1116" t="s">
        <v>150</v>
      </c>
      <c r="B1116">
        <v>2024</v>
      </c>
      <c r="C1116" s="7">
        <f>'1_Du_lieu'!V505</f>
        <v>3.1354942159291497</v>
      </c>
      <c r="D1116" s="9">
        <f>'1_Du_lieu'!W505</f>
        <v>4.2835865618606288</v>
      </c>
      <c r="E1116" s="9">
        <f>'1_Du_lieu'!L505</f>
        <v>4.2039999999999997</v>
      </c>
      <c r="F1116" s="9">
        <f>'1_Du_lieu'!M505</f>
        <v>26.09</v>
      </c>
      <c r="G1116" s="9">
        <f>'1_Du_lieu'!N505</f>
        <v>19.600000000000001</v>
      </c>
      <c r="H1116" s="9">
        <f>'1_Du_lieu'!X505</f>
        <v>2.4325319422065355</v>
      </c>
      <c r="I1116" s="9">
        <f>'1_Du_lieu'!T505</f>
        <v>0.56520398725721921</v>
      </c>
      <c r="J1116" s="9">
        <f>'1_Du_lieu'!Y505</f>
        <v>5.9191626353525768</v>
      </c>
      <c r="K1116" s="5">
        <f t="shared" si="167"/>
        <v>0</v>
      </c>
      <c r="L1116" s="5">
        <f t="shared" si="168"/>
        <v>0</v>
      </c>
      <c r="M1116" s="5">
        <f t="shared" si="169"/>
        <v>0</v>
      </c>
      <c r="N1116" s="5">
        <f t="shared" si="170"/>
        <v>0</v>
      </c>
      <c r="O1116" s="5">
        <f t="shared" si="171"/>
        <v>0</v>
      </c>
      <c r="P1116" s="5">
        <f t="shared" si="172"/>
        <v>1</v>
      </c>
    </row>
    <row r="1117" spans="1:16" x14ac:dyDescent="0.25">
      <c r="A1117" t="s">
        <v>151</v>
      </c>
      <c r="B1117">
        <v>2024</v>
      </c>
      <c r="C1117" s="7">
        <f>'1_Du_lieu'!V506</f>
        <v>2.5649493574615367</v>
      </c>
      <c r="D1117" s="9">
        <f>'1_Du_lieu'!W506</f>
        <v>4.4224485491727972</v>
      </c>
      <c r="E1117" s="9">
        <f>'1_Du_lieu'!L506</f>
        <v>3.9870000000000001</v>
      </c>
      <c r="F1117" s="9">
        <f>'1_Du_lieu'!M506</f>
        <v>17.25</v>
      </c>
      <c r="G1117" s="9">
        <f>'1_Du_lieu'!N506</f>
        <v>17.899999999999999</v>
      </c>
      <c r="H1117" s="9">
        <f>'1_Du_lieu'!X506</f>
        <v>1.2043608273535038</v>
      </c>
      <c r="I1117" s="9">
        <f>'1_Du_lieu'!T506</f>
        <v>0.43122035360068989</v>
      </c>
      <c r="J1117" s="9">
        <f>'1_Du_lieu'!Y506</f>
        <v>6.1340485905637747</v>
      </c>
      <c r="K1117" s="5">
        <f t="shared" si="167"/>
        <v>0</v>
      </c>
      <c r="L1117" s="5">
        <f t="shared" si="168"/>
        <v>0</v>
      </c>
      <c r="M1117" s="5">
        <f t="shared" si="169"/>
        <v>0</v>
      </c>
      <c r="N1117" s="5">
        <f t="shared" si="170"/>
        <v>0</v>
      </c>
      <c r="O1117" s="5">
        <f t="shared" si="171"/>
        <v>0</v>
      </c>
      <c r="P1117" s="5">
        <f t="shared" si="172"/>
        <v>1</v>
      </c>
    </row>
    <row r="1118" spans="1:16" x14ac:dyDescent="0.25">
      <c r="A1118" t="s">
        <v>152</v>
      </c>
      <c r="B1118">
        <v>2024</v>
      </c>
      <c r="C1118" s="7">
        <f>'1_Du_lieu'!V507</f>
        <v>3.4011973816621555</v>
      </c>
      <c r="D1118" s="9">
        <f>'1_Du_lieu'!W507</f>
        <v>4.9579375050958063</v>
      </c>
      <c r="E1118" s="9">
        <f>'1_Du_lieu'!L507</f>
        <v>8.23</v>
      </c>
      <c r="F1118" s="9">
        <f>'1_Du_lieu'!M507</f>
        <v>45.36</v>
      </c>
      <c r="G1118" s="9">
        <f>'1_Du_lieu'!N507</f>
        <v>23.7</v>
      </c>
      <c r="H1118" s="9">
        <f>'1_Du_lieu'!X507</f>
        <v>3.0168339051781765</v>
      </c>
      <c r="I1118" s="9">
        <f>'1_Du_lieu'!T507</f>
        <v>0.50514054792892382</v>
      </c>
      <c r="J1118" s="9">
        <f>'1_Du_lieu'!Y507</f>
        <v>9.3201001964686334</v>
      </c>
      <c r="K1118" s="5">
        <f t="shared" si="167"/>
        <v>0</v>
      </c>
      <c r="L1118" s="5">
        <f t="shared" si="168"/>
        <v>0</v>
      </c>
      <c r="M1118" s="5">
        <f t="shared" si="169"/>
        <v>0</v>
      </c>
      <c r="N1118" s="5">
        <f t="shared" si="170"/>
        <v>0</v>
      </c>
      <c r="O1118" s="5">
        <f t="shared" si="171"/>
        <v>0</v>
      </c>
      <c r="P1118" s="5">
        <f t="shared" si="172"/>
        <v>1</v>
      </c>
    </row>
    <row r="1119" spans="1:16" x14ac:dyDescent="0.25">
      <c r="A1119" t="s">
        <v>153</v>
      </c>
      <c r="B1119">
        <v>2024</v>
      </c>
      <c r="C1119" s="7">
        <f>'1_Du_lieu'!V508</f>
        <v>2.9444389791664403</v>
      </c>
      <c r="D1119" s="9">
        <f>'1_Du_lieu'!W508</f>
        <v>4.3412046401536264</v>
      </c>
      <c r="E1119" s="9">
        <f>'1_Du_lieu'!L508</f>
        <v>2.698</v>
      </c>
      <c r="F1119" s="9">
        <f>'1_Du_lieu'!M508</f>
        <v>20.52</v>
      </c>
      <c r="G1119" s="9">
        <f>'1_Du_lieu'!N508</f>
        <v>16.3</v>
      </c>
      <c r="H1119" s="9">
        <f>'1_Du_lieu'!X508</f>
        <v>1.0088433244387667</v>
      </c>
      <c r="I1119" s="9">
        <f>'1_Du_lieu'!T508</f>
        <v>0.81194179001936173</v>
      </c>
      <c r="J1119" s="9">
        <f>'1_Du_lieu'!Y508</f>
        <v>4.9815497132011588</v>
      </c>
      <c r="K1119" s="5">
        <f t="shared" si="167"/>
        <v>0</v>
      </c>
      <c r="L1119" s="5">
        <f t="shared" si="168"/>
        <v>0</v>
      </c>
      <c r="M1119" s="5">
        <f t="shared" si="169"/>
        <v>0</v>
      </c>
      <c r="N1119" s="5">
        <f t="shared" si="170"/>
        <v>0</v>
      </c>
      <c r="O1119" s="5">
        <f t="shared" si="171"/>
        <v>0</v>
      </c>
      <c r="P1119" s="5">
        <f t="shared" si="172"/>
        <v>1</v>
      </c>
    </row>
    <row r="1121" spans="1:7" x14ac:dyDescent="0.25">
      <c r="A1121" s="14" t="s">
        <v>417</v>
      </c>
    </row>
    <row r="1122" spans="1:7" ht="32.1" customHeight="1" x14ac:dyDescent="0.25">
      <c r="A1122" s="3" t="s">
        <v>155</v>
      </c>
      <c r="B1122" s="3" t="s">
        <v>389</v>
      </c>
      <c r="C1122" s="3" t="s">
        <v>390</v>
      </c>
      <c r="D1122" s="3" t="s">
        <v>391</v>
      </c>
      <c r="E1122" s="3" t="s">
        <v>392</v>
      </c>
      <c r="F1122" s="3" t="s">
        <v>393</v>
      </c>
      <c r="G1122" s="3" t="s">
        <v>394</v>
      </c>
    </row>
    <row r="1123" spans="1:7" x14ac:dyDescent="0.25">
      <c r="A1123" t="s">
        <v>74</v>
      </c>
      <c r="B1123" s="12">
        <f>INDEX(LINEST($C$736:$C$1119,$D$736:$P$1119,TRUE,TRUE),1,13)</f>
        <v>4.5187810913508458E-2</v>
      </c>
      <c r="C1123" s="7">
        <f>INDEX(LINEST($C$736:$C$1119,$D$736:$P$1119,TRUE,TRUE),2,13)</f>
        <v>4.3506571550760653E-2</v>
      </c>
      <c r="D1123" s="18">
        <v>7.5383330996300305E-2</v>
      </c>
      <c r="E1123" s="18">
        <v>0.54887927112784285</v>
      </c>
      <c r="F1123" s="5" t="str">
        <f t="shared" ref="F1123:F1136" si="173">IF(E1123="","",IF(E1123&lt;0.01,"***",IF(E1123&lt;0.05,"**",IF(E1123&lt;0.1,"*",""))))</f>
        <v/>
      </c>
      <c r="G1123" s="18">
        <v>4.5187810913510797E-2</v>
      </c>
    </row>
    <row r="1124" spans="1:7" x14ac:dyDescent="0.25">
      <c r="A1124" t="s">
        <v>326</v>
      </c>
      <c r="B1124" s="12">
        <f>INDEX(LINEST($C$736:$C$1119,$D$736:$P$1119,TRUE,TRUE),1,12)</f>
        <v>7.0452939329269978E-2</v>
      </c>
      <c r="C1124" s="7">
        <f>INDEX(LINEST($C$736:$C$1119,$D$736:$P$1119,TRUE,TRUE),2,12)</f>
        <v>3.6261598769086853E-3</v>
      </c>
      <c r="D1124" s="18">
        <v>6.8784232363651001E-3</v>
      </c>
      <c r="E1124" s="18">
        <v>1.2775587092069799E-24</v>
      </c>
      <c r="F1124" s="5" t="str">
        <f t="shared" si="173"/>
        <v>***</v>
      </c>
      <c r="G1124" s="18">
        <v>7.0452939329270298E-2</v>
      </c>
    </row>
    <row r="1125" spans="1:7" x14ac:dyDescent="0.25">
      <c r="A1125" t="s">
        <v>176</v>
      </c>
      <c r="B1125" s="12">
        <f>INDEX(LINEST($C$736:$C$1119,$D$736:$P$1119,TRUE,TRUE),1,11)</f>
        <v>-1.8407569517779865E-3</v>
      </c>
      <c r="C1125" s="7">
        <f>INDEX(LINEST($C$736:$C$1119,$D$736:$P$1119,TRUE,TRUE),2,11)</f>
        <v>9.2457996930260208E-4</v>
      </c>
      <c r="D1125" s="18">
        <v>2.0997959466725999E-3</v>
      </c>
      <c r="E1125" s="18">
        <v>0.38068431887700299</v>
      </c>
      <c r="F1125" s="5" t="str">
        <f t="shared" si="173"/>
        <v/>
      </c>
      <c r="G1125" s="18">
        <v>-1.8407569517777001E-3</v>
      </c>
    </row>
    <row r="1126" spans="1:7" x14ac:dyDescent="0.25">
      <c r="A1126" t="s">
        <v>327</v>
      </c>
      <c r="B1126" s="12">
        <f>INDEX(LINEST($C$736:$C$1119,$D$736:$P$1119,TRUE,TRUE),1,10)</f>
        <v>2.154773027663465E-4</v>
      </c>
      <c r="C1126" s="7">
        <f>INDEX(LINEST($C$736:$C$1119,$D$736:$P$1119,TRUE,TRUE),2,10)</f>
        <v>2.1037482401395379E-3</v>
      </c>
      <c r="D1126" s="18">
        <v>3.5765867129148999E-3</v>
      </c>
      <c r="E1126" s="18">
        <v>0.95195920634008202</v>
      </c>
      <c r="F1126" s="5" t="str">
        <f t="shared" si="173"/>
        <v/>
      </c>
      <c r="G1126" s="18">
        <v>2.1547730276550001E-4</v>
      </c>
    </row>
    <row r="1127" spans="1:7" x14ac:dyDescent="0.25">
      <c r="A1127" t="s">
        <v>380</v>
      </c>
      <c r="B1127" s="12">
        <f>INDEX(LINEST($C$736:$C$1119,$D$736:$P$1119,TRUE,TRUE),1,9)</f>
        <v>4.1661615991954143E-2</v>
      </c>
      <c r="C1127" s="7">
        <f>INDEX(LINEST($C$736:$C$1119,$D$736:$P$1119,TRUE,TRUE),2,9)</f>
        <v>1.3913738002827282E-2</v>
      </c>
      <c r="D1127" s="18">
        <v>2.9093714713504599E-2</v>
      </c>
      <c r="E1127" s="18">
        <v>0.1521495609499495</v>
      </c>
      <c r="F1127" s="5" t="str">
        <f t="shared" si="173"/>
        <v/>
      </c>
      <c r="G1127" s="18">
        <v>4.16616159919544E-2</v>
      </c>
    </row>
    <row r="1128" spans="1:7" x14ac:dyDescent="0.25">
      <c r="A1128" t="s">
        <v>183</v>
      </c>
      <c r="B1128" s="12">
        <f>INDEX(LINEST($C$736:$C$1119,$D$736:$P$1119,TRUE,TRUE),1,8)</f>
        <v>-3.4156282877113336E-2</v>
      </c>
      <c r="C1128" s="7">
        <f>INDEX(LINEST($C$736:$C$1119,$D$736:$P$1119,TRUE,TRUE),2,8)</f>
        <v>9.2635111758469901E-3</v>
      </c>
      <c r="D1128" s="18">
        <v>1.6117271079855101E-2</v>
      </c>
      <c r="E1128" s="18">
        <v>3.4070622780298702E-2</v>
      </c>
      <c r="F1128" s="5" t="str">
        <f t="shared" si="173"/>
        <v>**</v>
      </c>
      <c r="G1128" s="18">
        <v>-3.4156282877113302E-2</v>
      </c>
    </row>
    <row r="1129" spans="1:7" x14ac:dyDescent="0.25">
      <c r="A1129" t="s">
        <v>381</v>
      </c>
      <c r="B1129" s="12">
        <f>INDEX(LINEST($C$736:$C$1119,$D$736:$P$1119,TRUE,TRUE),1,7)</f>
        <v>1.3275925844376597E-2</v>
      </c>
      <c r="C1129" s="7">
        <f>INDEX(LINEST($C$736:$C$1119,$D$736:$P$1119,TRUE,TRUE),2,7)</f>
        <v>9.1797911014441652E-3</v>
      </c>
      <c r="D1129" s="18">
        <v>1.61681377682125E-2</v>
      </c>
      <c r="E1129" s="18">
        <v>0.41157987192526557</v>
      </c>
      <c r="F1129" s="5" t="str">
        <f t="shared" si="173"/>
        <v/>
      </c>
      <c r="G1129" s="18">
        <v>1.3275925844374601E-2</v>
      </c>
    </row>
    <row r="1130" spans="1:7" x14ac:dyDescent="0.25">
      <c r="A1130" t="s">
        <v>418</v>
      </c>
      <c r="B1130" s="12">
        <f>INDEX(LINEST($C$736:$C$1119,$D$736:$P$1119,TRUE,TRUE),1,6)</f>
        <v>4.9801182804093479E-2</v>
      </c>
      <c r="C1130" s="7">
        <f>INDEX(LINEST($C$736:$C$1119,$D$736:$P$1119,TRUE,TRUE),2,6)</f>
        <v>3.5171745541515614E-2</v>
      </c>
      <c r="D1130" s="18">
        <v>8.3470051352900997E-3</v>
      </c>
      <c r="E1130" s="18">
        <v>2.426144563086857E-9</v>
      </c>
      <c r="F1130" s="5" t="str">
        <f t="shared" si="173"/>
        <v>***</v>
      </c>
      <c r="G1130" s="18">
        <v>4.9801182804094901E-2</v>
      </c>
    </row>
    <row r="1131" spans="1:7" x14ac:dyDescent="0.25">
      <c r="A1131" t="s">
        <v>395</v>
      </c>
      <c r="B1131" s="12">
        <f>INDEX(LINEST($C$736:$C$1119,$D$736:$P$1119,TRUE,TRUE),1,5)</f>
        <v>6.9697679540637117E-2</v>
      </c>
      <c r="C1131" s="7">
        <f>INDEX(LINEST($C$736:$C$1119,$D$736:$P$1119,TRUE,TRUE),2,5)</f>
        <v>3.5099909917442232E-2</v>
      </c>
      <c r="D1131" s="18">
        <v>1.24211386158366E-2</v>
      </c>
      <c r="E1131" s="18">
        <v>2.0091093979102071E-8</v>
      </c>
      <c r="F1131" s="5" t="str">
        <f t="shared" si="173"/>
        <v>***</v>
      </c>
      <c r="G1131" s="18">
        <v>6.9697679540638297E-2</v>
      </c>
    </row>
    <row r="1132" spans="1:7" x14ac:dyDescent="0.25">
      <c r="A1132" t="s">
        <v>396</v>
      </c>
      <c r="B1132" s="12">
        <f>INDEX(LINEST($C$736:$C$1119,$D$736:$P$1119,TRUE,TRUE),1,4)</f>
        <v>-1.7327618543423731</v>
      </c>
      <c r="C1132" s="7">
        <f>INDEX(LINEST($C$736:$C$1119,$D$736:$P$1119,TRUE,TRUE),2,4)</f>
        <v>3.5730030838240619E-2</v>
      </c>
      <c r="D1132" s="18">
        <v>4.17224371726444E-2</v>
      </c>
      <c r="E1132" s="18">
        <v>0</v>
      </c>
      <c r="F1132" s="5" t="str">
        <f t="shared" si="173"/>
        <v>***</v>
      </c>
      <c r="G1132" s="18">
        <v>-1.7327618543423731</v>
      </c>
    </row>
    <row r="1133" spans="1:7" x14ac:dyDescent="0.25">
      <c r="A1133" t="s">
        <v>397</v>
      </c>
      <c r="B1133" s="12">
        <f>INDEX(LINEST($C$736:$C$1119,$D$736:$P$1119,TRUE,TRUE),1,3)</f>
        <v>-0.78267536903879353</v>
      </c>
      <c r="C1133" s="7">
        <f>INDEX(LINEST($C$736:$C$1119,$D$736:$P$1119,TRUE,TRUE),2,3)</f>
        <v>3.6186750756857601E-2</v>
      </c>
      <c r="D1133" s="18">
        <v>3.6233573522650199E-2</v>
      </c>
      <c r="E1133" s="18">
        <v>1.7640589015576339E-103</v>
      </c>
      <c r="F1133" s="5" t="str">
        <f t="shared" si="173"/>
        <v>***</v>
      </c>
      <c r="G1133" s="18">
        <v>-0.7826753690387942</v>
      </c>
    </row>
    <row r="1134" spans="1:7" x14ac:dyDescent="0.25">
      <c r="A1134" t="s">
        <v>398</v>
      </c>
      <c r="B1134" s="12">
        <f>INDEX(LINEST($C$736:$C$1119,$D$736:$P$1119,TRUE,TRUE),1,2)</f>
        <v>-0.84879691377706157</v>
      </c>
      <c r="C1134" s="7">
        <f>INDEX(LINEST($C$736:$C$1119,$D$736:$P$1119,TRUE,TRUE),2,2)</f>
        <v>3.6339530957653722E-2</v>
      </c>
      <c r="D1134" s="18">
        <v>3.2455929702358E-2</v>
      </c>
      <c r="E1134" s="18">
        <v>9.2813352758854644E-151</v>
      </c>
      <c r="F1134" s="5" t="str">
        <f t="shared" si="173"/>
        <v>***</v>
      </c>
      <c r="G1134" s="18">
        <v>-0.84879691377706157</v>
      </c>
    </row>
    <row r="1135" spans="1:7" x14ac:dyDescent="0.25">
      <c r="A1135" t="s">
        <v>399</v>
      </c>
      <c r="B1135" s="12">
        <f>INDEX(LINEST($C$736:$C$1119,$D$736:$P$1119,TRUE,TRUE),1,1)</f>
        <v>-0.66436750637611153</v>
      </c>
      <c r="C1135" s="7">
        <f>INDEX(LINEST($C$736:$C$1119,$D$736:$P$1119,TRUE,TRUE),2,1)</f>
        <v>3.7758869954753277E-2</v>
      </c>
      <c r="D1135" s="18">
        <v>3.5484867922893903E-2</v>
      </c>
      <c r="E1135" s="18">
        <v>3.2420002665652572E-78</v>
      </c>
      <c r="F1135" s="5" t="str">
        <f t="shared" si="173"/>
        <v>***</v>
      </c>
      <c r="G1135" s="18">
        <v>-0.66436750637610986</v>
      </c>
    </row>
    <row r="1136" spans="1:7" x14ac:dyDescent="0.25">
      <c r="A1136" t="s">
        <v>400</v>
      </c>
      <c r="B1136" s="12">
        <f>INDEX(LINEST($C$736:$C$1119,$D$736:$P$1119,TRUE,TRUE),1,14)</f>
        <v>2.9503595506247127</v>
      </c>
      <c r="C1136" s="7">
        <f>INDEX(LINEST($C$736:$C$1119,$D$736:$P$1119,TRUE,TRUE),2,14)</f>
        <v>0.12984161003676536</v>
      </c>
      <c r="D1136" s="18">
        <v>0.2157771838797978</v>
      </c>
      <c r="E1136" s="18">
        <v>1.468420961360122E-42</v>
      </c>
      <c r="F1136" s="5" t="str">
        <f t="shared" si="173"/>
        <v>***</v>
      </c>
      <c r="G1136" s="18">
        <v>2.9503595506247291</v>
      </c>
    </row>
    <row r="1137" spans="1:15" x14ac:dyDescent="0.25">
      <c r="A1137" s="10" t="s">
        <v>157</v>
      </c>
      <c r="B1137" s="20">
        <f>COUNT($C$736:$C$1119)</f>
        <v>384</v>
      </c>
    </row>
    <row r="1138" spans="1:15" x14ac:dyDescent="0.25">
      <c r="A1138" s="10" t="s">
        <v>341</v>
      </c>
      <c r="B1138" s="12">
        <f>INDEX(LINEST($C$736:$C$1119,$D$736:$P$1119,TRUE,TRUE),3,1)</f>
        <v>0.93652688577264953</v>
      </c>
    </row>
    <row r="1139" spans="1:15" x14ac:dyDescent="0.25">
      <c r="A1139" s="10" t="s">
        <v>401</v>
      </c>
      <c r="B1139" s="12">
        <f>1-(1-B1138)*(B1137-1)/(B1137-13-1)</f>
        <v>0.93429674932682372</v>
      </c>
    </row>
    <row r="1141" spans="1:15" x14ac:dyDescent="0.25">
      <c r="A1141" s="14" t="s">
        <v>419</v>
      </c>
    </row>
    <row r="1142" spans="1:15" ht="32.1" customHeight="1" x14ac:dyDescent="0.25">
      <c r="A1142" s="3" t="s">
        <v>52</v>
      </c>
      <c r="B1142" s="3" t="s">
        <v>53</v>
      </c>
      <c r="C1142" s="3" t="s">
        <v>379</v>
      </c>
      <c r="D1142" s="3" t="s">
        <v>420</v>
      </c>
      <c r="E1142" s="3" t="s">
        <v>421</v>
      </c>
      <c r="F1142" s="3" t="s">
        <v>422</v>
      </c>
      <c r="G1142" s="3" t="s">
        <v>423</v>
      </c>
      <c r="H1142" s="3" t="s">
        <v>424</v>
      </c>
      <c r="I1142" s="3" t="s">
        <v>425</v>
      </c>
      <c r="J1142" s="3" t="s">
        <v>426</v>
      </c>
      <c r="K1142" s="3" t="s">
        <v>427</v>
      </c>
      <c r="L1142" s="3" t="s">
        <v>383</v>
      </c>
      <c r="M1142" s="3" t="s">
        <v>384</v>
      </c>
      <c r="N1142" s="3" t="s">
        <v>385</v>
      </c>
      <c r="O1142" s="3" t="s">
        <v>386</v>
      </c>
    </row>
    <row r="1143" spans="1:15" x14ac:dyDescent="0.25">
      <c r="A1143" t="s">
        <v>85</v>
      </c>
      <c r="B1143">
        <v>2020</v>
      </c>
      <c r="C1143" s="7">
        <f>'1_Du_lieu'!V194</f>
        <v>3.6686767467964168</v>
      </c>
      <c r="D1143" s="9">
        <f>'1_Du_lieu'!Z194</f>
        <v>3.7954891891721947</v>
      </c>
      <c r="E1143" s="9">
        <f>'1_Du_lieu'!AA194</f>
        <v>2.3319999999999999</v>
      </c>
      <c r="F1143" s="9">
        <f>'1_Du_lieu'!AB194</f>
        <v>31.59</v>
      </c>
      <c r="G1143" s="9">
        <f>'1_Du_lieu'!AC194</f>
        <v>14.6</v>
      </c>
      <c r="H1143" s="9">
        <f>'1_Du_lieu'!AE194</f>
        <v>1.2904217394377582</v>
      </c>
      <c r="I1143" s="9">
        <f>'1_Du_lieu'!AF194</f>
        <v>0.47184649260773825</v>
      </c>
      <c r="J1143" s="9">
        <f>'1_Du_lieu'!AG194</f>
        <v>4.9508852896904818</v>
      </c>
      <c r="K1143" s="9">
        <f>'1_Du_lieu'!AD194</f>
        <v>16.3</v>
      </c>
      <c r="L1143" s="5">
        <f t="shared" ref="L1143:L1206" si="174">IF(B1143=2021,1,0)</f>
        <v>0</v>
      </c>
      <c r="M1143" s="5">
        <f t="shared" ref="M1143:M1206" si="175">IF(B1143=2022,1,0)</f>
        <v>0</v>
      </c>
      <c r="N1143" s="5">
        <f t="shared" ref="N1143:N1206" si="176">IF(B1143=2023,1,0)</f>
        <v>0</v>
      </c>
      <c r="O1143" s="5">
        <f t="shared" ref="O1143:O1206" si="177">IF(B1143=2024,1,0)</f>
        <v>0</v>
      </c>
    </row>
    <row r="1144" spans="1:15" x14ac:dyDescent="0.25">
      <c r="A1144" t="s">
        <v>87</v>
      </c>
      <c r="B1144">
        <v>2020</v>
      </c>
      <c r="C1144" s="7">
        <f>'1_Du_lieu'!V195</f>
        <v>3.8836235309064482</v>
      </c>
      <c r="D1144" s="9">
        <f>'1_Du_lieu'!Z195</f>
        <v>5.7051149198899793</v>
      </c>
      <c r="E1144" s="9">
        <f>'1_Du_lieu'!AA195</f>
        <v>8.7629999999999999</v>
      </c>
      <c r="F1144" s="9">
        <f>'1_Du_lieu'!AB195</f>
        <v>58.64</v>
      </c>
      <c r="G1144" s="9">
        <f>'1_Du_lieu'!AC195</f>
        <v>27.8</v>
      </c>
      <c r="H1144" s="9">
        <f>'1_Du_lieu'!AE195</f>
        <v>1.9211688706144259</v>
      </c>
      <c r="I1144" s="9">
        <f>'1_Du_lieu'!AF195</f>
        <v>1.2150668286755772</v>
      </c>
      <c r="J1144" s="9">
        <f>'1_Du_lieu'!AG195</f>
        <v>10.200940484291477</v>
      </c>
      <c r="K1144" s="9">
        <f>'1_Du_lieu'!AD195</f>
        <v>24</v>
      </c>
      <c r="L1144" s="5">
        <f t="shared" si="174"/>
        <v>0</v>
      </c>
      <c r="M1144" s="5">
        <f t="shared" si="175"/>
        <v>0</v>
      </c>
      <c r="N1144" s="5">
        <f t="shared" si="176"/>
        <v>0</v>
      </c>
      <c r="O1144" s="5">
        <f t="shared" si="177"/>
        <v>0</v>
      </c>
    </row>
    <row r="1145" spans="1:15" x14ac:dyDescent="0.25">
      <c r="A1145" t="s">
        <v>89</v>
      </c>
      <c r="B1145">
        <v>2020</v>
      </c>
      <c r="C1145" s="7">
        <f>'1_Du_lieu'!V196</f>
        <v>4.0055133485154846</v>
      </c>
      <c r="D1145" s="9">
        <f>'1_Du_lieu'!Z196</f>
        <v>4.9931499797552359</v>
      </c>
      <c r="E1145" s="9">
        <f>'1_Du_lieu'!AA196</f>
        <v>12.864000000000001</v>
      </c>
      <c r="F1145" s="9">
        <f>'1_Du_lieu'!AB196</f>
        <v>79.87</v>
      </c>
      <c r="G1145" s="9">
        <f>'1_Du_lieu'!AC196</f>
        <v>21.9</v>
      </c>
      <c r="H1145" s="9">
        <f>'1_Du_lieu'!AE196</f>
        <v>3.1771849379951953</v>
      </c>
      <c r="I1145" s="9">
        <f>'1_Du_lieu'!AF196</f>
        <v>0.69209787078125629</v>
      </c>
      <c r="J1145" s="9">
        <f>'1_Du_lieu'!AG196</f>
        <v>9.5455260670719309</v>
      </c>
      <c r="K1145" s="9">
        <f>'1_Du_lieu'!AD196</f>
        <v>24.2</v>
      </c>
      <c r="L1145" s="5">
        <f t="shared" si="174"/>
        <v>0</v>
      </c>
      <c r="M1145" s="5">
        <f t="shared" si="175"/>
        <v>0</v>
      </c>
      <c r="N1145" s="5">
        <f t="shared" si="176"/>
        <v>0</v>
      </c>
      <c r="O1145" s="5">
        <f t="shared" si="177"/>
        <v>0</v>
      </c>
    </row>
    <row r="1146" spans="1:15" x14ac:dyDescent="0.25">
      <c r="A1146" t="s">
        <v>90</v>
      </c>
      <c r="B1146">
        <v>2020</v>
      </c>
      <c r="C1146" s="7">
        <f>'1_Du_lieu'!V197</f>
        <v>3.3945083935113587</v>
      </c>
      <c r="D1146" s="9">
        <f>'1_Du_lieu'!Z197</f>
        <v>4.1367652781060524</v>
      </c>
      <c r="E1146" s="9">
        <f>'1_Du_lieu'!AA197</f>
        <v>5.1189999999999998</v>
      </c>
      <c r="F1146" s="9">
        <f>'1_Du_lieu'!AB197</f>
        <v>23.9</v>
      </c>
      <c r="G1146" s="9">
        <f>'1_Du_lieu'!AC197</f>
        <v>15.8</v>
      </c>
      <c r="H1146" s="9">
        <f>'1_Du_lieu'!AE197</f>
        <v>1.2084725869298196</v>
      </c>
      <c r="I1146" s="9">
        <f>'1_Du_lieu'!AF197</f>
        <v>1.2026458208057726</v>
      </c>
      <c r="J1146" s="9">
        <f>'1_Du_lieu'!AG197</f>
        <v>7.9442439061683956</v>
      </c>
      <c r="K1146" s="9">
        <f>'1_Du_lieu'!AD197</f>
        <v>22.8</v>
      </c>
      <c r="L1146" s="5">
        <f t="shared" si="174"/>
        <v>0</v>
      </c>
      <c r="M1146" s="5">
        <f t="shared" si="175"/>
        <v>0</v>
      </c>
      <c r="N1146" s="5">
        <f t="shared" si="176"/>
        <v>0</v>
      </c>
      <c r="O1146" s="5">
        <f t="shared" si="177"/>
        <v>0</v>
      </c>
    </row>
    <row r="1147" spans="1:15" x14ac:dyDescent="0.25">
      <c r="A1147" t="s">
        <v>91</v>
      </c>
      <c r="B1147">
        <v>2020</v>
      </c>
      <c r="C1147" s="7">
        <f>'1_Du_lieu'!V198</f>
        <v>3.6109179126442243</v>
      </c>
      <c r="D1147" s="9">
        <f>'1_Du_lieu'!Z198</f>
        <v>4.1620032106959153</v>
      </c>
      <c r="E1147" s="9">
        <f>'1_Du_lieu'!AA198</f>
        <v>3.93</v>
      </c>
      <c r="F1147" s="9">
        <f>'1_Du_lieu'!AB198</f>
        <v>38.08</v>
      </c>
      <c r="G1147" s="9">
        <f>'1_Du_lieu'!AC198</f>
        <v>16.3</v>
      </c>
      <c r="H1147" s="9">
        <f>'1_Du_lieu'!AE198</f>
        <v>2.0004684151721195</v>
      </c>
      <c r="I1147" s="9">
        <f>'1_Du_lieu'!AF198</f>
        <v>0.32459628337255542</v>
      </c>
      <c r="J1147" s="9">
        <f>'1_Du_lieu'!AG198</f>
        <v>8.0156906391110976</v>
      </c>
      <c r="K1147" s="9">
        <f>'1_Du_lieu'!AD198</f>
        <v>18.399999999999999</v>
      </c>
      <c r="L1147" s="5">
        <f t="shared" si="174"/>
        <v>0</v>
      </c>
      <c r="M1147" s="5">
        <f t="shared" si="175"/>
        <v>0</v>
      </c>
      <c r="N1147" s="5">
        <f t="shared" si="176"/>
        <v>0</v>
      </c>
      <c r="O1147" s="5">
        <f t="shared" si="177"/>
        <v>0</v>
      </c>
    </row>
    <row r="1148" spans="1:15" x14ac:dyDescent="0.25">
      <c r="A1148" t="s">
        <v>93</v>
      </c>
      <c r="B1148">
        <v>2020</v>
      </c>
      <c r="C1148" s="7">
        <f>'1_Du_lieu'!V199</f>
        <v>3.7471483622379123</v>
      </c>
      <c r="D1148" s="9">
        <f>'1_Du_lieu'!Z199</f>
        <v>4.0199801469332384</v>
      </c>
      <c r="E1148" s="9">
        <f>'1_Du_lieu'!AA199</f>
        <v>4.298</v>
      </c>
      <c r="F1148" s="9">
        <f>'1_Du_lieu'!AB199</f>
        <v>32.049999999999997</v>
      </c>
      <c r="G1148" s="9">
        <f>'1_Du_lieu'!AC199</f>
        <v>19.2</v>
      </c>
      <c r="H1148" s="9">
        <f>'1_Du_lieu'!AE199</f>
        <v>2.7748797508894638</v>
      </c>
      <c r="I1148" s="9">
        <f>'1_Du_lieu'!AF199</f>
        <v>0.73934668638257828</v>
      </c>
      <c r="J1148" s="9">
        <f>'1_Du_lieu'!AG199</f>
        <v>6.2923096060860439</v>
      </c>
      <c r="K1148" s="9">
        <f>'1_Du_lieu'!AD199</f>
        <v>23.4</v>
      </c>
      <c r="L1148" s="5">
        <f t="shared" si="174"/>
        <v>0</v>
      </c>
      <c r="M1148" s="5">
        <f t="shared" si="175"/>
        <v>0</v>
      </c>
      <c r="N1148" s="5">
        <f t="shared" si="176"/>
        <v>0</v>
      </c>
      <c r="O1148" s="5">
        <f t="shared" si="177"/>
        <v>0</v>
      </c>
    </row>
    <row r="1149" spans="1:15" x14ac:dyDescent="0.25">
      <c r="A1149" t="s">
        <v>95</v>
      </c>
      <c r="B1149">
        <v>2020</v>
      </c>
      <c r="C1149" s="7">
        <f>'1_Du_lieu'!V201</f>
        <v>3.7796338173824005</v>
      </c>
      <c r="D1149" s="9">
        <f>'1_Du_lieu'!Z201</f>
        <v>4.0552571735140539</v>
      </c>
      <c r="E1149" s="9">
        <f>'1_Du_lieu'!AA201</f>
        <v>3.2480000000000002</v>
      </c>
      <c r="F1149" s="9">
        <f>'1_Du_lieu'!AB201</f>
        <v>11.46</v>
      </c>
      <c r="G1149" s="9">
        <f>'1_Du_lieu'!AC201</f>
        <v>18</v>
      </c>
      <c r="H1149" s="9">
        <f>'1_Du_lieu'!AE201</f>
        <v>2.5039419909198695</v>
      </c>
      <c r="I1149" s="9">
        <f>'1_Du_lieu'!AF201</f>
        <v>0.93901900132567395</v>
      </c>
      <c r="J1149" s="9">
        <f>'1_Du_lieu'!AG201</f>
        <v>8.1024653160288871</v>
      </c>
      <c r="K1149" s="9">
        <f>'1_Du_lieu'!AD201</f>
        <v>15</v>
      </c>
      <c r="L1149" s="5">
        <f t="shared" si="174"/>
        <v>0</v>
      </c>
      <c r="M1149" s="5">
        <f t="shared" si="175"/>
        <v>0</v>
      </c>
      <c r="N1149" s="5">
        <f t="shared" si="176"/>
        <v>0</v>
      </c>
      <c r="O1149" s="5">
        <f t="shared" si="177"/>
        <v>0</v>
      </c>
    </row>
    <row r="1150" spans="1:15" x14ac:dyDescent="0.25">
      <c r="A1150" t="s">
        <v>97</v>
      </c>
      <c r="B1150">
        <v>2020</v>
      </c>
      <c r="C1150" s="7">
        <f>'1_Du_lieu'!V202</f>
        <v>3.3286266888273199</v>
      </c>
      <c r="D1150" s="9">
        <f>'1_Du_lieu'!Z202</f>
        <v>3.6428355156125294</v>
      </c>
      <c r="E1150" s="9">
        <f>'1_Du_lieu'!AA202</f>
        <v>1.9470000000000001</v>
      </c>
      <c r="F1150" s="9">
        <f>'1_Du_lieu'!AB202</f>
        <v>20.87</v>
      </c>
      <c r="G1150" s="9">
        <f>'1_Du_lieu'!AC202</f>
        <v>16.100000000000001</v>
      </c>
      <c r="H1150" s="9">
        <f>'1_Du_lieu'!AE202</f>
        <v>1.5337432446811305</v>
      </c>
      <c r="I1150" s="9">
        <f>'1_Du_lieu'!AF202</f>
        <v>0.63613231552162852</v>
      </c>
      <c r="J1150" s="9">
        <f>'1_Du_lieu'!AG202</f>
        <v>3.044522437723423</v>
      </c>
      <c r="K1150" s="9">
        <f>'1_Du_lieu'!AD202</f>
        <v>13.8</v>
      </c>
      <c r="L1150" s="5">
        <f t="shared" si="174"/>
        <v>0</v>
      </c>
      <c r="M1150" s="5">
        <f t="shared" si="175"/>
        <v>0</v>
      </c>
      <c r="N1150" s="5">
        <f t="shared" si="176"/>
        <v>0</v>
      </c>
      <c r="O1150" s="5">
        <f t="shared" si="177"/>
        <v>0</v>
      </c>
    </row>
    <row r="1151" spans="1:15" x14ac:dyDescent="0.25">
      <c r="A1151" t="s">
        <v>98</v>
      </c>
      <c r="B1151">
        <v>2020</v>
      </c>
      <c r="C1151" s="7">
        <f>'1_Du_lieu'!V203</f>
        <v>3.9721769282478934</v>
      </c>
      <c r="D1151" s="9">
        <f>'1_Du_lieu'!Z203</f>
        <v>4.9767337424205742</v>
      </c>
      <c r="E1151" s="9">
        <f>'1_Du_lieu'!AA203</f>
        <v>8.2319999999999993</v>
      </c>
      <c r="F1151" s="9">
        <f>'1_Du_lieu'!AB203</f>
        <v>27.63</v>
      </c>
      <c r="G1151" s="9">
        <f>'1_Du_lieu'!AC203</f>
        <v>28</v>
      </c>
      <c r="H1151" s="9">
        <f>'1_Du_lieu'!AE203</f>
        <v>2.7293792142733855</v>
      </c>
      <c r="I1151" s="9">
        <f>'1_Du_lieu'!AF203</f>
        <v>1.8859712752067315</v>
      </c>
      <c r="J1151" s="9">
        <f>'1_Du_lieu'!AG203</f>
        <v>9.5292085626490355</v>
      </c>
      <c r="K1151" s="9">
        <f>'1_Du_lieu'!AD203</f>
        <v>29.6</v>
      </c>
      <c r="L1151" s="5">
        <f t="shared" si="174"/>
        <v>0</v>
      </c>
      <c r="M1151" s="5">
        <f t="shared" si="175"/>
        <v>0</v>
      </c>
      <c r="N1151" s="5">
        <f t="shared" si="176"/>
        <v>0</v>
      </c>
      <c r="O1151" s="5">
        <f t="shared" si="177"/>
        <v>0</v>
      </c>
    </row>
    <row r="1152" spans="1:15" x14ac:dyDescent="0.25">
      <c r="A1152" t="s">
        <v>100</v>
      </c>
      <c r="B1152">
        <v>2020</v>
      </c>
      <c r="C1152" s="7">
        <f>'1_Du_lieu'!V204</f>
        <v>3.7750571503549888</v>
      </c>
      <c r="D1152" s="9">
        <f>'1_Du_lieu'!Z204</f>
        <v>3.6963514689526371</v>
      </c>
      <c r="E1152" s="9">
        <f>'1_Du_lieu'!AA204</f>
        <v>2.3780000000000001</v>
      </c>
      <c r="F1152" s="9">
        <f>'1_Du_lieu'!AB204</f>
        <v>9.81</v>
      </c>
      <c r="G1152" s="9">
        <f>'1_Du_lieu'!AC204</f>
        <v>11.6</v>
      </c>
      <c r="H1152" s="9">
        <f>'1_Du_lieu'!AE204</f>
        <v>1.0068151819471221</v>
      </c>
      <c r="I1152" s="9">
        <f>'1_Du_lieu'!AF204</f>
        <v>0.2327205026762858</v>
      </c>
      <c r="J1152" s="9">
        <f>'1_Du_lieu'!AG204</f>
        <v>6.731376031643812</v>
      </c>
      <c r="K1152" s="9">
        <f>'1_Du_lieu'!AD204</f>
        <v>14.4</v>
      </c>
      <c r="L1152" s="5">
        <f t="shared" si="174"/>
        <v>0</v>
      </c>
      <c r="M1152" s="5">
        <f t="shared" si="175"/>
        <v>0</v>
      </c>
      <c r="N1152" s="5">
        <f t="shared" si="176"/>
        <v>0</v>
      </c>
      <c r="O1152" s="5">
        <f t="shared" si="177"/>
        <v>0</v>
      </c>
    </row>
    <row r="1153" spans="1:15" x14ac:dyDescent="0.25">
      <c r="A1153" t="s">
        <v>102</v>
      </c>
      <c r="B1153">
        <v>2020</v>
      </c>
      <c r="C1153" s="7">
        <f>'1_Du_lieu'!V206</f>
        <v>3.3499040872746049</v>
      </c>
      <c r="D1153" s="9">
        <f>'1_Du_lieu'!Z206</f>
        <v>3.9259259105971376</v>
      </c>
      <c r="E1153" s="9">
        <f>'1_Du_lieu'!AA206</f>
        <v>2.8519999999999999</v>
      </c>
      <c r="F1153" s="9">
        <f>'1_Du_lieu'!AB206</f>
        <v>22.75</v>
      </c>
      <c r="G1153" s="9">
        <f>'1_Du_lieu'!AC206</f>
        <v>12.3</v>
      </c>
      <c r="H1153" s="9">
        <f>'1_Du_lieu'!AE206</f>
        <v>-0.68988698958450201</v>
      </c>
      <c r="I1153" s="9">
        <f>'1_Du_lieu'!AF206</f>
        <v>0.66984844678891398</v>
      </c>
      <c r="J1153" s="9">
        <f>'1_Du_lieu'!AG206</f>
        <v>4.8186673602504957</v>
      </c>
      <c r="K1153" s="9">
        <f>'1_Du_lieu'!AD206</f>
        <v>18.8</v>
      </c>
      <c r="L1153" s="5">
        <f t="shared" si="174"/>
        <v>0</v>
      </c>
      <c r="M1153" s="5">
        <f t="shared" si="175"/>
        <v>0</v>
      </c>
      <c r="N1153" s="5">
        <f t="shared" si="176"/>
        <v>0</v>
      </c>
      <c r="O1153" s="5">
        <f t="shared" si="177"/>
        <v>0</v>
      </c>
    </row>
    <row r="1154" spans="1:15" x14ac:dyDescent="0.25">
      <c r="A1154" t="s">
        <v>103</v>
      </c>
      <c r="B1154">
        <v>2020</v>
      </c>
      <c r="C1154" s="7">
        <f>'1_Du_lieu'!V207</f>
        <v>3.8877303128591016</v>
      </c>
      <c r="D1154" s="9">
        <f>'1_Du_lieu'!Z207</f>
        <v>4.2863413845394733</v>
      </c>
      <c r="E1154" s="9">
        <f>'1_Du_lieu'!AA207</f>
        <v>6.8540000000000001</v>
      </c>
      <c r="F1154" s="9">
        <f>'1_Du_lieu'!AB207</f>
        <v>69.680000000000007</v>
      </c>
      <c r="G1154" s="9">
        <f>'1_Du_lieu'!AC207</f>
        <v>16.399999999999999</v>
      </c>
      <c r="H1154" s="9">
        <f>'1_Du_lieu'!AE207</f>
        <v>1.2143315877502252</v>
      </c>
      <c r="I1154" s="9">
        <f>'1_Du_lieu'!AF207</f>
        <v>1.5372168284789645</v>
      </c>
      <c r="J1154" s="9">
        <f>'1_Du_lieu'!AG207</f>
        <v>6.377067026119895</v>
      </c>
      <c r="K1154" s="9">
        <f>'1_Du_lieu'!AD207</f>
        <v>22</v>
      </c>
      <c r="L1154" s="5">
        <f t="shared" si="174"/>
        <v>0</v>
      </c>
      <c r="M1154" s="5">
        <f t="shared" si="175"/>
        <v>0</v>
      </c>
      <c r="N1154" s="5">
        <f t="shared" si="176"/>
        <v>0</v>
      </c>
      <c r="O1154" s="5">
        <f t="shared" si="177"/>
        <v>0</v>
      </c>
    </row>
    <row r="1155" spans="1:15" x14ac:dyDescent="0.25">
      <c r="A1155" t="s">
        <v>104</v>
      </c>
      <c r="B1155">
        <v>2020</v>
      </c>
      <c r="C1155" s="7">
        <f>'1_Du_lieu'!V208</f>
        <v>3.475067230228611</v>
      </c>
      <c r="D1155" s="9">
        <f>'1_Du_lieu'!Z208</f>
        <v>3.6963514689526371</v>
      </c>
      <c r="E1155" s="9">
        <f>'1_Du_lieu'!AA208</f>
        <v>2.5459999999999998</v>
      </c>
      <c r="F1155" s="9">
        <f>'1_Du_lieu'!AB208</f>
        <v>28.96</v>
      </c>
      <c r="G1155" s="9">
        <f>'1_Du_lieu'!AC208</f>
        <v>12.5</v>
      </c>
      <c r="H1155" s="9">
        <f>'1_Du_lieu'!AE208</f>
        <v>2.6578526531371081</v>
      </c>
      <c r="I1155" s="9">
        <f>'1_Du_lieu'!AF208</f>
        <v>1.3156163662675964</v>
      </c>
      <c r="J1155" s="9">
        <f>'1_Du_lieu'!AG208</f>
        <v>2.1972245773362196</v>
      </c>
      <c r="K1155" s="9">
        <f>'1_Du_lieu'!AD208</f>
        <v>17.3</v>
      </c>
      <c r="L1155" s="5">
        <f t="shared" si="174"/>
        <v>0</v>
      </c>
      <c r="M1155" s="5">
        <f t="shared" si="175"/>
        <v>0</v>
      </c>
      <c r="N1155" s="5">
        <f t="shared" si="176"/>
        <v>0</v>
      </c>
      <c r="O1155" s="5">
        <f t="shared" si="177"/>
        <v>0</v>
      </c>
    </row>
    <row r="1156" spans="1:15" x14ac:dyDescent="0.25">
      <c r="A1156" t="s">
        <v>107</v>
      </c>
      <c r="B1156">
        <v>2020</v>
      </c>
      <c r="C1156" s="7">
        <f>'1_Du_lieu'!V210</f>
        <v>3.7376696182833684</v>
      </c>
      <c r="D1156" s="9">
        <f>'1_Du_lieu'!Z210</f>
        <v>4.1588830833596715</v>
      </c>
      <c r="E1156" s="9">
        <f>'1_Du_lieu'!AA210</f>
        <v>4.8040000000000003</v>
      </c>
      <c r="F1156" s="9">
        <f>'1_Du_lieu'!AB210</f>
        <v>16.77</v>
      </c>
      <c r="G1156" s="9">
        <f>'1_Du_lieu'!AC210</f>
        <v>20</v>
      </c>
      <c r="H1156" s="9">
        <f>'1_Du_lieu'!AE210</f>
        <v>2.7668378701718099</v>
      </c>
      <c r="I1156" s="9">
        <f>'1_Du_lieu'!AF210</f>
        <v>1.5213575190169688</v>
      </c>
      <c r="J1156" s="9">
        <f>'1_Du_lieu'!AG210</f>
        <v>8.3521298511785531</v>
      </c>
      <c r="K1156" s="9">
        <f>'1_Du_lieu'!AD210</f>
        <v>17</v>
      </c>
      <c r="L1156" s="5">
        <f t="shared" si="174"/>
        <v>0</v>
      </c>
      <c r="M1156" s="5">
        <f t="shared" si="175"/>
        <v>0</v>
      </c>
      <c r="N1156" s="5">
        <f t="shared" si="176"/>
        <v>0</v>
      </c>
      <c r="O1156" s="5">
        <f t="shared" si="177"/>
        <v>0</v>
      </c>
    </row>
    <row r="1157" spans="1:15" x14ac:dyDescent="0.25">
      <c r="A1157" t="s">
        <v>108</v>
      </c>
      <c r="B1157">
        <v>2020</v>
      </c>
      <c r="C1157" s="7">
        <f>'1_Du_lieu'!V211</f>
        <v>4.4508528256037341</v>
      </c>
      <c r="D1157" s="9">
        <f>'1_Du_lieu'!Z211</f>
        <v>4.7899886229806334</v>
      </c>
      <c r="E1157" s="9">
        <f>'1_Du_lieu'!AA211</f>
        <v>19.265999999999998</v>
      </c>
      <c r="F1157" s="9">
        <f>'1_Du_lieu'!AB211</f>
        <v>49.42</v>
      </c>
      <c r="G1157" s="9">
        <f>'1_Du_lieu'!AC211</f>
        <v>48.1</v>
      </c>
      <c r="H1157" s="9">
        <f>'1_Du_lieu'!AE211</f>
        <v>2.7242491045779054</v>
      </c>
      <c r="I1157" s="9">
        <f>'1_Du_lieu'!AF211</f>
        <v>2.0632822248854077</v>
      </c>
      <c r="J1157" s="9">
        <f>'1_Du_lieu'!AG211</f>
        <v>8.3533086239769485</v>
      </c>
      <c r="K1157" s="9">
        <f>'1_Du_lieu'!AD211</f>
        <v>42.4</v>
      </c>
      <c r="L1157" s="5">
        <f t="shared" si="174"/>
        <v>0</v>
      </c>
      <c r="M1157" s="5">
        <f t="shared" si="175"/>
        <v>0</v>
      </c>
      <c r="N1157" s="5">
        <f t="shared" si="176"/>
        <v>0</v>
      </c>
      <c r="O1157" s="5">
        <f t="shared" si="177"/>
        <v>0</v>
      </c>
    </row>
    <row r="1158" spans="1:15" x14ac:dyDescent="0.25">
      <c r="A1158" t="s">
        <v>109</v>
      </c>
      <c r="B1158">
        <v>2020</v>
      </c>
      <c r="C1158" s="7">
        <f>'1_Du_lieu'!V212</f>
        <v>3.5890591188317256</v>
      </c>
      <c r="D1158" s="9">
        <f>'1_Du_lieu'!Z212</f>
        <v>4.1026433650367959</v>
      </c>
      <c r="E1158" s="9">
        <f>'1_Du_lieu'!AA212</f>
        <v>3.53</v>
      </c>
      <c r="F1158" s="9">
        <f>'1_Du_lieu'!AB212</f>
        <v>19.68</v>
      </c>
      <c r="G1158" s="9">
        <f>'1_Du_lieu'!AC212</f>
        <v>25</v>
      </c>
      <c r="H1158" s="9">
        <f>'1_Du_lieu'!AE212</f>
        <v>3.3526644888984256</v>
      </c>
      <c r="I1158" s="9">
        <f>'1_Du_lieu'!AF212</f>
        <v>0.54250949391614356</v>
      </c>
      <c r="J1158" s="9">
        <f>'1_Du_lieu'!AG212</f>
        <v>9.1150511919513608</v>
      </c>
      <c r="K1158" s="9">
        <f>'1_Du_lieu'!AD212</f>
        <v>17.399999999999999</v>
      </c>
      <c r="L1158" s="5">
        <f t="shared" si="174"/>
        <v>0</v>
      </c>
      <c r="M1158" s="5">
        <f t="shared" si="175"/>
        <v>0</v>
      </c>
      <c r="N1158" s="5">
        <f t="shared" si="176"/>
        <v>0</v>
      </c>
      <c r="O1158" s="5">
        <f t="shared" si="177"/>
        <v>0</v>
      </c>
    </row>
    <row r="1159" spans="1:15" x14ac:dyDescent="0.25">
      <c r="A1159" t="s">
        <v>110</v>
      </c>
      <c r="B1159">
        <v>2020</v>
      </c>
      <c r="C1159" s="7">
        <f>'1_Du_lieu'!V213</f>
        <v>3.5085558999826545</v>
      </c>
      <c r="D1159" s="9">
        <f>'1_Du_lieu'!Z213</f>
        <v>4.0000338827508592</v>
      </c>
      <c r="E1159" s="9">
        <f>'1_Du_lieu'!AA213</f>
        <v>2.702</v>
      </c>
      <c r="F1159" s="9">
        <f>'1_Du_lieu'!AB213</f>
        <v>15.74</v>
      </c>
      <c r="G1159" s="9">
        <f>'1_Du_lieu'!AC213</f>
        <v>17.399999999999999</v>
      </c>
      <c r="H1159" s="9">
        <f>'1_Du_lieu'!AE213</f>
        <v>2.4069893207527269</v>
      </c>
      <c r="I1159" s="9">
        <f>'1_Du_lieu'!AF213</f>
        <v>1.0516475812105635</v>
      </c>
      <c r="J1159" s="9">
        <f>'1_Du_lieu'!AG213</f>
        <v>6.7232312986329825</v>
      </c>
      <c r="K1159" s="9">
        <f>'1_Du_lieu'!AD213</f>
        <v>13.8</v>
      </c>
      <c r="L1159" s="5">
        <f t="shared" si="174"/>
        <v>0</v>
      </c>
      <c r="M1159" s="5">
        <f t="shared" si="175"/>
        <v>0</v>
      </c>
      <c r="N1159" s="5">
        <f t="shared" si="176"/>
        <v>0</v>
      </c>
      <c r="O1159" s="5">
        <f t="shared" si="177"/>
        <v>0</v>
      </c>
    </row>
    <row r="1160" spans="1:15" x14ac:dyDescent="0.25">
      <c r="A1160" t="s">
        <v>111</v>
      </c>
      <c r="B1160">
        <v>2020</v>
      </c>
      <c r="C1160" s="7">
        <f>'1_Du_lieu'!V214</f>
        <v>3.7471483622379123</v>
      </c>
      <c r="D1160" s="9">
        <f>'1_Du_lieu'!Z214</f>
        <v>4.3000027991952914</v>
      </c>
      <c r="E1160" s="9">
        <f>'1_Du_lieu'!AA214</f>
        <v>5.7119999999999997</v>
      </c>
      <c r="F1160" s="9">
        <f>'1_Du_lieu'!AB214</f>
        <v>16.510000000000002</v>
      </c>
      <c r="G1160" s="9">
        <f>'1_Du_lieu'!AC214</f>
        <v>25.3</v>
      </c>
      <c r="H1160" s="9">
        <f>'1_Du_lieu'!AE214</f>
        <v>3.178561346069436</v>
      </c>
      <c r="I1160" s="9">
        <f>'1_Du_lieu'!AF214</f>
        <v>1.5129797738493391</v>
      </c>
      <c r="J1160" s="9">
        <f>'1_Du_lieu'!AG214</f>
        <v>8.2693470274616558</v>
      </c>
      <c r="K1160" s="9">
        <f>'1_Du_lieu'!AD214</f>
        <v>16.7</v>
      </c>
      <c r="L1160" s="5">
        <f t="shared" si="174"/>
        <v>0</v>
      </c>
      <c r="M1160" s="5">
        <f t="shared" si="175"/>
        <v>0</v>
      </c>
      <c r="N1160" s="5">
        <f t="shared" si="176"/>
        <v>0</v>
      </c>
      <c r="O1160" s="5">
        <f t="shared" si="177"/>
        <v>0</v>
      </c>
    </row>
    <row r="1161" spans="1:15" x14ac:dyDescent="0.25">
      <c r="A1161" t="s">
        <v>112</v>
      </c>
      <c r="B1161">
        <v>2020</v>
      </c>
      <c r="C1161" s="7">
        <f>'1_Du_lieu'!V215</f>
        <v>3.8607297110405954</v>
      </c>
      <c r="D1161" s="9">
        <f>'1_Du_lieu'!Z215</f>
        <v>4.2017030805426003</v>
      </c>
      <c r="E1161" s="9">
        <f>'1_Du_lieu'!AA215</f>
        <v>4.7350000000000003</v>
      </c>
      <c r="F1161" s="9">
        <f>'1_Du_lieu'!AB215</f>
        <v>31.32</v>
      </c>
      <c r="G1161" s="9">
        <f>'1_Du_lieu'!AC215</f>
        <v>22.1</v>
      </c>
      <c r="H1161" s="9">
        <f>'1_Du_lieu'!AE215</f>
        <v>3.0467366338006974</v>
      </c>
      <c r="I1161" s="9">
        <f>'1_Du_lieu'!AF215</f>
        <v>0.57989351046444193</v>
      </c>
      <c r="J1161" s="9">
        <f>'1_Du_lieu'!AG215</f>
        <v>8.369203493702452</v>
      </c>
      <c r="K1161" s="9">
        <f>'1_Du_lieu'!AD215</f>
        <v>20</v>
      </c>
      <c r="L1161" s="5">
        <f t="shared" si="174"/>
        <v>0</v>
      </c>
      <c r="M1161" s="5">
        <f t="shared" si="175"/>
        <v>0</v>
      </c>
      <c r="N1161" s="5">
        <f t="shared" si="176"/>
        <v>0</v>
      </c>
      <c r="O1161" s="5">
        <f t="shared" si="177"/>
        <v>0</v>
      </c>
    </row>
    <row r="1162" spans="1:15" x14ac:dyDescent="0.25">
      <c r="A1162" t="s">
        <v>113</v>
      </c>
      <c r="B1162">
        <v>2020</v>
      </c>
      <c r="C1162" s="7">
        <f>'1_Du_lieu'!V216</f>
        <v>4.1042948930752692</v>
      </c>
      <c r="D1162" s="9">
        <f>'1_Du_lieu'!Z216</f>
        <v>4.8056590467374951</v>
      </c>
      <c r="E1162" s="9">
        <f>'1_Du_lieu'!AA216</f>
        <v>9.7959999999999994</v>
      </c>
      <c r="F1162" s="9">
        <f>'1_Du_lieu'!AB216</f>
        <v>45.59</v>
      </c>
      <c r="G1162" s="9">
        <f>'1_Du_lieu'!AC216</f>
        <v>31.6</v>
      </c>
      <c r="H1162" s="9">
        <f>'1_Du_lieu'!AE216</f>
        <v>3.792556682003529</v>
      </c>
      <c r="I1162" s="9">
        <f>'1_Du_lieu'!AF216</f>
        <v>1.6721585599763931</v>
      </c>
      <c r="J1162" s="9">
        <f>'1_Du_lieu'!AG216</f>
        <v>9.1293255252619065</v>
      </c>
      <c r="K1162" s="9">
        <f>'1_Du_lieu'!AD216</f>
        <v>25.5</v>
      </c>
      <c r="L1162" s="5">
        <f t="shared" si="174"/>
        <v>0</v>
      </c>
      <c r="M1162" s="5">
        <f t="shared" si="175"/>
        <v>0</v>
      </c>
      <c r="N1162" s="5">
        <f t="shared" si="176"/>
        <v>0</v>
      </c>
      <c r="O1162" s="5">
        <f t="shared" si="177"/>
        <v>0</v>
      </c>
    </row>
    <row r="1163" spans="1:15" x14ac:dyDescent="0.25">
      <c r="A1163" t="s">
        <v>115</v>
      </c>
      <c r="B1163">
        <v>2020</v>
      </c>
      <c r="C1163" s="7">
        <f>'1_Du_lieu'!V218</f>
        <v>3.7704594411063592</v>
      </c>
      <c r="D1163" s="9">
        <f>'1_Du_lieu'!Z218</f>
        <v>4.2541932631639972</v>
      </c>
      <c r="E1163" s="9">
        <f>'1_Du_lieu'!AA218</f>
        <v>8.9550000000000001</v>
      </c>
      <c r="F1163" s="9">
        <f>'1_Du_lieu'!AB218</f>
        <v>42.29</v>
      </c>
      <c r="G1163" s="9">
        <f>'1_Du_lieu'!AC218</f>
        <v>22.8</v>
      </c>
      <c r="H1163" s="9">
        <f>'1_Du_lieu'!AE218</f>
        <v>3.0142091251449474</v>
      </c>
      <c r="I1163" s="9">
        <f>'1_Du_lieu'!AF218</f>
        <v>3.3257624918883844</v>
      </c>
      <c r="J1163" s="9">
        <f>'1_Du_lieu'!AG218</f>
        <v>8.1570264439353597</v>
      </c>
      <c r="K1163" s="9">
        <f>'1_Du_lieu'!AD218</f>
        <v>30.1</v>
      </c>
      <c r="L1163" s="5">
        <f t="shared" si="174"/>
        <v>0</v>
      </c>
      <c r="M1163" s="5">
        <f t="shared" si="175"/>
        <v>0</v>
      </c>
      <c r="N1163" s="5">
        <f t="shared" si="176"/>
        <v>0</v>
      </c>
      <c r="O1163" s="5">
        <f t="shared" si="177"/>
        <v>0</v>
      </c>
    </row>
    <row r="1164" spans="1:15" x14ac:dyDescent="0.25">
      <c r="A1164" t="s">
        <v>116</v>
      </c>
      <c r="B1164">
        <v>2020</v>
      </c>
      <c r="C1164" s="7">
        <f>'1_Du_lieu'!V219</f>
        <v>3.6375861597263857</v>
      </c>
      <c r="D1164" s="9">
        <f>'1_Du_lieu'!Z219</f>
        <v>4.01096295328305</v>
      </c>
      <c r="E1164" s="9">
        <f>'1_Du_lieu'!AA219</f>
        <v>4.2210000000000001</v>
      </c>
      <c r="F1164" s="9">
        <f>'1_Du_lieu'!AB219</f>
        <v>28.36</v>
      </c>
      <c r="G1164" s="9">
        <f>'1_Du_lieu'!AC219</f>
        <v>13.6</v>
      </c>
      <c r="H1164" s="9">
        <f>'1_Du_lieu'!AE219</f>
        <v>0.81888518665862431</v>
      </c>
      <c r="I1164" s="9">
        <f>'1_Du_lieu'!AF219</f>
        <v>0.63816209317166561</v>
      </c>
      <c r="J1164" s="9">
        <f>'1_Du_lieu'!AG219</f>
        <v>7.9327210274819482</v>
      </c>
      <c r="K1164" s="9">
        <f>'1_Du_lieu'!AD219</f>
        <v>20.9</v>
      </c>
      <c r="L1164" s="5">
        <f t="shared" si="174"/>
        <v>0</v>
      </c>
      <c r="M1164" s="5">
        <f t="shared" si="175"/>
        <v>0</v>
      </c>
      <c r="N1164" s="5">
        <f t="shared" si="176"/>
        <v>0</v>
      </c>
      <c r="O1164" s="5">
        <f t="shared" si="177"/>
        <v>0</v>
      </c>
    </row>
    <row r="1165" spans="1:15" x14ac:dyDescent="0.25">
      <c r="A1165" t="s">
        <v>117</v>
      </c>
      <c r="B1165">
        <v>2020</v>
      </c>
      <c r="C1165" s="7">
        <f>'1_Du_lieu'!V220</f>
        <v>3.4372078191851885</v>
      </c>
      <c r="D1165" s="9">
        <f>'1_Du_lieu'!Z220</f>
        <v>3.6963514689526371</v>
      </c>
      <c r="E1165" s="9">
        <f>'1_Du_lieu'!AA220</f>
        <v>3.0249999999999999</v>
      </c>
      <c r="F1165" s="9">
        <f>'1_Du_lieu'!AB220</f>
        <v>31.97</v>
      </c>
      <c r="G1165" s="9">
        <f>'1_Du_lieu'!AC220</f>
        <v>12.9</v>
      </c>
      <c r="H1165" s="9">
        <f>'1_Du_lieu'!AE220</f>
        <v>2.3822823374177546</v>
      </c>
      <c r="I1165" s="9">
        <f>'1_Du_lieu'!AF220</f>
        <v>0.73610599926389408</v>
      </c>
      <c r="J1165" s="9">
        <f>'1_Du_lieu'!AG220</f>
        <v>5.1579052128312917</v>
      </c>
      <c r="K1165" s="9">
        <f>'1_Du_lieu'!AD220</f>
        <v>15</v>
      </c>
      <c r="L1165" s="5">
        <f t="shared" si="174"/>
        <v>0</v>
      </c>
      <c r="M1165" s="5">
        <f t="shared" si="175"/>
        <v>0</v>
      </c>
      <c r="N1165" s="5">
        <f t="shared" si="176"/>
        <v>0</v>
      </c>
      <c r="O1165" s="5">
        <f t="shared" si="177"/>
        <v>0</v>
      </c>
    </row>
    <row r="1166" spans="1:15" x14ac:dyDescent="0.25">
      <c r="A1166" t="s">
        <v>119</v>
      </c>
      <c r="B1166">
        <v>2020</v>
      </c>
      <c r="C1166" s="7">
        <f>'1_Du_lieu'!V222</f>
        <v>3.7612001156935624</v>
      </c>
      <c r="D1166" s="9">
        <f>'1_Du_lieu'!Z222</f>
        <v>4.28771595520264</v>
      </c>
      <c r="E1166" s="9">
        <f>'1_Du_lieu'!AA222</f>
        <v>5.7190000000000003</v>
      </c>
      <c r="F1166" s="9">
        <f>'1_Du_lieu'!AB222</f>
        <v>16.079999999999998</v>
      </c>
      <c r="G1166" s="9">
        <f>'1_Du_lieu'!AC222</f>
        <v>16.7</v>
      </c>
      <c r="H1166" s="9">
        <f>'1_Du_lieu'!AE222</f>
        <v>1.221371158364279</v>
      </c>
      <c r="I1166" s="9">
        <f>'1_Du_lieu'!AF222</f>
        <v>0.53094212730812351</v>
      </c>
      <c r="J1166" s="9">
        <f>'1_Du_lieu'!AG222</f>
        <v>8.4471998195957028</v>
      </c>
      <c r="K1166" s="9">
        <f>'1_Du_lieu'!AD222</f>
        <v>18</v>
      </c>
      <c r="L1166" s="5">
        <f t="shared" si="174"/>
        <v>0</v>
      </c>
      <c r="M1166" s="5">
        <f t="shared" si="175"/>
        <v>0</v>
      </c>
      <c r="N1166" s="5">
        <f t="shared" si="176"/>
        <v>0</v>
      </c>
      <c r="O1166" s="5">
        <f t="shared" si="177"/>
        <v>0</v>
      </c>
    </row>
    <row r="1167" spans="1:15" x14ac:dyDescent="0.25">
      <c r="A1167" t="s">
        <v>120</v>
      </c>
      <c r="B1167">
        <v>2020</v>
      </c>
      <c r="C1167" s="7">
        <f>'1_Du_lieu'!V223</f>
        <v>3.5862928653388351</v>
      </c>
      <c r="D1167" s="9">
        <f>'1_Du_lieu'!Z223</f>
        <v>4.220977213155467</v>
      </c>
      <c r="E1167" s="9">
        <f>'1_Du_lieu'!AA223</f>
        <v>3.516</v>
      </c>
      <c r="F1167" s="9">
        <f>'1_Du_lieu'!AB223</f>
        <v>23.39</v>
      </c>
      <c r="G1167" s="9">
        <f>'1_Du_lieu'!AC223</f>
        <v>19.5</v>
      </c>
      <c r="H1167" s="9">
        <f>'1_Du_lieu'!AE223</f>
        <v>2.1232809348141224</v>
      </c>
      <c r="I1167" s="9">
        <f>'1_Du_lieu'!AF223</f>
        <v>1.9091776898949955</v>
      </c>
      <c r="J1167" s="9">
        <f>'1_Du_lieu'!AG223</f>
        <v>6.6682282484174031</v>
      </c>
      <c r="K1167" s="9">
        <f>'1_Du_lieu'!AD223</f>
        <v>24.5</v>
      </c>
      <c r="L1167" s="5">
        <f t="shared" si="174"/>
        <v>0</v>
      </c>
      <c r="M1167" s="5">
        <f t="shared" si="175"/>
        <v>0</v>
      </c>
      <c r="N1167" s="5">
        <f t="shared" si="176"/>
        <v>0</v>
      </c>
      <c r="O1167" s="5">
        <f t="shared" si="177"/>
        <v>0</v>
      </c>
    </row>
    <row r="1168" spans="1:15" x14ac:dyDescent="0.25">
      <c r="A1168" t="s">
        <v>121</v>
      </c>
      <c r="B1168">
        <v>2020</v>
      </c>
      <c r="C1168" s="7">
        <f>'1_Du_lieu'!V224</f>
        <v>3.7160081215021892</v>
      </c>
      <c r="D1168" s="9">
        <f>'1_Du_lieu'!Z224</f>
        <v>4.1026433650367959</v>
      </c>
      <c r="E1168" s="9">
        <f>'1_Du_lieu'!AA224</f>
        <v>4.8630000000000004</v>
      </c>
      <c r="F1168" s="9">
        <f>'1_Du_lieu'!AB224</f>
        <v>39.17</v>
      </c>
      <c r="G1168" s="9">
        <f>'1_Du_lieu'!AC224</f>
        <v>16.7</v>
      </c>
      <c r="H1168" s="9">
        <f>'1_Du_lieu'!AE224</f>
        <v>2.424660365279816</v>
      </c>
      <c r="I1168" s="9">
        <f>'1_Du_lieu'!AF224</f>
        <v>0.53875163549603633</v>
      </c>
      <c r="J1168" s="9">
        <f>'1_Du_lieu'!AG224</f>
        <v>5.9957055413652363</v>
      </c>
      <c r="K1168" s="9">
        <f>'1_Du_lieu'!AD224</f>
        <v>30.8</v>
      </c>
      <c r="L1168" s="5">
        <f t="shared" si="174"/>
        <v>0</v>
      </c>
      <c r="M1168" s="5">
        <f t="shared" si="175"/>
        <v>0</v>
      </c>
      <c r="N1168" s="5">
        <f t="shared" si="176"/>
        <v>0</v>
      </c>
      <c r="O1168" s="5">
        <f t="shared" si="177"/>
        <v>0</v>
      </c>
    </row>
    <row r="1169" spans="1:15" x14ac:dyDescent="0.25">
      <c r="A1169" t="s">
        <v>122</v>
      </c>
      <c r="B1169">
        <v>2020</v>
      </c>
      <c r="C1169" s="7">
        <f>'1_Du_lieu'!V225</f>
        <v>3.3775875160230218</v>
      </c>
      <c r="D1169" s="9">
        <f>'1_Du_lieu'!Z225</f>
        <v>3.735285826928092</v>
      </c>
      <c r="E1169" s="9">
        <f>'1_Du_lieu'!AA225</f>
        <v>2.4340000000000002</v>
      </c>
      <c r="F1169" s="9">
        <f>'1_Du_lieu'!AB225</f>
        <v>20.48</v>
      </c>
      <c r="G1169" s="9">
        <f>'1_Du_lieu'!AC225</f>
        <v>16.5</v>
      </c>
      <c r="H1169" s="9">
        <f>'1_Du_lieu'!AE225</f>
        <v>2.1793949640432282</v>
      </c>
      <c r="I1169" s="9">
        <f>'1_Du_lieu'!AF225</f>
        <v>0.76647930505876349</v>
      </c>
      <c r="J1169" s="9">
        <f>'1_Du_lieu'!AG225</f>
        <v>5.7212948997408324</v>
      </c>
      <c r="K1169" s="9">
        <f>'1_Du_lieu'!AD225</f>
        <v>15</v>
      </c>
      <c r="L1169" s="5">
        <f t="shared" si="174"/>
        <v>0</v>
      </c>
      <c r="M1169" s="5">
        <f t="shared" si="175"/>
        <v>0</v>
      </c>
      <c r="N1169" s="5">
        <f t="shared" si="176"/>
        <v>0</v>
      </c>
      <c r="O1169" s="5">
        <f t="shared" si="177"/>
        <v>0</v>
      </c>
    </row>
    <row r="1170" spans="1:15" x14ac:dyDescent="0.25">
      <c r="A1170" t="s">
        <v>123</v>
      </c>
      <c r="B1170">
        <v>2020</v>
      </c>
      <c r="C1170" s="7">
        <f>'1_Du_lieu'!V226</f>
        <v>3.7062280924485496</v>
      </c>
      <c r="D1170" s="9">
        <f>'1_Du_lieu'!Z226</f>
        <v>3.6635616461296463</v>
      </c>
      <c r="E1170" s="9">
        <f>'1_Du_lieu'!AA226</f>
        <v>3.1869999999999998</v>
      </c>
      <c r="F1170" s="9">
        <f>'1_Du_lieu'!AB226</f>
        <v>18.18</v>
      </c>
      <c r="G1170" s="9">
        <f>'1_Du_lieu'!AC226</f>
        <v>17.7</v>
      </c>
      <c r="H1170" s="9">
        <f>'1_Du_lieu'!AE226</f>
        <v>2.0236282045263727</v>
      </c>
      <c r="I1170" s="9">
        <f>'1_Du_lieu'!AF226</f>
        <v>1.010724914369139</v>
      </c>
      <c r="J1170" s="9">
        <f>'1_Du_lieu'!AG226</f>
        <v>7.5857888217320344</v>
      </c>
      <c r="K1170" s="9">
        <f>'1_Du_lieu'!AD226</f>
        <v>10.199999999999999</v>
      </c>
      <c r="L1170" s="5">
        <f t="shared" si="174"/>
        <v>0</v>
      </c>
      <c r="M1170" s="5">
        <f t="shared" si="175"/>
        <v>0</v>
      </c>
      <c r="N1170" s="5">
        <f t="shared" si="176"/>
        <v>0</v>
      </c>
      <c r="O1170" s="5">
        <f t="shared" si="177"/>
        <v>0</v>
      </c>
    </row>
    <row r="1171" spans="1:15" x14ac:dyDescent="0.25">
      <c r="A1171" t="s">
        <v>124</v>
      </c>
      <c r="B1171">
        <v>2020</v>
      </c>
      <c r="C1171" s="7">
        <f>'1_Du_lieu'!V227</f>
        <v>3.8351419610921882</v>
      </c>
      <c r="D1171" s="9">
        <f>'1_Du_lieu'!Z227</f>
        <v>3.6838669122903918</v>
      </c>
      <c r="E1171" s="9">
        <f>'1_Du_lieu'!AA227</f>
        <v>3.2530000000000001</v>
      </c>
      <c r="F1171" s="9">
        <f>'1_Du_lieu'!AB227</f>
        <v>14.7</v>
      </c>
      <c r="G1171" s="9">
        <f>'1_Du_lieu'!AC227</f>
        <v>20.7</v>
      </c>
      <c r="H1171" s="9">
        <f>'1_Du_lieu'!AE227</f>
        <v>3.4398768452766815</v>
      </c>
      <c r="I1171" s="9">
        <f>'1_Du_lieu'!AF227</f>
        <v>3.1763154740501025</v>
      </c>
      <c r="J1171" s="9">
        <f>'1_Du_lieu'!AG227</f>
        <v>6.4734276261888715</v>
      </c>
      <c r="K1171" s="9">
        <f>'1_Du_lieu'!AD227</f>
        <v>18.899999999999999</v>
      </c>
      <c r="L1171" s="5">
        <f t="shared" si="174"/>
        <v>0</v>
      </c>
      <c r="M1171" s="5">
        <f t="shared" si="175"/>
        <v>0</v>
      </c>
      <c r="N1171" s="5">
        <f t="shared" si="176"/>
        <v>0</v>
      </c>
      <c r="O1171" s="5">
        <f t="shared" si="177"/>
        <v>0</v>
      </c>
    </row>
    <row r="1172" spans="1:15" x14ac:dyDescent="0.25">
      <c r="A1172" t="s">
        <v>125</v>
      </c>
      <c r="B1172">
        <v>2020</v>
      </c>
      <c r="C1172" s="7">
        <f>'1_Du_lieu'!V228</f>
        <v>3.7658404952500648</v>
      </c>
      <c r="D1172" s="9">
        <f>'1_Du_lieu'!Z228</f>
        <v>4.1399550734741526</v>
      </c>
      <c r="E1172" s="9">
        <f>'1_Du_lieu'!AA228</f>
        <v>4.3440000000000003</v>
      </c>
      <c r="F1172" s="9">
        <f>'1_Du_lieu'!AB228</f>
        <v>21.11</v>
      </c>
      <c r="G1172" s="9">
        <f>'1_Du_lieu'!AC228</f>
        <v>28.9</v>
      </c>
      <c r="H1172" s="9">
        <f>'1_Du_lieu'!AE228</f>
        <v>3.2331082416068808</v>
      </c>
      <c r="I1172" s="9">
        <f>'1_Du_lieu'!AF228</f>
        <v>1.015744032503809</v>
      </c>
      <c r="J1172" s="9">
        <f>'1_Du_lieu'!AG228</f>
        <v>7.2581304207723409</v>
      </c>
      <c r="K1172" s="9">
        <f>'1_Du_lieu'!AD228</f>
        <v>16.100000000000001</v>
      </c>
      <c r="L1172" s="5">
        <f t="shared" si="174"/>
        <v>0</v>
      </c>
      <c r="M1172" s="5">
        <f t="shared" si="175"/>
        <v>0</v>
      </c>
      <c r="N1172" s="5">
        <f t="shared" si="176"/>
        <v>0</v>
      </c>
      <c r="O1172" s="5">
        <f t="shared" si="177"/>
        <v>0</v>
      </c>
    </row>
    <row r="1173" spans="1:15" x14ac:dyDescent="0.25">
      <c r="A1173" t="s">
        <v>126</v>
      </c>
      <c r="B1173">
        <v>2020</v>
      </c>
      <c r="C1173" s="7">
        <f>'1_Du_lieu'!V229</f>
        <v>3.5263605246161616</v>
      </c>
      <c r="D1173" s="9">
        <f>'1_Du_lieu'!Z229</f>
        <v>3.9646154555473165</v>
      </c>
      <c r="E1173" s="9">
        <f>'1_Du_lieu'!AA229</f>
        <v>3.9630000000000001</v>
      </c>
      <c r="F1173" s="9">
        <f>'1_Du_lieu'!AB229</f>
        <v>35.75</v>
      </c>
      <c r="G1173" s="9">
        <f>'1_Du_lieu'!AC229</f>
        <v>18.899999999999999</v>
      </c>
      <c r="H1173" s="9">
        <f>'1_Du_lieu'!AE229</f>
        <v>2.3019927009824763</v>
      </c>
      <c r="I1173" s="9">
        <f>'1_Du_lieu'!AF229</f>
        <v>1.1844331641285957</v>
      </c>
      <c r="J1173" s="9">
        <f>'1_Du_lieu'!AG229</f>
        <v>7.9710166903473212</v>
      </c>
      <c r="K1173" s="9">
        <f>'1_Du_lieu'!AD229</f>
        <v>12.8</v>
      </c>
      <c r="L1173" s="5">
        <f t="shared" si="174"/>
        <v>0</v>
      </c>
      <c r="M1173" s="5">
        <f t="shared" si="175"/>
        <v>0</v>
      </c>
      <c r="N1173" s="5">
        <f t="shared" si="176"/>
        <v>0</v>
      </c>
      <c r="O1173" s="5">
        <f t="shared" si="177"/>
        <v>0</v>
      </c>
    </row>
    <row r="1174" spans="1:15" x14ac:dyDescent="0.25">
      <c r="A1174" t="s">
        <v>127</v>
      </c>
      <c r="B1174">
        <v>2020</v>
      </c>
      <c r="C1174" s="7">
        <f>'1_Du_lieu'!V230</f>
        <v>3.673765816303888</v>
      </c>
      <c r="D1174" s="9">
        <f>'1_Du_lieu'!Z230</f>
        <v>3.8522730010223722</v>
      </c>
      <c r="E1174" s="9">
        <f>'1_Du_lieu'!AA230</f>
        <v>3.35</v>
      </c>
      <c r="F1174" s="9">
        <f>'1_Du_lieu'!AB230</f>
        <v>18.37</v>
      </c>
      <c r="G1174" s="9">
        <f>'1_Du_lieu'!AC230</f>
        <v>24.6</v>
      </c>
      <c r="H1174" s="9">
        <f>'1_Du_lieu'!AE230</f>
        <v>2.9844819641613083</v>
      </c>
      <c r="I1174" s="9">
        <f>'1_Du_lieu'!AF230</f>
        <v>1.2956901254773594</v>
      </c>
      <c r="J1174" s="9">
        <f>'1_Du_lieu'!AG230</f>
        <v>6.9939329752231894</v>
      </c>
      <c r="K1174" s="9">
        <f>'1_Du_lieu'!AD230</f>
        <v>21.4</v>
      </c>
      <c r="L1174" s="5">
        <f t="shared" si="174"/>
        <v>0</v>
      </c>
      <c r="M1174" s="5">
        <f t="shared" si="175"/>
        <v>0</v>
      </c>
      <c r="N1174" s="5">
        <f t="shared" si="176"/>
        <v>0</v>
      </c>
      <c r="O1174" s="5">
        <f t="shared" si="177"/>
        <v>0</v>
      </c>
    </row>
    <row r="1175" spans="1:15" x14ac:dyDescent="0.25">
      <c r="A1175" t="s">
        <v>128</v>
      </c>
      <c r="B1175">
        <v>2020</v>
      </c>
      <c r="C1175" s="7">
        <f>'1_Du_lieu'!V231</f>
        <v>3.5695326964813701</v>
      </c>
      <c r="D1175" s="9">
        <f>'1_Du_lieu'!Z231</f>
        <v>3.8836235309064482</v>
      </c>
      <c r="E1175" s="9">
        <f>'1_Du_lieu'!AA231</f>
        <v>3.1150000000000002</v>
      </c>
      <c r="F1175" s="9">
        <f>'1_Du_lieu'!AB231</f>
        <v>28.74</v>
      </c>
      <c r="G1175" s="9">
        <f>'1_Du_lieu'!AC231</f>
        <v>16.600000000000001</v>
      </c>
      <c r="H1175" s="9">
        <f>'1_Du_lieu'!AE231</f>
        <v>2.6973811817596256</v>
      </c>
      <c r="I1175" s="9">
        <f>'1_Du_lieu'!AF231</f>
        <v>0.68712780577187349</v>
      </c>
      <c r="J1175" s="9">
        <f>'1_Du_lieu'!AG231</f>
        <v>7.731623657265092</v>
      </c>
      <c r="K1175" s="9">
        <f>'1_Du_lieu'!AD231</f>
        <v>18.899999999999999</v>
      </c>
      <c r="L1175" s="5">
        <f t="shared" si="174"/>
        <v>0</v>
      </c>
      <c r="M1175" s="5">
        <f t="shared" si="175"/>
        <v>0</v>
      </c>
      <c r="N1175" s="5">
        <f t="shared" si="176"/>
        <v>0</v>
      </c>
      <c r="O1175" s="5">
        <f t="shared" si="177"/>
        <v>0</v>
      </c>
    </row>
    <row r="1176" spans="1:15" x14ac:dyDescent="0.25">
      <c r="A1176" t="s">
        <v>129</v>
      </c>
      <c r="B1176">
        <v>2020</v>
      </c>
      <c r="C1176" s="7">
        <f>'1_Du_lieu'!V232</f>
        <v>3.4781584227982836</v>
      </c>
      <c r="D1176" s="9">
        <f>'1_Du_lieu'!Z232</f>
        <v>3.7773481021015445</v>
      </c>
      <c r="E1176" s="9">
        <f>'1_Du_lieu'!AA232</f>
        <v>4.641</v>
      </c>
      <c r="F1176" s="9">
        <f>'1_Du_lieu'!AB232</f>
        <v>20.99</v>
      </c>
      <c r="G1176" s="9">
        <f>'1_Du_lieu'!AC232</f>
        <v>21.7</v>
      </c>
      <c r="H1176" s="9">
        <f>'1_Du_lieu'!AE232</f>
        <v>3.2311755139274179</v>
      </c>
      <c r="I1176" s="9">
        <f>'1_Du_lieu'!AF232</f>
        <v>0.89225964755743925</v>
      </c>
      <c r="J1176" s="9">
        <f>'1_Du_lieu'!AG232</f>
        <v>6.752270376141742</v>
      </c>
      <c r="K1176" s="9">
        <f>'1_Du_lieu'!AD232</f>
        <v>13.4</v>
      </c>
      <c r="L1176" s="5">
        <f t="shared" si="174"/>
        <v>0</v>
      </c>
      <c r="M1176" s="5">
        <f t="shared" si="175"/>
        <v>0</v>
      </c>
      <c r="N1176" s="5">
        <f t="shared" si="176"/>
        <v>0</v>
      </c>
      <c r="O1176" s="5">
        <f t="shared" si="177"/>
        <v>0</v>
      </c>
    </row>
    <row r="1177" spans="1:15" x14ac:dyDescent="0.25">
      <c r="A1177" t="s">
        <v>130</v>
      </c>
      <c r="B1177">
        <v>2020</v>
      </c>
      <c r="C1177" s="7">
        <f>'1_Du_lieu'!V233</f>
        <v>3.6838669122903918</v>
      </c>
      <c r="D1177" s="9">
        <f>'1_Du_lieu'!Z233</f>
        <v>4.1896547420264252</v>
      </c>
      <c r="E1177" s="9">
        <f>'1_Du_lieu'!AA233</f>
        <v>4.843</v>
      </c>
      <c r="F1177" s="9">
        <f>'1_Du_lieu'!AB233</f>
        <v>25.35</v>
      </c>
      <c r="G1177" s="9">
        <f>'1_Du_lieu'!AC233</f>
        <v>18.7</v>
      </c>
      <c r="H1177" s="9">
        <f>'1_Du_lieu'!AE233</f>
        <v>2.4979541590756296</v>
      </c>
      <c r="I1177" s="9">
        <f>'1_Du_lieu'!AF233</f>
        <v>0.13355592654424039</v>
      </c>
      <c r="J1177" s="9">
        <f>'1_Du_lieu'!AG233</f>
        <v>8.3168380017324584</v>
      </c>
      <c r="K1177" s="9">
        <f>'1_Du_lieu'!AD233</f>
        <v>16.899999999999999</v>
      </c>
      <c r="L1177" s="5">
        <f t="shared" si="174"/>
        <v>0</v>
      </c>
      <c r="M1177" s="5">
        <f t="shared" si="175"/>
        <v>0</v>
      </c>
      <c r="N1177" s="5">
        <f t="shared" si="176"/>
        <v>0</v>
      </c>
      <c r="O1177" s="5">
        <f t="shared" si="177"/>
        <v>0</v>
      </c>
    </row>
    <row r="1178" spans="1:15" x14ac:dyDescent="0.25">
      <c r="A1178" t="s">
        <v>131</v>
      </c>
      <c r="B1178">
        <v>2020</v>
      </c>
      <c r="C1178" s="7">
        <f>'1_Du_lieu'!V234</f>
        <v>3.5553480614894135</v>
      </c>
      <c r="D1178" s="9">
        <f>'1_Du_lieu'!Z234</f>
        <v>4.255612709818223</v>
      </c>
      <c r="E1178" s="9">
        <f>'1_Du_lieu'!AA234</f>
        <v>4.1289999999999996</v>
      </c>
      <c r="F1178" s="9">
        <f>'1_Du_lieu'!AB234</f>
        <v>16.36</v>
      </c>
      <c r="G1178" s="9">
        <f>'1_Du_lieu'!AC234</f>
        <v>20.9</v>
      </c>
      <c r="H1178" s="9">
        <f>'1_Du_lieu'!AE234</f>
        <v>2.4036054953092547</v>
      </c>
      <c r="I1178" s="9">
        <f>'1_Du_lieu'!AF234</f>
        <v>0.73057878074519034</v>
      </c>
      <c r="J1178" s="9">
        <f>'1_Du_lieu'!AG234</f>
        <v>7.3121531511298787</v>
      </c>
      <c r="K1178" s="9">
        <f>'1_Du_lieu'!AD234</f>
        <v>16.399999999999999</v>
      </c>
      <c r="L1178" s="5">
        <f t="shared" si="174"/>
        <v>0</v>
      </c>
      <c r="M1178" s="5">
        <f t="shared" si="175"/>
        <v>0</v>
      </c>
      <c r="N1178" s="5">
        <f t="shared" si="176"/>
        <v>0</v>
      </c>
      <c r="O1178" s="5">
        <f t="shared" si="177"/>
        <v>0</v>
      </c>
    </row>
    <row r="1179" spans="1:15" x14ac:dyDescent="0.25">
      <c r="A1179" t="s">
        <v>132</v>
      </c>
      <c r="B1179">
        <v>2020</v>
      </c>
      <c r="C1179" s="7">
        <f>'1_Du_lieu'!V235</f>
        <v>3.8979240810486444</v>
      </c>
      <c r="D1179" s="9">
        <f>'1_Du_lieu'!Z235</f>
        <v>4.9649403348341261</v>
      </c>
      <c r="E1179" s="9">
        <f>'1_Du_lieu'!AA235</f>
        <v>6.7229999999999999</v>
      </c>
      <c r="F1179" s="9">
        <f>'1_Du_lieu'!AB235</f>
        <v>64.44</v>
      </c>
      <c r="G1179" s="9">
        <f>'1_Du_lieu'!AC235</f>
        <v>37.700000000000003</v>
      </c>
      <c r="H1179" s="9">
        <f>'1_Du_lieu'!AE235</f>
        <v>3.322961071193907</v>
      </c>
      <c r="I1179" s="9">
        <f>'1_Du_lieu'!AF235</f>
        <v>2.943840579710145</v>
      </c>
      <c r="J1179" s="9">
        <f>'1_Du_lieu'!AG235</f>
        <v>8.4699548225893668</v>
      </c>
      <c r="K1179" s="9">
        <f>'1_Du_lieu'!AD235</f>
        <v>27.5</v>
      </c>
      <c r="L1179" s="5">
        <f t="shared" si="174"/>
        <v>0</v>
      </c>
      <c r="M1179" s="5">
        <f t="shared" si="175"/>
        <v>0</v>
      </c>
      <c r="N1179" s="5">
        <f t="shared" si="176"/>
        <v>0</v>
      </c>
      <c r="O1179" s="5">
        <f t="shared" si="177"/>
        <v>0</v>
      </c>
    </row>
    <row r="1180" spans="1:15" x14ac:dyDescent="0.25">
      <c r="A1180" t="s">
        <v>133</v>
      </c>
      <c r="B1180">
        <v>2020</v>
      </c>
      <c r="C1180" s="7">
        <f>'1_Du_lieu'!V236</f>
        <v>3.4404180948154366</v>
      </c>
      <c r="D1180" s="9">
        <f>'1_Du_lieu'!Z236</f>
        <v>3.9180050771056933</v>
      </c>
      <c r="E1180" s="9">
        <f>'1_Du_lieu'!AA236</f>
        <v>4.26</v>
      </c>
      <c r="F1180" s="9">
        <f>'1_Du_lieu'!AB236</f>
        <v>31.01</v>
      </c>
      <c r="G1180" s="9">
        <f>'1_Du_lieu'!AC236</f>
        <v>23.2</v>
      </c>
      <c r="H1180" s="9">
        <f>'1_Du_lieu'!AE236</f>
        <v>2.8207283673811534</v>
      </c>
      <c r="I1180" s="9">
        <f>'1_Du_lieu'!AF236</f>
        <v>3.4733185980423116</v>
      </c>
      <c r="J1180" s="9">
        <f>'1_Du_lieu'!AG236</f>
        <v>4.9067551636088638</v>
      </c>
      <c r="K1180" s="9">
        <f>'1_Du_lieu'!AD236</f>
        <v>17.7</v>
      </c>
      <c r="L1180" s="5">
        <f t="shared" si="174"/>
        <v>0</v>
      </c>
      <c r="M1180" s="5">
        <f t="shared" si="175"/>
        <v>0</v>
      </c>
      <c r="N1180" s="5">
        <f t="shared" si="176"/>
        <v>0</v>
      </c>
      <c r="O1180" s="5">
        <f t="shared" si="177"/>
        <v>0</v>
      </c>
    </row>
    <row r="1181" spans="1:15" x14ac:dyDescent="0.25">
      <c r="A1181" t="s">
        <v>136</v>
      </c>
      <c r="B1181">
        <v>2020</v>
      </c>
      <c r="C1181" s="7">
        <f>'1_Du_lieu'!V239</f>
        <v>4.4897593344767639</v>
      </c>
      <c r="D1181" s="9">
        <f>'1_Du_lieu'!Z239</f>
        <v>5.0019308534661091</v>
      </c>
      <c r="E1181" s="9">
        <f>'1_Du_lieu'!AA239</f>
        <v>26.510999999999999</v>
      </c>
      <c r="F1181" s="9">
        <f>'1_Du_lieu'!AB239</f>
        <v>79.23</v>
      </c>
      <c r="G1181" s="9">
        <f>'1_Du_lieu'!AC239</f>
        <v>37.1</v>
      </c>
      <c r="H1181" s="9">
        <f>'1_Du_lieu'!AE239</f>
        <v>2.5840430585278642</v>
      </c>
      <c r="I1181" s="9">
        <f>'1_Du_lieu'!AF239</f>
        <v>2.821233376850397</v>
      </c>
      <c r="J1181" s="9">
        <f>'1_Du_lieu'!AG239</f>
        <v>8.5646300593408586</v>
      </c>
      <c r="K1181" s="9">
        <f>'1_Du_lieu'!AD239</f>
        <v>54.3</v>
      </c>
      <c r="L1181" s="5">
        <f t="shared" si="174"/>
        <v>0</v>
      </c>
      <c r="M1181" s="5">
        <f t="shared" si="175"/>
        <v>0</v>
      </c>
      <c r="N1181" s="5">
        <f t="shared" si="176"/>
        <v>0</v>
      </c>
      <c r="O1181" s="5">
        <f t="shared" si="177"/>
        <v>0</v>
      </c>
    </row>
    <row r="1182" spans="1:15" x14ac:dyDescent="0.25">
      <c r="A1182" t="s">
        <v>137</v>
      </c>
      <c r="B1182">
        <v>2020</v>
      </c>
      <c r="C1182" s="7">
        <f>'1_Du_lieu'!V240</f>
        <v>3.7541989202345789</v>
      </c>
      <c r="D1182" s="9">
        <f>'1_Du_lieu'!Z240</f>
        <v>3.8774315606585268</v>
      </c>
      <c r="E1182" s="9">
        <f>'1_Du_lieu'!AA240</f>
        <v>3.226</v>
      </c>
      <c r="F1182" s="9">
        <f>'1_Du_lieu'!AB240</f>
        <v>15.01</v>
      </c>
      <c r="G1182" s="9">
        <f>'1_Du_lieu'!AC240</f>
        <v>19.399999999999999</v>
      </c>
      <c r="H1182" s="9">
        <f>'1_Du_lieu'!AE240</f>
        <v>2.6995385736963504</v>
      </c>
      <c r="I1182" s="9">
        <f>'1_Du_lieu'!AF240</f>
        <v>0.60343408854023806</v>
      </c>
      <c r="J1182" s="9">
        <f>'1_Du_lieu'!AG240</f>
        <v>8.267063775017041</v>
      </c>
      <c r="K1182" s="9">
        <f>'1_Du_lieu'!AD240</f>
        <v>16.7</v>
      </c>
      <c r="L1182" s="5">
        <f t="shared" si="174"/>
        <v>0</v>
      </c>
      <c r="M1182" s="5">
        <f t="shared" si="175"/>
        <v>0</v>
      </c>
      <c r="N1182" s="5">
        <f t="shared" si="176"/>
        <v>0</v>
      </c>
      <c r="O1182" s="5">
        <f t="shared" si="177"/>
        <v>0</v>
      </c>
    </row>
    <row r="1183" spans="1:15" x14ac:dyDescent="0.25">
      <c r="A1183" t="s">
        <v>138</v>
      </c>
      <c r="B1183">
        <v>2020</v>
      </c>
      <c r="C1183" s="7">
        <f>'1_Du_lieu'!V241</f>
        <v>3.6506582412937387</v>
      </c>
      <c r="D1183" s="9">
        <f>'1_Du_lieu'!Z241</f>
        <v>3.8110970868381857</v>
      </c>
      <c r="E1183" s="9">
        <f>'1_Du_lieu'!AA241</f>
        <v>2.68</v>
      </c>
      <c r="F1183" s="9">
        <f>'1_Du_lieu'!AB241</f>
        <v>10.58</v>
      </c>
      <c r="G1183" s="9">
        <f>'1_Du_lieu'!AC241</f>
        <v>15.3</v>
      </c>
      <c r="H1183" s="9">
        <f>'1_Du_lieu'!AE241</f>
        <v>1.4322625798606323</v>
      </c>
      <c r="I1183" s="9">
        <f>'1_Du_lieu'!AF241</f>
        <v>0.69809902266136825</v>
      </c>
      <c r="J1183" s="9">
        <f>'1_Du_lieu'!AG241</f>
        <v>5.9409604149342137</v>
      </c>
      <c r="K1183" s="9">
        <f>'1_Du_lieu'!AD241</f>
        <v>14.4</v>
      </c>
      <c r="L1183" s="5">
        <f t="shared" si="174"/>
        <v>0</v>
      </c>
      <c r="M1183" s="5">
        <f t="shared" si="175"/>
        <v>0</v>
      </c>
      <c r="N1183" s="5">
        <f t="shared" si="176"/>
        <v>0</v>
      </c>
      <c r="O1183" s="5">
        <f t="shared" si="177"/>
        <v>0</v>
      </c>
    </row>
    <row r="1184" spans="1:15" x14ac:dyDescent="0.25">
      <c r="A1184" t="s">
        <v>139</v>
      </c>
      <c r="B1184">
        <v>2020</v>
      </c>
      <c r="C1184" s="7">
        <f>'1_Du_lieu'!V242</f>
        <v>3.6838669122903918</v>
      </c>
      <c r="D1184" s="9">
        <f>'1_Du_lieu'!Z242</f>
        <v>4.5097600011834329</v>
      </c>
      <c r="E1184" s="9">
        <f>'1_Du_lieu'!AA242</f>
        <v>3.5059999999999998</v>
      </c>
      <c r="F1184" s="9">
        <f>'1_Du_lieu'!AB242</f>
        <v>32.06</v>
      </c>
      <c r="G1184" s="9">
        <f>'1_Du_lieu'!AC242</f>
        <v>27.2</v>
      </c>
      <c r="H1184" s="9">
        <f>'1_Du_lieu'!AE242</f>
        <v>3.2693842424150779</v>
      </c>
      <c r="I1184" s="9">
        <f>'1_Du_lieu'!AF242</f>
        <v>2.4788906964133552</v>
      </c>
      <c r="J1184" s="9">
        <f>'1_Du_lieu'!AG242</f>
        <v>8.7663630996346544</v>
      </c>
      <c r="K1184" s="9">
        <f>'1_Du_lieu'!AD242</f>
        <v>23.8</v>
      </c>
      <c r="L1184" s="5">
        <f t="shared" si="174"/>
        <v>0</v>
      </c>
      <c r="M1184" s="5">
        <f t="shared" si="175"/>
        <v>0</v>
      </c>
      <c r="N1184" s="5">
        <f t="shared" si="176"/>
        <v>0</v>
      </c>
      <c r="O1184" s="5">
        <f t="shared" si="177"/>
        <v>0</v>
      </c>
    </row>
    <row r="1185" spans="1:15" x14ac:dyDescent="0.25">
      <c r="A1185" t="s">
        <v>141</v>
      </c>
      <c r="B1185">
        <v>2020</v>
      </c>
      <c r="C1185" s="7">
        <f>'1_Du_lieu'!V244</f>
        <v>3.6888794541139363</v>
      </c>
      <c r="D1185" s="9">
        <f>'1_Du_lieu'!Z244</f>
        <v>4.0000338827508592</v>
      </c>
      <c r="E1185" s="9">
        <f>'1_Du_lieu'!AA244</f>
        <v>2.5539999999999998</v>
      </c>
      <c r="F1185" s="9">
        <f>'1_Du_lieu'!AB244</f>
        <v>14</v>
      </c>
      <c r="G1185" s="9">
        <f>'1_Du_lieu'!AC244</f>
        <v>11.7</v>
      </c>
      <c r="H1185" s="9">
        <f>'1_Du_lieu'!AE244</f>
        <v>1.0239539783474703</v>
      </c>
      <c r="I1185" s="9">
        <f>'1_Du_lieu'!AF244</f>
        <v>0.79261733567344161</v>
      </c>
      <c r="J1185" s="9">
        <f>'1_Du_lieu'!AG244</f>
        <v>7.2878342006998853</v>
      </c>
      <c r="K1185" s="9">
        <f>'1_Du_lieu'!AD244</f>
        <v>18.899999999999999</v>
      </c>
      <c r="L1185" s="5">
        <f t="shared" si="174"/>
        <v>0</v>
      </c>
      <c r="M1185" s="5">
        <f t="shared" si="175"/>
        <v>0</v>
      </c>
      <c r="N1185" s="5">
        <f t="shared" si="176"/>
        <v>0</v>
      </c>
      <c r="O1185" s="5">
        <f t="shared" si="177"/>
        <v>0</v>
      </c>
    </row>
    <row r="1186" spans="1:15" x14ac:dyDescent="0.25">
      <c r="A1186" t="s">
        <v>142</v>
      </c>
      <c r="B1186">
        <v>2020</v>
      </c>
      <c r="C1186" s="7">
        <f>'1_Du_lieu'!V245</f>
        <v>3.4468078929142076</v>
      </c>
      <c r="D1186" s="9">
        <f>'1_Du_lieu'!Z245</f>
        <v>4.0758410906575406</v>
      </c>
      <c r="E1186" s="9">
        <f>'1_Du_lieu'!AA245</f>
        <v>2.0179999999999998</v>
      </c>
      <c r="F1186" s="9">
        <f>'1_Du_lieu'!AB245</f>
        <v>17.25</v>
      </c>
      <c r="G1186" s="9">
        <f>'1_Du_lieu'!AC245</f>
        <v>11.8</v>
      </c>
      <c r="H1186" s="9">
        <f>'1_Du_lieu'!AE245</f>
        <v>1.6547827063630074</v>
      </c>
      <c r="I1186" s="9">
        <f>'1_Du_lieu'!AF245</f>
        <v>0.79262855444367386</v>
      </c>
      <c r="J1186" s="9">
        <f>'1_Du_lieu'!AG245</f>
        <v>8.1019807318531925</v>
      </c>
      <c r="K1186" s="9">
        <f>'1_Du_lieu'!AD245</f>
        <v>14.1</v>
      </c>
      <c r="L1186" s="5">
        <f t="shared" si="174"/>
        <v>0</v>
      </c>
      <c r="M1186" s="5">
        <f t="shared" si="175"/>
        <v>0</v>
      </c>
      <c r="N1186" s="5">
        <f t="shared" si="176"/>
        <v>0</v>
      </c>
      <c r="O1186" s="5">
        <f t="shared" si="177"/>
        <v>0</v>
      </c>
    </row>
    <row r="1187" spans="1:15" x14ac:dyDescent="0.25">
      <c r="A1187" t="s">
        <v>143</v>
      </c>
      <c r="B1187">
        <v>2020</v>
      </c>
      <c r="C1187" s="7">
        <f>'1_Du_lieu'!V246</f>
        <v>3.380994674344636</v>
      </c>
      <c r="D1187" s="9">
        <f>'1_Du_lieu'!Z246</f>
        <v>3.6788291182604347</v>
      </c>
      <c r="E1187" s="9">
        <f>'1_Du_lieu'!AA246</f>
        <v>1.69</v>
      </c>
      <c r="F1187" s="9">
        <f>'1_Du_lieu'!AB246</f>
        <v>13.81</v>
      </c>
      <c r="G1187" s="9">
        <f>'1_Du_lieu'!AC246</f>
        <v>20.7</v>
      </c>
      <c r="H1187" s="9">
        <f>'1_Du_lieu'!AE246</f>
        <v>2.9899096829905254</v>
      </c>
      <c r="I1187" s="9">
        <f>'1_Du_lieu'!AF246</f>
        <v>1.0174233753020476</v>
      </c>
      <c r="J1187" s="9">
        <f>'1_Du_lieu'!AG246</f>
        <v>5.5629866646907447</v>
      </c>
      <c r="K1187" s="9">
        <f>'1_Du_lieu'!AD246</f>
        <v>14.3</v>
      </c>
      <c r="L1187" s="5">
        <f t="shared" si="174"/>
        <v>0</v>
      </c>
      <c r="M1187" s="5">
        <f t="shared" si="175"/>
        <v>0</v>
      </c>
      <c r="N1187" s="5">
        <f t="shared" si="176"/>
        <v>0</v>
      </c>
      <c r="O1187" s="5">
        <f t="shared" si="177"/>
        <v>0</v>
      </c>
    </row>
    <row r="1188" spans="1:15" x14ac:dyDescent="0.25">
      <c r="A1188" t="s">
        <v>144</v>
      </c>
      <c r="B1188">
        <v>2020</v>
      </c>
      <c r="C1188" s="7">
        <f>'1_Du_lieu'!V247</f>
        <v>3.673765816303888</v>
      </c>
      <c r="D1188" s="9">
        <f>'1_Du_lieu'!Z247</f>
        <v>4.257030144499196</v>
      </c>
      <c r="E1188" s="9">
        <f>'1_Du_lieu'!AA247</f>
        <v>3.41</v>
      </c>
      <c r="F1188" s="9">
        <f>'1_Du_lieu'!AB247</f>
        <v>17.78</v>
      </c>
      <c r="G1188" s="9">
        <f>'1_Du_lieu'!AC247</f>
        <v>12.7</v>
      </c>
      <c r="H1188" s="9">
        <f>'1_Du_lieu'!AE247</f>
        <v>2.5903525078824048</v>
      </c>
      <c r="I1188" s="9">
        <f>'1_Du_lieu'!AF247</f>
        <v>1.1948450968677991</v>
      </c>
      <c r="J1188" s="9">
        <f>'1_Du_lieu'!AG247</f>
        <v>8.6939995675220825</v>
      </c>
      <c r="K1188" s="9">
        <f>'1_Du_lieu'!AD247</f>
        <v>15.2</v>
      </c>
      <c r="L1188" s="5">
        <f t="shared" si="174"/>
        <v>0</v>
      </c>
      <c r="M1188" s="5">
        <f t="shared" si="175"/>
        <v>0</v>
      </c>
      <c r="N1188" s="5">
        <f t="shared" si="176"/>
        <v>0</v>
      </c>
      <c r="O1188" s="5">
        <f t="shared" si="177"/>
        <v>0</v>
      </c>
    </row>
    <row r="1189" spans="1:15" x14ac:dyDescent="0.25">
      <c r="A1189" t="s">
        <v>145</v>
      </c>
      <c r="B1189">
        <v>2020</v>
      </c>
      <c r="C1189" s="7">
        <f>'1_Du_lieu'!V248</f>
        <v>3.4626060097907989</v>
      </c>
      <c r="D1189" s="9">
        <f>'1_Du_lieu'!Z248</f>
        <v>3.9684033388642534</v>
      </c>
      <c r="E1189" s="9">
        <f>'1_Du_lieu'!AA248</f>
        <v>2.4279999999999999</v>
      </c>
      <c r="F1189" s="9">
        <f>'1_Du_lieu'!AB248</f>
        <v>16.600000000000001</v>
      </c>
      <c r="G1189" s="9">
        <f>'1_Du_lieu'!AC248</f>
        <v>15.3</v>
      </c>
      <c r="H1189" s="9">
        <f>'1_Du_lieu'!AE248</f>
        <v>0.60091264943201705</v>
      </c>
      <c r="I1189" s="9">
        <f>'1_Du_lieu'!AF248</f>
        <v>0.58673968316057112</v>
      </c>
      <c r="J1189" s="9">
        <f>'1_Du_lieu'!AG248</f>
        <v>6.5878254589802356</v>
      </c>
      <c r="K1189" s="9">
        <f>'1_Du_lieu'!AD248</f>
        <v>15.8</v>
      </c>
      <c r="L1189" s="5">
        <f t="shared" si="174"/>
        <v>0</v>
      </c>
      <c r="M1189" s="5">
        <f t="shared" si="175"/>
        <v>0</v>
      </c>
      <c r="N1189" s="5">
        <f t="shared" si="176"/>
        <v>0</v>
      </c>
      <c r="O1189" s="5">
        <f t="shared" si="177"/>
        <v>0</v>
      </c>
    </row>
    <row r="1190" spans="1:15" x14ac:dyDescent="0.25">
      <c r="A1190" t="s">
        <v>146</v>
      </c>
      <c r="B1190">
        <v>2020</v>
      </c>
      <c r="C1190" s="7">
        <f>'1_Du_lieu'!V249</f>
        <v>3.7887247890836524</v>
      </c>
      <c r="D1190" s="9">
        <f>'1_Du_lieu'!Z249</f>
        <v>4.6298627985784631</v>
      </c>
      <c r="E1190" s="9">
        <f>'1_Du_lieu'!AA249</f>
        <v>6.1210000000000004</v>
      </c>
      <c r="F1190" s="9">
        <f>'1_Du_lieu'!AB249</f>
        <v>25.56</v>
      </c>
      <c r="G1190" s="9">
        <f>'1_Du_lieu'!AC249</f>
        <v>24.9</v>
      </c>
      <c r="H1190" s="9">
        <f>'1_Du_lieu'!AE249</f>
        <v>3.0937468575223277</v>
      </c>
      <c r="I1190" s="9">
        <f>'1_Du_lieu'!AF249</f>
        <v>0.77935573259438873</v>
      </c>
      <c r="J1190" s="9">
        <f>'1_Du_lieu'!AG249</f>
        <v>8.3891552535295322</v>
      </c>
      <c r="K1190" s="9">
        <f>'1_Du_lieu'!AD249</f>
        <v>27.9</v>
      </c>
      <c r="L1190" s="5">
        <f t="shared" si="174"/>
        <v>0</v>
      </c>
      <c r="M1190" s="5">
        <f t="shared" si="175"/>
        <v>0</v>
      </c>
      <c r="N1190" s="5">
        <f t="shared" si="176"/>
        <v>0</v>
      </c>
      <c r="O1190" s="5">
        <f t="shared" si="177"/>
        <v>0</v>
      </c>
    </row>
    <row r="1191" spans="1:15" x14ac:dyDescent="0.25">
      <c r="A1191" t="s">
        <v>147</v>
      </c>
      <c r="B1191">
        <v>2020</v>
      </c>
      <c r="C1191" s="7">
        <f>'1_Du_lieu'!V250</f>
        <v>3.535145354171894</v>
      </c>
      <c r="D1191" s="9">
        <f>'1_Du_lieu'!Z250</f>
        <v>3.6136169696133895</v>
      </c>
      <c r="E1191" s="9">
        <f>'1_Du_lieu'!AA250</f>
        <v>1.9550000000000001</v>
      </c>
      <c r="F1191" s="9">
        <f>'1_Du_lieu'!AB250</f>
        <v>19.84</v>
      </c>
      <c r="G1191" s="9">
        <f>'1_Du_lieu'!AC250</f>
        <v>17.5</v>
      </c>
      <c r="H1191" s="9">
        <f>'1_Du_lieu'!AE250</f>
        <v>2.5830387949817473</v>
      </c>
      <c r="I1191" s="9">
        <f>'1_Du_lieu'!AF250</f>
        <v>0.48602673147023084</v>
      </c>
      <c r="J1191" s="9">
        <f>'1_Du_lieu'!AG250</f>
        <v>6.1681452240118508</v>
      </c>
      <c r="K1191" s="9">
        <f>'1_Du_lieu'!AD250</f>
        <v>10.8</v>
      </c>
      <c r="L1191" s="5">
        <f t="shared" si="174"/>
        <v>0</v>
      </c>
      <c r="M1191" s="5">
        <f t="shared" si="175"/>
        <v>0</v>
      </c>
      <c r="N1191" s="5">
        <f t="shared" si="176"/>
        <v>0</v>
      </c>
      <c r="O1191" s="5">
        <f t="shared" si="177"/>
        <v>0</v>
      </c>
    </row>
    <row r="1192" spans="1:15" x14ac:dyDescent="0.25">
      <c r="A1192" t="s">
        <v>149</v>
      </c>
      <c r="B1192">
        <v>2020</v>
      </c>
      <c r="C1192" s="7">
        <f>'1_Du_lieu'!V252</f>
        <v>4.0673158898341812</v>
      </c>
      <c r="D1192" s="9">
        <f>'1_Du_lieu'!Z252</f>
        <v>4.5788262106484892</v>
      </c>
      <c r="E1192" s="9">
        <f>'1_Du_lieu'!AA252</f>
        <v>19.776</v>
      </c>
      <c r="F1192" s="9">
        <f>'1_Du_lieu'!AB252</f>
        <v>87.16</v>
      </c>
      <c r="G1192" s="9">
        <f>'1_Du_lieu'!AC252</f>
        <v>44.6</v>
      </c>
      <c r="H1192" s="9">
        <f>'1_Du_lieu'!AE252</f>
        <v>3.4355746767835438</v>
      </c>
      <c r="I1192" s="9">
        <f>'1_Du_lieu'!AF252</f>
        <v>6.7478748575935512</v>
      </c>
      <c r="J1192" s="9">
        <f>'1_Du_lieu'!AG252</f>
        <v>8.4870432144653538</v>
      </c>
      <c r="K1192" s="9">
        <f>'1_Du_lieu'!AD252</f>
        <v>50.3</v>
      </c>
      <c r="L1192" s="5">
        <f t="shared" si="174"/>
        <v>0</v>
      </c>
      <c r="M1192" s="5">
        <f t="shared" si="175"/>
        <v>0</v>
      </c>
      <c r="N1192" s="5">
        <f t="shared" si="176"/>
        <v>0</v>
      </c>
      <c r="O1192" s="5">
        <f t="shared" si="177"/>
        <v>0</v>
      </c>
    </row>
    <row r="1193" spans="1:15" x14ac:dyDescent="0.25">
      <c r="A1193" t="s">
        <v>150</v>
      </c>
      <c r="B1193">
        <v>2020</v>
      </c>
      <c r="C1193" s="7">
        <f>'1_Du_lieu'!V253</f>
        <v>3.5890591188317256</v>
      </c>
      <c r="D1193" s="9">
        <f>'1_Du_lieu'!Z253</f>
        <v>3.730501128804756</v>
      </c>
      <c r="E1193" s="9">
        <f>'1_Du_lieu'!AA253</f>
        <v>3.1760000000000002</v>
      </c>
      <c r="F1193" s="9">
        <f>'1_Du_lieu'!AB253</f>
        <v>24.74</v>
      </c>
      <c r="G1193" s="9">
        <f>'1_Du_lieu'!AC253</f>
        <v>14.6</v>
      </c>
      <c r="H1193" s="9">
        <f>'1_Du_lieu'!AE253</f>
        <v>2.1800728531691727</v>
      </c>
      <c r="I1193" s="9">
        <f>'1_Du_lieu'!AF253</f>
        <v>0.48061518743992315</v>
      </c>
      <c r="J1193" s="9">
        <f>'1_Du_lieu'!AG253</f>
        <v>4.4188406077965983</v>
      </c>
      <c r="K1193" s="9">
        <f>'1_Du_lieu'!AD253</f>
        <v>23.4</v>
      </c>
      <c r="L1193" s="5">
        <f t="shared" si="174"/>
        <v>0</v>
      </c>
      <c r="M1193" s="5">
        <f t="shared" si="175"/>
        <v>0</v>
      </c>
      <c r="N1193" s="5">
        <f t="shared" si="176"/>
        <v>0</v>
      </c>
      <c r="O1193" s="5">
        <f t="shared" si="177"/>
        <v>0</v>
      </c>
    </row>
    <row r="1194" spans="1:15" x14ac:dyDescent="0.25">
      <c r="A1194" t="s">
        <v>151</v>
      </c>
      <c r="B1194">
        <v>2020</v>
      </c>
      <c r="C1194" s="7">
        <f>'1_Du_lieu'!V254</f>
        <v>3.4781584227982836</v>
      </c>
      <c r="D1194" s="9">
        <f>'1_Du_lieu'!Z254</f>
        <v>3.8177123259569048</v>
      </c>
      <c r="E1194" s="9">
        <f>'1_Du_lieu'!AA254</f>
        <v>3.19</v>
      </c>
      <c r="F1194" s="9">
        <f>'1_Du_lieu'!AB254</f>
        <v>15.24</v>
      </c>
      <c r="G1194" s="9">
        <f>'1_Du_lieu'!AC254</f>
        <v>14.1</v>
      </c>
      <c r="H1194" s="9">
        <f>'1_Du_lieu'!AE254</f>
        <v>0.97782859061500571</v>
      </c>
      <c r="I1194" s="9">
        <f>'1_Du_lieu'!AF254</f>
        <v>0.4793863854266539</v>
      </c>
      <c r="J1194" s="9">
        <f>'1_Du_lieu'!AG254</f>
        <v>5.4971682252932021</v>
      </c>
      <c r="K1194" s="9">
        <f>'1_Du_lieu'!AD254</f>
        <v>27.5</v>
      </c>
      <c r="L1194" s="5">
        <f t="shared" si="174"/>
        <v>0</v>
      </c>
      <c r="M1194" s="5">
        <f t="shared" si="175"/>
        <v>0</v>
      </c>
      <c r="N1194" s="5">
        <f t="shared" si="176"/>
        <v>0</v>
      </c>
      <c r="O1194" s="5">
        <f t="shared" si="177"/>
        <v>0</v>
      </c>
    </row>
    <row r="1195" spans="1:15" x14ac:dyDescent="0.25">
      <c r="A1195" t="s">
        <v>152</v>
      </c>
      <c r="B1195">
        <v>2020</v>
      </c>
      <c r="C1195" s="7">
        <f>'1_Du_lieu'!V255</f>
        <v>4.0055133485154846</v>
      </c>
      <c r="D1195" s="9">
        <f>'1_Du_lieu'!Z255</f>
        <v>4.7068238397145912</v>
      </c>
      <c r="E1195" s="9">
        <f>'1_Du_lieu'!AA255</f>
        <v>7.1929999999999996</v>
      </c>
      <c r="F1195" s="9">
        <f>'1_Du_lieu'!AB255</f>
        <v>44.06</v>
      </c>
      <c r="G1195" s="9">
        <f>'1_Du_lieu'!AC255</f>
        <v>20</v>
      </c>
      <c r="H1195" s="9">
        <f>'1_Du_lieu'!AE255</f>
        <v>2.7089661617799434</v>
      </c>
      <c r="I1195" s="9">
        <f>'1_Du_lieu'!AF255</f>
        <v>0.57809037479525971</v>
      </c>
      <c r="J1195" s="9">
        <f>'1_Du_lieu'!AG255</f>
        <v>9.2135252947209469</v>
      </c>
      <c r="K1195" s="9">
        <f>'1_Du_lieu'!AD255</f>
        <v>23.3</v>
      </c>
      <c r="L1195" s="5">
        <f t="shared" si="174"/>
        <v>0</v>
      </c>
      <c r="M1195" s="5">
        <f t="shared" si="175"/>
        <v>0</v>
      </c>
      <c r="N1195" s="5">
        <f t="shared" si="176"/>
        <v>0</v>
      </c>
      <c r="O1195" s="5">
        <f t="shared" si="177"/>
        <v>0</v>
      </c>
    </row>
    <row r="1196" spans="1:15" x14ac:dyDescent="0.25">
      <c r="A1196" t="s">
        <v>153</v>
      </c>
      <c r="B1196">
        <v>2020</v>
      </c>
      <c r="C1196" s="7">
        <f>'1_Du_lieu'!V256</f>
        <v>3.6532522764707851</v>
      </c>
      <c r="D1196" s="9">
        <f>'1_Du_lieu'!Z256</f>
        <v>3.9415818076696905</v>
      </c>
      <c r="E1196" s="9">
        <f>'1_Du_lieu'!AA256</f>
        <v>2.129</v>
      </c>
      <c r="F1196" s="9">
        <f>'1_Du_lieu'!AB256</f>
        <v>19.059999999999999</v>
      </c>
      <c r="G1196" s="9">
        <f>'1_Du_lieu'!AC256</f>
        <v>13.5</v>
      </c>
      <c r="H1196" s="9">
        <f>'1_Du_lieu'!AE256</f>
        <v>0.41004139433239756</v>
      </c>
      <c r="I1196" s="9">
        <f>'1_Du_lieu'!AF256</f>
        <v>0.56292219164373281</v>
      </c>
      <c r="J1196" s="9">
        <f>'1_Du_lieu'!AG256</f>
        <v>4.6681449851494801</v>
      </c>
      <c r="K1196" s="9">
        <f>'1_Du_lieu'!AD256</f>
        <v>20.3</v>
      </c>
      <c r="L1196" s="5">
        <f t="shared" si="174"/>
        <v>0</v>
      </c>
      <c r="M1196" s="5">
        <f t="shared" si="175"/>
        <v>0</v>
      </c>
      <c r="N1196" s="5">
        <f t="shared" si="176"/>
        <v>0</v>
      </c>
      <c r="O1196" s="5">
        <f t="shared" si="177"/>
        <v>0</v>
      </c>
    </row>
    <row r="1197" spans="1:15" x14ac:dyDescent="0.25">
      <c r="A1197" t="s">
        <v>85</v>
      </c>
      <c r="B1197">
        <v>2021</v>
      </c>
      <c r="C1197" s="7">
        <f>'1_Du_lieu'!V257</f>
        <v>1.6937790608678513</v>
      </c>
      <c r="D1197" s="9">
        <f>'1_Du_lieu'!Z257</f>
        <v>3.8416005411316001</v>
      </c>
      <c r="E1197" s="9">
        <f>'1_Du_lieu'!AA257</f>
        <v>2.5169999999999999</v>
      </c>
      <c r="F1197" s="9">
        <f>'1_Du_lieu'!AB257</f>
        <v>31.59</v>
      </c>
      <c r="G1197" s="9">
        <f>'1_Du_lieu'!AC257</f>
        <v>13.9</v>
      </c>
      <c r="H1197" s="9">
        <f>'1_Du_lieu'!AE257</f>
        <v>1.3825989091536561</v>
      </c>
      <c r="I1197" s="9">
        <f>'1_Du_lieu'!AF257</f>
        <v>0.47256497768443162</v>
      </c>
      <c r="J1197" s="9">
        <f>'1_Du_lieu'!AG257</f>
        <v>4.9642422545265452</v>
      </c>
      <c r="K1197" s="9">
        <f>'1_Du_lieu'!AD257</f>
        <v>18.399999999999999</v>
      </c>
      <c r="L1197" s="5">
        <f t="shared" si="174"/>
        <v>1</v>
      </c>
      <c r="M1197" s="5">
        <f t="shared" si="175"/>
        <v>0</v>
      </c>
      <c r="N1197" s="5">
        <f t="shared" si="176"/>
        <v>0</v>
      </c>
      <c r="O1197" s="5">
        <f t="shared" si="177"/>
        <v>0</v>
      </c>
    </row>
    <row r="1198" spans="1:15" x14ac:dyDescent="0.25">
      <c r="A1198" t="s">
        <v>87</v>
      </c>
      <c r="B1198">
        <v>2021</v>
      </c>
      <c r="C1198" s="7">
        <f>'1_Du_lieu'!V258</f>
        <v>2.3015845926604621</v>
      </c>
      <c r="D1198" s="9">
        <f>'1_Du_lieu'!Z258</f>
        <v>5.5262494345940434</v>
      </c>
      <c r="E1198" s="9">
        <f>'1_Du_lieu'!AA258</f>
        <v>9.3719999999999999</v>
      </c>
      <c r="F1198" s="9">
        <f>'1_Du_lieu'!AB258</f>
        <v>57.56</v>
      </c>
      <c r="G1198" s="9">
        <f>'1_Du_lieu'!AC258</f>
        <v>30.1</v>
      </c>
      <c r="H1198" s="9">
        <f>'1_Du_lieu'!AE258</f>
        <v>1.8354030636708374</v>
      </c>
      <c r="I1198" s="9">
        <f>'1_Du_lieu'!AF258</f>
        <v>1.2843565373747752</v>
      </c>
      <c r="J1198" s="9">
        <f>'1_Du_lieu'!AG258</f>
        <v>10.241262511674343</v>
      </c>
      <c r="K1198" s="9">
        <f>'1_Du_lieu'!AD258</f>
        <v>26.2</v>
      </c>
      <c r="L1198" s="5">
        <f t="shared" si="174"/>
        <v>1</v>
      </c>
      <c r="M1198" s="5">
        <f t="shared" si="175"/>
        <v>0</v>
      </c>
      <c r="N1198" s="5">
        <f t="shared" si="176"/>
        <v>0</v>
      </c>
      <c r="O1198" s="5">
        <f t="shared" si="177"/>
        <v>0</v>
      </c>
    </row>
    <row r="1199" spans="1:15" x14ac:dyDescent="0.25">
      <c r="A1199" t="s">
        <v>89</v>
      </c>
      <c r="B1199">
        <v>2021</v>
      </c>
      <c r="C1199" s="7">
        <f>'1_Du_lieu'!V259</f>
        <v>2.6919208191723265</v>
      </c>
      <c r="D1199" s="9">
        <f>'1_Du_lieu'!Z259</f>
        <v>5.01396308418893</v>
      </c>
      <c r="E1199" s="9">
        <f>'1_Du_lieu'!AA259</f>
        <v>13.499000000000001</v>
      </c>
      <c r="F1199" s="9">
        <f>'1_Du_lieu'!AB259</f>
        <v>84.41</v>
      </c>
      <c r="G1199" s="9">
        <f>'1_Du_lieu'!AC259</f>
        <v>20.100000000000001</v>
      </c>
      <c r="H1199" s="9">
        <f>'1_Du_lieu'!AE259</f>
        <v>3.1207945456849679</v>
      </c>
      <c r="I1199" s="9">
        <f>'1_Du_lieu'!AF259</f>
        <v>0.65876152832674573</v>
      </c>
      <c r="J1199" s="9">
        <f>'1_Du_lieu'!AG259</f>
        <v>9.5862599444214673</v>
      </c>
      <c r="K1199" s="9">
        <f>'1_Du_lieu'!AD259</f>
        <v>22.2</v>
      </c>
      <c r="L1199" s="5">
        <f t="shared" si="174"/>
        <v>1</v>
      </c>
      <c r="M1199" s="5">
        <f t="shared" si="175"/>
        <v>0</v>
      </c>
      <c r="N1199" s="5">
        <f t="shared" si="176"/>
        <v>0</v>
      </c>
      <c r="O1199" s="5">
        <f t="shared" si="177"/>
        <v>0</v>
      </c>
    </row>
    <row r="1200" spans="1:15" x14ac:dyDescent="0.25">
      <c r="A1200" t="s">
        <v>90</v>
      </c>
      <c r="B1200">
        <v>2021</v>
      </c>
      <c r="C1200" s="7">
        <f>'1_Du_lieu'!V260</f>
        <v>1.6272778305624314</v>
      </c>
      <c r="D1200" s="9">
        <f>'1_Du_lieu'!Z260</f>
        <v>4.2150861799182291</v>
      </c>
      <c r="E1200" s="9">
        <f>'1_Du_lieu'!AA260</f>
        <v>5.7670000000000003</v>
      </c>
      <c r="F1200" s="9">
        <f>'1_Du_lieu'!AB260</f>
        <v>24.03</v>
      </c>
      <c r="G1200" s="9">
        <f>'1_Du_lieu'!AC260</f>
        <v>18.100000000000001</v>
      </c>
      <c r="H1200" s="9">
        <f>'1_Du_lieu'!AE260</f>
        <v>1.0237813084651139</v>
      </c>
      <c r="I1200" s="9">
        <f>'1_Du_lieu'!AF260</f>
        <v>1.087924043121353</v>
      </c>
      <c r="J1200" s="9">
        <f>'1_Du_lieu'!AG260</f>
        <v>8.0796490078443259</v>
      </c>
      <c r="K1200" s="9">
        <f>'1_Du_lieu'!AD260</f>
        <v>21.2</v>
      </c>
      <c r="L1200" s="5">
        <f t="shared" si="174"/>
        <v>1</v>
      </c>
      <c r="M1200" s="5">
        <f t="shared" si="175"/>
        <v>0</v>
      </c>
      <c r="N1200" s="5">
        <f t="shared" si="176"/>
        <v>0</v>
      </c>
      <c r="O1200" s="5">
        <f t="shared" si="177"/>
        <v>0</v>
      </c>
    </row>
    <row r="1201" spans="1:15" x14ac:dyDescent="0.25">
      <c r="A1201" t="s">
        <v>91</v>
      </c>
      <c r="B1201">
        <v>2021</v>
      </c>
      <c r="C1201" s="7">
        <f>'1_Du_lieu'!V261</f>
        <v>1.7613002617433464</v>
      </c>
      <c r="D1201" s="9">
        <f>'1_Du_lieu'!Z261</f>
        <v>4.2370008626236242</v>
      </c>
      <c r="E1201" s="9">
        <f>'1_Du_lieu'!AA261</f>
        <v>4.2119999999999997</v>
      </c>
      <c r="F1201" s="9">
        <f>'1_Du_lieu'!AB261</f>
        <v>38.090000000000003</v>
      </c>
      <c r="G1201" s="9">
        <f>'1_Du_lieu'!AC261</f>
        <v>15.7</v>
      </c>
      <c r="H1201" s="9">
        <f>'1_Du_lieu'!AE261</f>
        <v>1.6399841007239431</v>
      </c>
      <c r="I1201" s="9">
        <f>'1_Du_lieu'!AF261</f>
        <v>0.32276284999596544</v>
      </c>
      <c r="J1201" s="9">
        <f>'1_Du_lieu'!AG261</f>
        <v>8.0311252187759727</v>
      </c>
      <c r="K1201" s="9">
        <f>'1_Du_lieu'!AD261</f>
        <v>20.100000000000001</v>
      </c>
      <c r="L1201" s="5">
        <f t="shared" si="174"/>
        <v>1</v>
      </c>
      <c r="M1201" s="5">
        <f t="shared" si="175"/>
        <v>0</v>
      </c>
      <c r="N1201" s="5">
        <f t="shared" si="176"/>
        <v>0</v>
      </c>
      <c r="O1201" s="5">
        <f t="shared" si="177"/>
        <v>0</v>
      </c>
    </row>
    <row r="1202" spans="1:15" x14ac:dyDescent="0.25">
      <c r="A1202" t="s">
        <v>93</v>
      </c>
      <c r="B1202">
        <v>2021</v>
      </c>
      <c r="C1202" s="7">
        <f>'1_Du_lieu'!V262</f>
        <v>1.8453002361560848</v>
      </c>
      <c r="D1202" s="9">
        <f>'1_Du_lieu'!Z262</f>
        <v>4.0960098415411617</v>
      </c>
      <c r="E1202" s="9">
        <f>'1_Du_lieu'!AA262</f>
        <v>4.5309999999999997</v>
      </c>
      <c r="F1202" s="9">
        <f>'1_Du_lieu'!AB262</f>
        <v>40.32</v>
      </c>
      <c r="G1202" s="9">
        <f>'1_Du_lieu'!AC262</f>
        <v>21.8</v>
      </c>
      <c r="H1202" s="9">
        <f>'1_Du_lieu'!AE262</f>
        <v>2.8198086483769287</v>
      </c>
      <c r="I1202" s="9">
        <f>'1_Du_lieu'!AF262</f>
        <v>0.80650581356273943</v>
      </c>
      <c r="J1202" s="9">
        <f>'1_Du_lieu'!AG262</f>
        <v>6.5935923292807583</v>
      </c>
      <c r="K1202" s="9">
        <f>'1_Du_lieu'!AD262</f>
        <v>24.7</v>
      </c>
      <c r="L1202" s="5">
        <f t="shared" si="174"/>
        <v>1</v>
      </c>
      <c r="M1202" s="5">
        <f t="shared" si="175"/>
        <v>0</v>
      </c>
      <c r="N1202" s="5">
        <f t="shared" si="176"/>
        <v>0</v>
      </c>
      <c r="O1202" s="5">
        <f t="shared" si="177"/>
        <v>0</v>
      </c>
    </row>
    <row r="1203" spans="1:15" x14ac:dyDescent="0.25">
      <c r="A1203" t="s">
        <v>95</v>
      </c>
      <c r="B1203">
        <v>2021</v>
      </c>
      <c r="C1203" s="7">
        <f>'1_Du_lieu'!V264</f>
        <v>1.8578592709325787</v>
      </c>
      <c r="D1203" s="9">
        <f>'1_Du_lieu'!Z264</f>
        <v>4.1835756959500436</v>
      </c>
      <c r="E1203" s="9">
        <f>'1_Du_lieu'!AA264</f>
        <v>3.556</v>
      </c>
      <c r="F1203" s="9">
        <f>'1_Du_lieu'!AB264</f>
        <v>18.14</v>
      </c>
      <c r="G1203" s="9">
        <f>'1_Du_lieu'!AC264</f>
        <v>19.8</v>
      </c>
      <c r="H1203" s="9">
        <f>'1_Du_lieu'!AE264</f>
        <v>2.5279850021170573</v>
      </c>
      <c r="I1203" s="9">
        <f>'1_Du_lieu'!AF264</f>
        <v>0.86880973066898359</v>
      </c>
      <c r="J1203" s="9">
        <f>'1_Du_lieu'!AG264</f>
        <v>8.262584772471449</v>
      </c>
      <c r="K1203" s="9">
        <f>'1_Du_lieu'!AD264</f>
        <v>17.8</v>
      </c>
      <c r="L1203" s="5">
        <f t="shared" si="174"/>
        <v>1</v>
      </c>
      <c r="M1203" s="5">
        <f t="shared" si="175"/>
        <v>0</v>
      </c>
      <c r="N1203" s="5">
        <f t="shared" si="176"/>
        <v>0</v>
      </c>
      <c r="O1203" s="5">
        <f t="shared" si="177"/>
        <v>0</v>
      </c>
    </row>
    <row r="1204" spans="1:15" x14ac:dyDescent="0.25">
      <c r="A1204" t="s">
        <v>97</v>
      </c>
      <c r="B1204">
        <v>2021</v>
      </c>
      <c r="C1204" s="7">
        <f>'1_Du_lieu'!V265</f>
        <v>1.3812818192963463</v>
      </c>
      <c r="D1204" s="9">
        <f>'1_Du_lieu'!Z265</f>
        <v>3.7160081215021892</v>
      </c>
      <c r="E1204" s="9">
        <f>'1_Du_lieu'!AA265</f>
        <v>1.9019999999999999</v>
      </c>
      <c r="F1204" s="9">
        <f>'1_Du_lieu'!AB265</f>
        <v>22.59</v>
      </c>
      <c r="G1204" s="9">
        <f>'1_Du_lieu'!AC265</f>
        <v>16.3</v>
      </c>
      <c r="H1204" s="9">
        <f>'1_Du_lieu'!AE265</f>
        <v>1.2939261370366355</v>
      </c>
      <c r="I1204" s="9">
        <f>'1_Du_lieu'!AF265</f>
        <v>0.94786729857819907</v>
      </c>
      <c r="J1204" s="9">
        <f>'1_Du_lieu'!AG265</f>
        <v>3.039749158970765</v>
      </c>
      <c r="K1204" s="9">
        <f>'1_Du_lieu'!AD265</f>
        <v>16.5</v>
      </c>
      <c r="L1204" s="5">
        <f t="shared" si="174"/>
        <v>1</v>
      </c>
      <c r="M1204" s="5">
        <f t="shared" si="175"/>
        <v>0</v>
      </c>
      <c r="N1204" s="5">
        <f t="shared" si="176"/>
        <v>0</v>
      </c>
      <c r="O1204" s="5">
        <f t="shared" si="177"/>
        <v>0</v>
      </c>
    </row>
    <row r="1205" spans="1:15" x14ac:dyDescent="0.25">
      <c r="A1205" t="s">
        <v>98</v>
      </c>
      <c r="B1205">
        <v>2021</v>
      </c>
      <c r="C1205" s="7">
        <f>'1_Du_lieu'!V266</f>
        <v>2.2417729535972883</v>
      </c>
      <c r="D1205" s="9">
        <f>'1_Du_lieu'!Z266</f>
        <v>4.9924713234685845</v>
      </c>
      <c r="E1205" s="9">
        <f>'1_Du_lieu'!AA266</f>
        <v>8.9979999999999993</v>
      </c>
      <c r="F1205" s="9">
        <f>'1_Du_lieu'!AB266</f>
        <v>31.47</v>
      </c>
      <c r="G1205" s="9">
        <f>'1_Du_lieu'!AC266</f>
        <v>27.8</v>
      </c>
      <c r="H1205" s="9">
        <f>'1_Du_lieu'!AE266</f>
        <v>2.6688349373973557</v>
      </c>
      <c r="I1205" s="9">
        <f>'1_Du_lieu'!AF266</f>
        <v>2.1140159255866395</v>
      </c>
      <c r="J1205" s="9">
        <f>'1_Du_lieu'!AG266</f>
        <v>9.5441304433774565</v>
      </c>
      <c r="K1205" s="9">
        <f>'1_Du_lieu'!AD266</f>
        <v>29.1</v>
      </c>
      <c r="L1205" s="5">
        <f t="shared" si="174"/>
        <v>1</v>
      </c>
      <c r="M1205" s="5">
        <f t="shared" si="175"/>
        <v>0</v>
      </c>
      <c r="N1205" s="5">
        <f t="shared" si="176"/>
        <v>0</v>
      </c>
      <c r="O1205" s="5">
        <f t="shared" si="177"/>
        <v>0</v>
      </c>
    </row>
    <row r="1206" spans="1:15" x14ac:dyDescent="0.25">
      <c r="A1206" t="s">
        <v>100</v>
      </c>
      <c r="B1206">
        <v>2021</v>
      </c>
      <c r="C1206" s="7">
        <f>'1_Du_lieu'!V267</f>
        <v>1.8961194845522977</v>
      </c>
      <c r="D1206" s="9">
        <f>'1_Du_lieu'!Z267</f>
        <v>3.735285826928092</v>
      </c>
      <c r="E1206" s="9">
        <f>'1_Du_lieu'!AA267</f>
        <v>2.5739999999999998</v>
      </c>
      <c r="F1206" s="9">
        <f>'1_Du_lieu'!AB267</f>
        <v>9.8000000000000007</v>
      </c>
      <c r="G1206" s="9">
        <f>'1_Du_lieu'!AC267</f>
        <v>12.6</v>
      </c>
      <c r="H1206" s="9">
        <f>'1_Du_lieu'!AE267</f>
        <v>0.92153846733122535</v>
      </c>
      <c r="I1206" s="9">
        <f>'1_Du_lieu'!AF267</f>
        <v>0.46425255338904359</v>
      </c>
      <c r="J1206" s="9">
        <f>'1_Du_lieu'!AG267</f>
        <v>7.1294577924999425</v>
      </c>
      <c r="K1206" s="9">
        <f>'1_Du_lieu'!AD267</f>
        <v>14.5</v>
      </c>
      <c r="L1206" s="5">
        <f t="shared" si="174"/>
        <v>1</v>
      </c>
      <c r="M1206" s="5">
        <f t="shared" si="175"/>
        <v>0</v>
      </c>
      <c r="N1206" s="5">
        <f t="shared" si="176"/>
        <v>0</v>
      </c>
      <c r="O1206" s="5">
        <f t="shared" si="177"/>
        <v>0</v>
      </c>
    </row>
    <row r="1207" spans="1:15" x14ac:dyDescent="0.25">
      <c r="A1207" t="s">
        <v>102</v>
      </c>
      <c r="B1207">
        <v>2021</v>
      </c>
      <c r="C1207" s="7">
        <f>'1_Du_lieu'!V269</f>
        <v>1.5432981099295553</v>
      </c>
      <c r="D1207" s="9">
        <f>'1_Du_lieu'!Z269</f>
        <v>3.9357395320454622</v>
      </c>
      <c r="E1207" s="9">
        <f>'1_Du_lieu'!AA269</f>
        <v>2.9929999999999999</v>
      </c>
      <c r="F1207" s="9">
        <f>'1_Du_lieu'!AB269</f>
        <v>22.71</v>
      </c>
      <c r="G1207" s="9">
        <f>'1_Du_lieu'!AC269</f>
        <v>13</v>
      </c>
      <c r="H1207" s="9">
        <f>'1_Du_lieu'!AE269</f>
        <v>-0.64931105481926565</v>
      </c>
      <c r="I1207" s="9">
        <f>'1_Du_lieu'!AF269</f>
        <v>0.67007287042465857</v>
      </c>
      <c r="J1207" s="9">
        <f>'1_Du_lieu'!AG269</f>
        <v>4.8418220873270936</v>
      </c>
      <c r="K1207" s="9">
        <f>'1_Du_lieu'!AD269</f>
        <v>16.5</v>
      </c>
      <c r="L1207" s="5">
        <f t="shared" ref="L1207:L1270" si="178">IF(B1207=2021,1,0)</f>
        <v>1</v>
      </c>
      <c r="M1207" s="5">
        <f t="shared" ref="M1207:M1270" si="179">IF(B1207=2022,1,0)</f>
        <v>0</v>
      </c>
      <c r="N1207" s="5">
        <f t="shared" ref="N1207:N1270" si="180">IF(B1207=2023,1,0)</f>
        <v>0</v>
      </c>
      <c r="O1207" s="5">
        <f t="shared" ref="O1207:O1270" si="181">IF(B1207=2024,1,0)</f>
        <v>0</v>
      </c>
    </row>
    <row r="1208" spans="1:15" x14ac:dyDescent="0.25">
      <c r="A1208" t="s">
        <v>103</v>
      </c>
      <c r="B1208">
        <v>2021</v>
      </c>
      <c r="C1208" s="7">
        <f>'1_Du_lieu'!V270</f>
        <v>2.150598735996164</v>
      </c>
      <c r="D1208" s="9">
        <f>'1_Du_lieu'!Z270</f>
        <v>4.282206299391671</v>
      </c>
      <c r="E1208" s="9">
        <f>'1_Du_lieu'!AA270</f>
        <v>7.3250000000000002</v>
      </c>
      <c r="F1208" s="9">
        <f>'1_Du_lieu'!AB270</f>
        <v>70.02</v>
      </c>
      <c r="G1208" s="9">
        <f>'1_Du_lieu'!AC270</f>
        <v>20.6</v>
      </c>
      <c r="H1208" s="9">
        <f>'1_Du_lieu'!AE270</f>
        <v>0.83164325781387038</v>
      </c>
      <c r="I1208" s="9">
        <f>'1_Du_lieu'!AF270</f>
        <v>1.3701942451841702</v>
      </c>
      <c r="J1208" s="9">
        <f>'1_Du_lieu'!AG270</f>
        <v>6.3919171133926023</v>
      </c>
      <c r="K1208" s="9">
        <f>'1_Du_lieu'!AD270</f>
        <v>24.6</v>
      </c>
      <c r="L1208" s="5">
        <f t="shared" si="178"/>
        <v>1</v>
      </c>
      <c r="M1208" s="5">
        <f t="shared" si="179"/>
        <v>0</v>
      </c>
      <c r="N1208" s="5">
        <f t="shared" si="180"/>
        <v>0</v>
      </c>
      <c r="O1208" s="5">
        <f t="shared" si="181"/>
        <v>0</v>
      </c>
    </row>
    <row r="1209" spans="1:15" x14ac:dyDescent="0.25">
      <c r="A1209" t="s">
        <v>104</v>
      </c>
      <c r="B1209">
        <v>2021</v>
      </c>
      <c r="C1209" s="7">
        <f>'1_Du_lieu'!V271</f>
        <v>1.6174060820832772</v>
      </c>
      <c r="D1209" s="9">
        <f>'1_Du_lieu'!Z271</f>
        <v>3.751854253275325</v>
      </c>
      <c r="E1209" s="9">
        <f>'1_Du_lieu'!AA271</f>
        <v>2.92</v>
      </c>
      <c r="F1209" s="9">
        <f>'1_Du_lieu'!AB271</f>
        <v>29.01</v>
      </c>
      <c r="G1209" s="9">
        <f>'1_Du_lieu'!AC271</f>
        <v>14.9</v>
      </c>
      <c r="H1209" s="9">
        <f>'1_Du_lieu'!AE271</f>
        <v>2.6839279710629196</v>
      </c>
      <c r="I1209" s="9">
        <f>'1_Du_lieu'!AF271</f>
        <v>1.2971851083149566</v>
      </c>
      <c r="J1209" s="9">
        <f>'1_Du_lieu'!AG271</f>
        <v>2.631888840136646</v>
      </c>
      <c r="K1209" s="9">
        <f>'1_Du_lieu'!AD271</f>
        <v>16.8</v>
      </c>
      <c r="L1209" s="5">
        <f t="shared" si="178"/>
        <v>1</v>
      </c>
      <c r="M1209" s="5">
        <f t="shared" si="179"/>
        <v>0</v>
      </c>
      <c r="N1209" s="5">
        <f t="shared" si="180"/>
        <v>0</v>
      </c>
      <c r="O1209" s="5">
        <f t="shared" si="181"/>
        <v>0</v>
      </c>
    </row>
    <row r="1210" spans="1:15" x14ac:dyDescent="0.25">
      <c r="A1210" t="s">
        <v>107</v>
      </c>
      <c r="B1210">
        <v>2021</v>
      </c>
      <c r="C1210" s="7">
        <f>'1_Du_lieu'!V273</f>
        <v>1.8733394562204779</v>
      </c>
      <c r="D1210" s="9">
        <f>'1_Du_lieu'!Z273</f>
        <v>4.2413267525707461</v>
      </c>
      <c r="E1210" s="9">
        <f>'1_Du_lieu'!AA273</f>
        <v>5.218</v>
      </c>
      <c r="F1210" s="9">
        <f>'1_Du_lieu'!AB273</f>
        <v>27.81</v>
      </c>
      <c r="G1210" s="9">
        <f>'1_Du_lieu'!AC273</f>
        <v>22.1</v>
      </c>
      <c r="H1210" s="9">
        <f>'1_Du_lieu'!AE273</f>
        <v>2.7133351974907103</v>
      </c>
      <c r="I1210" s="9">
        <f>'1_Du_lieu'!AF273</f>
        <v>1.1603620329542819</v>
      </c>
      <c r="J1210" s="9">
        <f>'1_Du_lieu'!AG273</f>
        <v>8.4877643807254248</v>
      </c>
      <c r="K1210" s="9">
        <f>'1_Du_lieu'!AD273</f>
        <v>20.3</v>
      </c>
      <c r="L1210" s="5">
        <f t="shared" si="178"/>
        <v>1</v>
      </c>
      <c r="M1210" s="5">
        <f t="shared" si="179"/>
        <v>0</v>
      </c>
      <c r="N1210" s="5">
        <f t="shared" si="180"/>
        <v>0</v>
      </c>
      <c r="O1210" s="5">
        <f t="shared" si="181"/>
        <v>0</v>
      </c>
    </row>
    <row r="1211" spans="1:15" x14ac:dyDescent="0.25">
      <c r="A1211" t="s">
        <v>108</v>
      </c>
      <c r="B1211">
        <v>2021</v>
      </c>
      <c r="C1211" s="7">
        <f>'1_Du_lieu'!V274</f>
        <v>4.0192617560977446</v>
      </c>
      <c r="D1211" s="9">
        <f>'1_Du_lieu'!Z274</f>
        <v>4.8154311114712876</v>
      </c>
      <c r="E1211" s="9">
        <f>'1_Du_lieu'!AA274</f>
        <v>20.114999999999998</v>
      </c>
      <c r="F1211" s="9">
        <f>'1_Du_lieu'!AB274</f>
        <v>49.25</v>
      </c>
      <c r="G1211" s="9">
        <f>'1_Du_lieu'!AC274</f>
        <v>48.5</v>
      </c>
      <c r="H1211" s="9">
        <f>'1_Du_lieu'!AE274</f>
        <v>2.7241116343221288</v>
      </c>
      <c r="I1211" s="9">
        <f>'1_Du_lieu'!AF274</f>
        <v>1.9280907051476386</v>
      </c>
      <c r="J1211" s="9">
        <f>'1_Du_lieu'!AG274</f>
        <v>8.3882683153410103</v>
      </c>
      <c r="K1211" s="9">
        <f>'1_Du_lieu'!AD274</f>
        <v>48</v>
      </c>
      <c r="L1211" s="5">
        <f t="shared" si="178"/>
        <v>1</v>
      </c>
      <c r="M1211" s="5">
        <f t="shared" si="179"/>
        <v>0</v>
      </c>
      <c r="N1211" s="5">
        <f t="shared" si="180"/>
        <v>0</v>
      </c>
      <c r="O1211" s="5">
        <f t="shared" si="181"/>
        <v>0</v>
      </c>
    </row>
    <row r="1212" spans="1:15" x14ac:dyDescent="0.25">
      <c r="A1212" t="s">
        <v>109</v>
      </c>
      <c r="B1212">
        <v>2021</v>
      </c>
      <c r="C1212" s="7">
        <f>'1_Du_lieu'!V275</f>
        <v>1.7509374747077999</v>
      </c>
      <c r="D1212" s="9">
        <f>'1_Du_lieu'!Z275</f>
        <v>4.1526134703460764</v>
      </c>
      <c r="E1212" s="9">
        <f>'1_Du_lieu'!AA275</f>
        <v>3.73</v>
      </c>
      <c r="F1212" s="9">
        <f>'1_Du_lieu'!AB275</f>
        <v>22.2</v>
      </c>
      <c r="G1212" s="9">
        <f>'1_Du_lieu'!AC275</f>
        <v>25.7</v>
      </c>
      <c r="H1212" s="9">
        <f>'1_Du_lieu'!AE275</f>
        <v>3.2259676934436348</v>
      </c>
      <c r="I1212" s="9">
        <f>'1_Du_lieu'!AF275</f>
        <v>0.38562393953416629</v>
      </c>
      <c r="J1212" s="9">
        <f>'1_Du_lieu'!AG275</f>
        <v>9.1110502828289714</v>
      </c>
      <c r="K1212" s="9">
        <f>'1_Du_lieu'!AD275</f>
        <v>18.5</v>
      </c>
      <c r="L1212" s="5">
        <f t="shared" si="178"/>
        <v>1</v>
      </c>
      <c r="M1212" s="5">
        <f t="shared" si="179"/>
        <v>0</v>
      </c>
      <c r="N1212" s="5">
        <f t="shared" si="180"/>
        <v>0</v>
      </c>
      <c r="O1212" s="5">
        <f t="shared" si="181"/>
        <v>0</v>
      </c>
    </row>
    <row r="1213" spans="1:15" x14ac:dyDescent="0.25">
      <c r="A1213" t="s">
        <v>110</v>
      </c>
      <c r="B1213">
        <v>2021</v>
      </c>
      <c r="C1213" s="7">
        <f>'1_Du_lieu'!V276</f>
        <v>1.5260563034950492</v>
      </c>
      <c r="D1213" s="9">
        <f>'1_Du_lieu'!Z276</f>
        <v>4.0552571735140539</v>
      </c>
      <c r="E1213" s="9">
        <f>'1_Du_lieu'!AA276</f>
        <v>2.8610000000000002</v>
      </c>
      <c r="F1213" s="9">
        <f>'1_Du_lieu'!AB276</f>
        <v>23.85</v>
      </c>
      <c r="G1213" s="9">
        <f>'1_Du_lieu'!AC276</f>
        <v>18.600000000000001</v>
      </c>
      <c r="H1213" s="9">
        <f>'1_Du_lieu'!AE276</f>
        <v>2.3219390891201424</v>
      </c>
      <c r="I1213" s="9">
        <f>'1_Du_lieu'!AF276</f>
        <v>1.0450534138411518</v>
      </c>
      <c r="J1213" s="9">
        <f>'1_Du_lieu'!AG276</f>
        <v>6.7341159225710161</v>
      </c>
      <c r="K1213" s="9">
        <f>'1_Du_lieu'!AD276</f>
        <v>14.4</v>
      </c>
      <c r="L1213" s="5">
        <f t="shared" si="178"/>
        <v>1</v>
      </c>
      <c r="M1213" s="5">
        <f t="shared" si="179"/>
        <v>0</v>
      </c>
      <c r="N1213" s="5">
        <f t="shared" si="180"/>
        <v>0</v>
      </c>
      <c r="O1213" s="5">
        <f t="shared" si="181"/>
        <v>0</v>
      </c>
    </row>
    <row r="1214" spans="1:15" x14ac:dyDescent="0.25">
      <c r="A1214" t="s">
        <v>111</v>
      </c>
      <c r="B1214">
        <v>2021</v>
      </c>
      <c r="C1214" s="7">
        <f>'1_Du_lieu'!V277</f>
        <v>1.9960599327407849</v>
      </c>
      <c r="D1214" s="9">
        <f>'1_Du_lieu'!Z277</f>
        <v>4.3694478524670215</v>
      </c>
      <c r="E1214" s="9">
        <f>'1_Du_lieu'!AA277</f>
        <v>6.0430000000000001</v>
      </c>
      <c r="F1214" s="9">
        <f>'1_Du_lieu'!AB277</f>
        <v>16.52</v>
      </c>
      <c r="G1214" s="9">
        <f>'1_Du_lieu'!AC277</f>
        <v>26.4</v>
      </c>
      <c r="H1214" s="9">
        <f>'1_Du_lieu'!AE277</f>
        <v>3.1917424454682166</v>
      </c>
      <c r="I1214" s="9">
        <f>'1_Du_lieu'!AF277</f>
        <v>1.8123079347569144</v>
      </c>
      <c r="J1214" s="9">
        <f>'1_Du_lieu'!AG277</f>
        <v>8.3331501537239419</v>
      </c>
      <c r="K1214" s="9">
        <f>'1_Du_lieu'!AD277</f>
        <v>23.9</v>
      </c>
      <c r="L1214" s="5">
        <f t="shared" si="178"/>
        <v>1</v>
      </c>
      <c r="M1214" s="5">
        <f t="shared" si="179"/>
        <v>0</v>
      </c>
      <c r="N1214" s="5">
        <f t="shared" si="180"/>
        <v>0</v>
      </c>
      <c r="O1214" s="5">
        <f t="shared" si="181"/>
        <v>0</v>
      </c>
    </row>
    <row r="1215" spans="1:15" x14ac:dyDescent="0.25">
      <c r="A1215" t="s">
        <v>112</v>
      </c>
      <c r="B1215">
        <v>2021</v>
      </c>
      <c r="C1215" s="7">
        <f>'1_Du_lieu'!V278</f>
        <v>1.9169226121820611</v>
      </c>
      <c r="D1215" s="9">
        <f>'1_Du_lieu'!Z278</f>
        <v>4.2253728246285052</v>
      </c>
      <c r="E1215" s="9">
        <f>'1_Du_lieu'!AA278</f>
        <v>5.0540000000000003</v>
      </c>
      <c r="F1215" s="9">
        <f>'1_Du_lieu'!AB278</f>
        <v>31.47</v>
      </c>
      <c r="G1215" s="9">
        <f>'1_Du_lieu'!AC278</f>
        <v>24.8</v>
      </c>
      <c r="H1215" s="9">
        <f>'1_Du_lieu'!AE278</f>
        <v>2.9572562746849327</v>
      </c>
      <c r="I1215" s="9">
        <f>'1_Du_lieu'!AF278</f>
        <v>0.52170283806343909</v>
      </c>
      <c r="J1215" s="9">
        <f>'1_Du_lieu'!AG278</f>
        <v>8.4325499173471332</v>
      </c>
      <c r="K1215" s="9">
        <f>'1_Du_lieu'!AD278</f>
        <v>27.5</v>
      </c>
      <c r="L1215" s="5">
        <f t="shared" si="178"/>
        <v>1</v>
      </c>
      <c r="M1215" s="5">
        <f t="shared" si="179"/>
        <v>0</v>
      </c>
      <c r="N1215" s="5">
        <f t="shared" si="180"/>
        <v>0</v>
      </c>
      <c r="O1215" s="5">
        <f t="shared" si="181"/>
        <v>0</v>
      </c>
    </row>
    <row r="1216" spans="1:15" x14ac:dyDescent="0.25">
      <c r="A1216" t="s">
        <v>113</v>
      </c>
      <c r="B1216">
        <v>2021</v>
      </c>
      <c r="C1216" s="7">
        <f>'1_Du_lieu'!V279</f>
        <v>2.4078456036515385</v>
      </c>
      <c r="D1216" s="9">
        <f>'1_Du_lieu'!Z279</f>
        <v>4.8970932526971271</v>
      </c>
      <c r="E1216" s="9">
        <f>'1_Du_lieu'!AA279</f>
        <v>9.8339999999999996</v>
      </c>
      <c r="F1216" s="9">
        <f>'1_Du_lieu'!AB279</f>
        <v>45.41</v>
      </c>
      <c r="G1216" s="9">
        <f>'1_Du_lieu'!AC279</f>
        <v>34.700000000000003</v>
      </c>
      <c r="H1216" s="9">
        <f>'1_Du_lieu'!AE279</f>
        <v>3.8170726342718257</v>
      </c>
      <c r="I1216" s="9">
        <f>'1_Du_lieu'!AF279</f>
        <v>1.7531044558071585</v>
      </c>
      <c r="J1216" s="9">
        <f>'1_Du_lieu'!AG279</f>
        <v>9.199623147134977</v>
      </c>
      <c r="K1216" s="9">
        <f>'1_Du_lieu'!AD279</f>
        <v>29</v>
      </c>
      <c r="L1216" s="5">
        <f t="shared" si="178"/>
        <v>1</v>
      </c>
      <c r="M1216" s="5">
        <f t="shared" si="179"/>
        <v>0</v>
      </c>
      <c r="N1216" s="5">
        <f t="shared" si="180"/>
        <v>0</v>
      </c>
      <c r="O1216" s="5">
        <f t="shared" si="181"/>
        <v>0</v>
      </c>
    </row>
    <row r="1217" spans="1:15" x14ac:dyDescent="0.25">
      <c r="A1217" t="s">
        <v>114</v>
      </c>
      <c r="B1217">
        <v>2021</v>
      </c>
      <c r="C1217" s="7">
        <f>'1_Du_lieu'!V280</f>
        <v>1.4929040961781488</v>
      </c>
      <c r="D1217" s="9">
        <f>'1_Du_lieu'!Z280</f>
        <v>3.9415818076696905</v>
      </c>
      <c r="E1217" s="9">
        <f>'1_Du_lieu'!AA280</f>
        <v>3.0640000000000001</v>
      </c>
      <c r="F1217" s="9">
        <f>'1_Du_lieu'!AB280</f>
        <v>27.97</v>
      </c>
      <c r="G1217" s="9">
        <f>'1_Du_lieu'!AC280</f>
        <v>14.2</v>
      </c>
      <c r="H1217" s="9">
        <f>'1_Du_lieu'!AE280</f>
        <v>1.0797081340289572</v>
      </c>
      <c r="I1217" s="9">
        <f>'1_Du_lieu'!AF280</f>
        <v>0.68511921074266924</v>
      </c>
      <c r="J1217" s="9">
        <f>'1_Du_lieu'!AG280</f>
        <v>6.5749363608588265</v>
      </c>
      <c r="K1217" s="9">
        <f>'1_Du_lieu'!AD280</f>
        <v>15.7</v>
      </c>
      <c r="L1217" s="5">
        <f t="shared" si="178"/>
        <v>1</v>
      </c>
      <c r="M1217" s="5">
        <f t="shared" si="179"/>
        <v>0</v>
      </c>
      <c r="N1217" s="5">
        <f t="shared" si="180"/>
        <v>0</v>
      </c>
      <c r="O1217" s="5">
        <f t="shared" si="181"/>
        <v>0</v>
      </c>
    </row>
    <row r="1218" spans="1:15" x14ac:dyDescent="0.25">
      <c r="A1218" t="s">
        <v>115</v>
      </c>
      <c r="B1218">
        <v>2021</v>
      </c>
      <c r="C1218" s="7">
        <f>'1_Du_lieu'!V281</f>
        <v>2.2731562823032334</v>
      </c>
      <c r="D1218" s="9">
        <f>'1_Du_lieu'!Z281</f>
        <v>4.1635596312435741</v>
      </c>
      <c r="E1218" s="9">
        <f>'1_Du_lieu'!AA281</f>
        <v>9.0410000000000004</v>
      </c>
      <c r="F1218" s="9">
        <f>'1_Du_lieu'!AB281</f>
        <v>42.4</v>
      </c>
      <c r="G1218" s="9">
        <f>'1_Du_lieu'!AC281</f>
        <v>23.9</v>
      </c>
      <c r="H1218" s="9">
        <f>'1_Du_lieu'!AE281</f>
        <v>2.7153971117261362</v>
      </c>
      <c r="I1218" s="9">
        <f>'1_Du_lieu'!AF281</f>
        <v>3.3053853595614315</v>
      </c>
      <c r="J1218" s="9">
        <f>'1_Du_lieu'!AG281</f>
        <v>8.1649654866904893</v>
      </c>
      <c r="K1218" s="9">
        <f>'1_Du_lieu'!AD281</f>
        <v>31.1</v>
      </c>
      <c r="L1218" s="5">
        <f t="shared" si="178"/>
        <v>1</v>
      </c>
      <c r="M1218" s="5">
        <f t="shared" si="179"/>
        <v>0</v>
      </c>
      <c r="N1218" s="5">
        <f t="shared" si="180"/>
        <v>0</v>
      </c>
      <c r="O1218" s="5">
        <f t="shared" si="181"/>
        <v>0</v>
      </c>
    </row>
    <row r="1219" spans="1:15" x14ac:dyDescent="0.25">
      <c r="A1219" t="s">
        <v>116</v>
      </c>
      <c r="B1219">
        <v>2021</v>
      </c>
      <c r="C1219" s="7">
        <f>'1_Du_lieu'!V282</f>
        <v>1.7387102481382397</v>
      </c>
      <c r="D1219" s="9">
        <f>'1_Du_lieu'!Z282</f>
        <v>4.0181832012565364</v>
      </c>
      <c r="E1219" s="9">
        <f>'1_Du_lieu'!AA282</f>
        <v>4.4980000000000002</v>
      </c>
      <c r="F1219" s="9">
        <f>'1_Du_lieu'!AB282</f>
        <v>28.45</v>
      </c>
      <c r="G1219" s="9">
        <f>'1_Du_lieu'!AC282</f>
        <v>14.8</v>
      </c>
      <c r="H1219" s="9">
        <f>'1_Du_lieu'!AE282</f>
        <v>0.64897932070702102</v>
      </c>
      <c r="I1219" s="9">
        <f>'1_Du_lieu'!AF282</f>
        <v>0.98328416912487704</v>
      </c>
      <c r="J1219" s="9">
        <f>'1_Du_lieu'!AG282</f>
        <v>7.9309253724833884</v>
      </c>
      <c r="K1219" s="9">
        <f>'1_Du_lieu'!AD282</f>
        <v>17.8</v>
      </c>
      <c r="L1219" s="5">
        <f t="shared" si="178"/>
        <v>1</v>
      </c>
      <c r="M1219" s="5">
        <f t="shared" si="179"/>
        <v>0</v>
      </c>
      <c r="N1219" s="5">
        <f t="shared" si="180"/>
        <v>0</v>
      </c>
      <c r="O1219" s="5">
        <f t="shared" si="181"/>
        <v>0</v>
      </c>
    </row>
    <row r="1220" spans="1:15" x14ac:dyDescent="0.25">
      <c r="A1220" t="s">
        <v>117</v>
      </c>
      <c r="B1220">
        <v>2021</v>
      </c>
      <c r="C1220" s="7">
        <f>'1_Du_lieu'!V283</f>
        <v>1.5040773967762742</v>
      </c>
      <c r="D1220" s="9">
        <f>'1_Du_lieu'!Z283</f>
        <v>3.7612001156935624</v>
      </c>
      <c r="E1220" s="9">
        <f>'1_Du_lieu'!AA283</f>
        <v>3.3119999999999998</v>
      </c>
      <c r="F1220" s="9">
        <f>'1_Du_lieu'!AB283</f>
        <v>32.74</v>
      </c>
      <c r="G1220" s="9">
        <f>'1_Du_lieu'!AC283</f>
        <v>16</v>
      </c>
      <c r="H1220" s="9">
        <f>'1_Du_lieu'!AE283</f>
        <v>2.4049714277383649</v>
      </c>
      <c r="I1220" s="9">
        <f>'1_Du_lieu'!AF283</f>
        <v>0.89992800575953924</v>
      </c>
      <c r="J1220" s="9">
        <f>'1_Du_lieu'!AG283</f>
        <v>5.1357984370502621</v>
      </c>
      <c r="K1220" s="9">
        <f>'1_Du_lieu'!AD283</f>
        <v>20.8</v>
      </c>
      <c r="L1220" s="5">
        <f t="shared" si="178"/>
        <v>1</v>
      </c>
      <c r="M1220" s="5">
        <f t="shared" si="179"/>
        <v>0</v>
      </c>
      <c r="N1220" s="5">
        <f t="shared" si="180"/>
        <v>0</v>
      </c>
      <c r="O1220" s="5">
        <f t="shared" si="181"/>
        <v>0</v>
      </c>
    </row>
    <row r="1221" spans="1:15" x14ac:dyDescent="0.25">
      <c r="A1221" t="s">
        <v>119</v>
      </c>
      <c r="B1221">
        <v>2021</v>
      </c>
      <c r="C1221" s="7">
        <f>'1_Du_lieu'!V285</f>
        <v>1.9906103279732201</v>
      </c>
      <c r="D1221" s="9">
        <f>'1_Du_lieu'!Z285</f>
        <v>4.3359826961724748</v>
      </c>
      <c r="E1221" s="9">
        <f>'1_Du_lieu'!AA285</f>
        <v>6.1130000000000004</v>
      </c>
      <c r="F1221" s="9">
        <f>'1_Du_lieu'!AB285</f>
        <v>18.239999999999998</v>
      </c>
      <c r="G1221" s="9">
        <f>'1_Du_lieu'!AC285</f>
        <v>15.9</v>
      </c>
      <c r="H1221" s="9">
        <f>'1_Du_lieu'!AE285</f>
        <v>1.2452909119757585</v>
      </c>
      <c r="I1221" s="9">
        <f>'1_Du_lieu'!AF285</f>
        <v>0.46682616560658224</v>
      </c>
      <c r="J1221" s="9">
        <f>'1_Du_lieu'!AG285</f>
        <v>8.5092416616286179</v>
      </c>
      <c r="K1221" s="9">
        <f>'1_Du_lieu'!AD285</f>
        <v>19.8</v>
      </c>
      <c r="L1221" s="5">
        <f t="shared" si="178"/>
        <v>1</v>
      </c>
      <c r="M1221" s="5">
        <f t="shared" si="179"/>
        <v>0</v>
      </c>
      <c r="N1221" s="5">
        <f t="shared" si="180"/>
        <v>0</v>
      </c>
      <c r="O1221" s="5">
        <f t="shared" si="181"/>
        <v>0</v>
      </c>
    </row>
    <row r="1222" spans="1:15" x14ac:dyDescent="0.25">
      <c r="A1222" t="s">
        <v>120</v>
      </c>
      <c r="B1222">
        <v>2021</v>
      </c>
      <c r="C1222" s="7">
        <f>'1_Du_lieu'!V286</f>
        <v>1.6014057407368361</v>
      </c>
      <c r="D1222" s="9">
        <f>'1_Du_lieu'!Z286</f>
        <v>4.2766661190160553</v>
      </c>
      <c r="E1222" s="9">
        <f>'1_Du_lieu'!AA286</f>
        <v>3.8340000000000001</v>
      </c>
      <c r="F1222" s="9">
        <f>'1_Du_lieu'!AB286</f>
        <v>26.42</v>
      </c>
      <c r="G1222" s="9">
        <f>'1_Du_lieu'!AC286</f>
        <v>21</v>
      </c>
      <c r="H1222" s="9">
        <f>'1_Du_lieu'!AE286</f>
        <v>1.8359413008432575</v>
      </c>
      <c r="I1222" s="9">
        <f>'1_Du_lieu'!AF286</f>
        <v>1.741693461950697</v>
      </c>
      <c r="J1222" s="9">
        <f>'1_Du_lieu'!AG286</f>
        <v>6.6545390434116349</v>
      </c>
      <c r="K1222" s="9">
        <f>'1_Du_lieu'!AD286</f>
        <v>20.3</v>
      </c>
      <c r="L1222" s="5">
        <f t="shared" si="178"/>
        <v>1</v>
      </c>
      <c r="M1222" s="5">
        <f t="shared" si="179"/>
        <v>0</v>
      </c>
      <c r="N1222" s="5">
        <f t="shared" si="180"/>
        <v>0</v>
      </c>
      <c r="O1222" s="5">
        <f t="shared" si="181"/>
        <v>0</v>
      </c>
    </row>
    <row r="1223" spans="1:15" x14ac:dyDescent="0.25">
      <c r="A1223" t="s">
        <v>121</v>
      </c>
      <c r="B1223">
        <v>2021</v>
      </c>
      <c r="C1223" s="7">
        <f>'1_Du_lieu'!V287</f>
        <v>1.8946168546677629</v>
      </c>
      <c r="D1223" s="9">
        <f>'1_Du_lieu'!Z287</f>
        <v>4.1415461637063951</v>
      </c>
      <c r="E1223" s="9">
        <f>'1_Du_lieu'!AA287</f>
        <v>5.3209999999999997</v>
      </c>
      <c r="F1223" s="9">
        <f>'1_Du_lieu'!AB287</f>
        <v>39.26</v>
      </c>
      <c r="G1223" s="9">
        <f>'1_Du_lieu'!AC287</f>
        <v>18.5</v>
      </c>
      <c r="H1223" s="9">
        <f>'1_Du_lieu'!AE287</f>
        <v>2.5379004113395909</v>
      </c>
      <c r="I1223" s="9">
        <f>'1_Du_lieu'!AF287</f>
        <v>0.45808520384791573</v>
      </c>
      <c r="J1223" s="9">
        <f>'1_Du_lieu'!AG287</f>
        <v>5.9804035997485574</v>
      </c>
      <c r="K1223" s="9">
        <f>'1_Du_lieu'!AD287</f>
        <v>30.3</v>
      </c>
      <c r="L1223" s="5">
        <f t="shared" si="178"/>
        <v>1</v>
      </c>
      <c r="M1223" s="5">
        <f t="shared" si="179"/>
        <v>0</v>
      </c>
      <c r="N1223" s="5">
        <f t="shared" si="180"/>
        <v>0</v>
      </c>
      <c r="O1223" s="5">
        <f t="shared" si="181"/>
        <v>0</v>
      </c>
    </row>
    <row r="1224" spans="1:15" x14ac:dyDescent="0.25">
      <c r="A1224" t="s">
        <v>122</v>
      </c>
      <c r="B1224">
        <v>2021</v>
      </c>
      <c r="C1224" s="7">
        <f>'1_Du_lieu'!V288</f>
        <v>1.43746264769429</v>
      </c>
      <c r="D1224" s="9">
        <f>'1_Du_lieu'!Z288</f>
        <v>3.7887247890836524</v>
      </c>
      <c r="E1224" s="9">
        <f>'1_Du_lieu'!AA288</f>
        <v>2.5550000000000002</v>
      </c>
      <c r="F1224" s="9">
        <f>'1_Du_lieu'!AB288</f>
        <v>23.04</v>
      </c>
      <c r="G1224" s="9">
        <f>'1_Du_lieu'!AC288</f>
        <v>21</v>
      </c>
      <c r="H1224" s="9">
        <f>'1_Du_lieu'!AE288</f>
        <v>2.1034164457094953</v>
      </c>
      <c r="I1224" s="9">
        <f>'1_Du_lieu'!AF288</f>
        <v>0.63395460885000632</v>
      </c>
      <c r="J1224" s="9">
        <f>'1_Du_lieu'!AG288</f>
        <v>5.7137328055093688</v>
      </c>
      <c r="K1224" s="9">
        <f>'1_Du_lieu'!AD288</f>
        <v>16</v>
      </c>
      <c r="L1224" s="5">
        <f t="shared" si="178"/>
        <v>1</v>
      </c>
      <c r="M1224" s="5">
        <f t="shared" si="179"/>
        <v>0</v>
      </c>
      <c r="N1224" s="5">
        <f t="shared" si="180"/>
        <v>0</v>
      </c>
      <c r="O1224" s="5">
        <f t="shared" si="181"/>
        <v>0</v>
      </c>
    </row>
    <row r="1225" spans="1:15" x14ac:dyDescent="0.25">
      <c r="A1225" t="s">
        <v>123</v>
      </c>
      <c r="B1225">
        <v>2021</v>
      </c>
      <c r="C1225" s="7">
        <f>'1_Du_lieu'!V289</f>
        <v>1.9065751436566365</v>
      </c>
      <c r="D1225" s="9">
        <f>'1_Du_lieu'!Z289</f>
        <v>3.7541989202345789</v>
      </c>
      <c r="E1225" s="9">
        <f>'1_Du_lieu'!AA289</f>
        <v>3.36</v>
      </c>
      <c r="F1225" s="9">
        <f>'1_Du_lieu'!AB289</f>
        <v>20.23</v>
      </c>
      <c r="G1225" s="9">
        <f>'1_Du_lieu'!AC289</f>
        <v>20.100000000000001</v>
      </c>
      <c r="H1225" s="9">
        <f>'1_Du_lieu'!AE289</f>
        <v>1.9318494249643563</v>
      </c>
      <c r="I1225" s="9">
        <f>'1_Du_lieu'!AF289</f>
        <v>1.0110655507498738</v>
      </c>
      <c r="J1225" s="9">
        <f>'1_Du_lieu'!AG289</f>
        <v>7.60668570429781</v>
      </c>
      <c r="K1225" s="9">
        <f>'1_Du_lieu'!AD289</f>
        <v>13.7</v>
      </c>
      <c r="L1225" s="5">
        <f t="shared" si="178"/>
        <v>1</v>
      </c>
      <c r="M1225" s="5">
        <f t="shared" si="179"/>
        <v>0</v>
      </c>
      <c r="N1225" s="5">
        <f t="shared" si="180"/>
        <v>0</v>
      </c>
      <c r="O1225" s="5">
        <f t="shared" si="181"/>
        <v>0</v>
      </c>
    </row>
    <row r="1226" spans="1:15" x14ac:dyDescent="0.25">
      <c r="A1226" t="s">
        <v>124</v>
      </c>
      <c r="B1226">
        <v>2021</v>
      </c>
      <c r="C1226" s="7">
        <f>'1_Du_lieu'!V290</f>
        <v>1.9021075263969205</v>
      </c>
      <c r="D1226" s="9">
        <f>'1_Du_lieu'!Z290</f>
        <v>3.763522997109702</v>
      </c>
      <c r="E1226" s="9">
        <f>'1_Du_lieu'!AA290</f>
        <v>3.4580000000000002</v>
      </c>
      <c r="F1226" s="9">
        <f>'1_Du_lieu'!AB290</f>
        <v>15.5</v>
      </c>
      <c r="G1226" s="9">
        <f>'1_Du_lieu'!AC290</f>
        <v>20.8</v>
      </c>
      <c r="H1226" s="9">
        <f>'1_Du_lieu'!AE290</f>
        <v>3.5320636705213357</v>
      </c>
      <c r="I1226" s="9">
        <f>'1_Du_lieu'!AF290</f>
        <v>3.3876144062760014</v>
      </c>
      <c r="J1226" s="9">
        <f>'1_Du_lieu'!AG290</f>
        <v>6.4864656205270013</v>
      </c>
      <c r="K1226" s="9">
        <f>'1_Du_lieu'!AD290</f>
        <v>18.5</v>
      </c>
      <c r="L1226" s="5">
        <f t="shared" si="178"/>
        <v>1</v>
      </c>
      <c r="M1226" s="5">
        <f t="shared" si="179"/>
        <v>0</v>
      </c>
      <c r="N1226" s="5">
        <f t="shared" si="180"/>
        <v>0</v>
      </c>
      <c r="O1226" s="5">
        <f t="shared" si="181"/>
        <v>0</v>
      </c>
    </row>
    <row r="1227" spans="1:15" x14ac:dyDescent="0.25">
      <c r="A1227" t="s">
        <v>125</v>
      </c>
      <c r="B1227">
        <v>2021</v>
      </c>
      <c r="C1227" s="7">
        <f>'1_Du_lieu'!V291</f>
        <v>1.8421356765531218</v>
      </c>
      <c r="D1227" s="9">
        <f>'1_Du_lieu'!Z291</f>
        <v>4.2121275978784842</v>
      </c>
      <c r="E1227" s="9">
        <f>'1_Du_lieu'!AA291</f>
        <v>4.6379999999999999</v>
      </c>
      <c r="F1227" s="9">
        <f>'1_Du_lieu'!AB291</f>
        <v>21.39</v>
      </c>
      <c r="G1227" s="9">
        <f>'1_Du_lieu'!AC291</f>
        <v>30.2</v>
      </c>
      <c r="H1227" s="9">
        <f>'1_Du_lieu'!AE291</f>
        <v>3.2384949632101967</v>
      </c>
      <c r="I1227" s="9">
        <f>'1_Du_lieu'!AF291</f>
        <v>3.5214810343092866</v>
      </c>
      <c r="J1227" s="9">
        <f>'1_Du_lieu'!AG291</f>
        <v>7.2911792562134208</v>
      </c>
      <c r="K1227" s="9">
        <f>'1_Du_lieu'!AD291</f>
        <v>20</v>
      </c>
      <c r="L1227" s="5">
        <f t="shared" si="178"/>
        <v>1</v>
      </c>
      <c r="M1227" s="5">
        <f t="shared" si="179"/>
        <v>0</v>
      </c>
      <c r="N1227" s="5">
        <f t="shared" si="180"/>
        <v>0</v>
      </c>
      <c r="O1227" s="5">
        <f t="shared" si="181"/>
        <v>0</v>
      </c>
    </row>
    <row r="1228" spans="1:15" x14ac:dyDescent="0.25">
      <c r="A1228" t="s">
        <v>126</v>
      </c>
      <c r="B1228">
        <v>2021</v>
      </c>
      <c r="C1228" s="7">
        <f>'1_Du_lieu'!V292</f>
        <v>1.6601310267496185</v>
      </c>
      <c r="D1228" s="9">
        <f>'1_Du_lieu'!Z292</f>
        <v>4.0792309244120526</v>
      </c>
      <c r="E1228" s="9">
        <f>'1_Du_lieu'!AA292</f>
        <v>4.55</v>
      </c>
      <c r="F1228" s="9">
        <f>'1_Du_lieu'!AB292</f>
        <v>35.31</v>
      </c>
      <c r="G1228" s="9">
        <f>'1_Du_lieu'!AC292</f>
        <v>16.2</v>
      </c>
      <c r="H1228" s="9">
        <f>'1_Du_lieu'!AE292</f>
        <v>2.2531343333209515</v>
      </c>
      <c r="I1228" s="9">
        <f>'1_Du_lieu'!AF292</f>
        <v>1.3477088948787062</v>
      </c>
      <c r="J1228" s="9">
        <f>'1_Du_lieu'!AG292</f>
        <v>7.8694399381461775</v>
      </c>
      <c r="K1228" s="9">
        <f>'1_Du_lieu'!AD292</f>
        <v>15.8</v>
      </c>
      <c r="L1228" s="5">
        <f t="shared" si="178"/>
        <v>1</v>
      </c>
      <c r="M1228" s="5">
        <f t="shared" si="179"/>
        <v>0</v>
      </c>
      <c r="N1228" s="5">
        <f t="shared" si="180"/>
        <v>0</v>
      </c>
      <c r="O1228" s="5">
        <f t="shared" si="181"/>
        <v>0</v>
      </c>
    </row>
    <row r="1229" spans="1:15" x14ac:dyDescent="0.25">
      <c r="A1229" t="s">
        <v>127</v>
      </c>
      <c r="B1229">
        <v>2021</v>
      </c>
      <c r="C1229" s="7">
        <f>'1_Du_lieu'!V293</f>
        <v>1.6639260977181702</v>
      </c>
      <c r="D1229" s="9">
        <f>'1_Du_lieu'!Z293</f>
        <v>3.9259259105971376</v>
      </c>
      <c r="E1229" s="9">
        <f>'1_Du_lieu'!AA293</f>
        <v>3.5779999999999998</v>
      </c>
      <c r="F1229" s="9">
        <f>'1_Du_lieu'!AB293</f>
        <v>19.02</v>
      </c>
      <c r="G1229" s="9">
        <f>'1_Du_lieu'!AC293</f>
        <v>25.2</v>
      </c>
      <c r="H1229" s="9">
        <f>'1_Du_lieu'!AE293</f>
        <v>3.0163959043890363</v>
      </c>
      <c r="I1229" s="9">
        <f>'1_Du_lieu'!AF293</f>
        <v>1.4170996693434104</v>
      </c>
      <c r="J1229" s="9">
        <f>'1_Du_lieu'!AG293</f>
        <v>7.1620098253213991</v>
      </c>
      <c r="K1229" s="9">
        <f>'1_Du_lieu'!AD293</f>
        <v>23.7</v>
      </c>
      <c r="L1229" s="5">
        <f t="shared" si="178"/>
        <v>1</v>
      </c>
      <c r="M1229" s="5">
        <f t="shared" si="179"/>
        <v>0</v>
      </c>
      <c r="N1229" s="5">
        <f t="shared" si="180"/>
        <v>0</v>
      </c>
      <c r="O1229" s="5">
        <f t="shared" si="181"/>
        <v>0</v>
      </c>
    </row>
    <row r="1230" spans="1:15" x14ac:dyDescent="0.25">
      <c r="A1230" t="s">
        <v>128</v>
      </c>
      <c r="B1230">
        <v>2021</v>
      </c>
      <c r="C1230" s="7">
        <f>'1_Du_lieu'!V294</f>
        <v>1.6094379124341003</v>
      </c>
      <c r="D1230" s="9">
        <f>'1_Du_lieu'!Z294</f>
        <v>3.9219733362813143</v>
      </c>
      <c r="E1230" s="9">
        <f>'1_Du_lieu'!AA294</f>
        <v>3.4209999999999998</v>
      </c>
      <c r="F1230" s="9">
        <f>'1_Du_lieu'!AB294</f>
        <v>32.700000000000003</v>
      </c>
      <c r="G1230" s="9">
        <f>'1_Du_lieu'!AC294</f>
        <v>17.5</v>
      </c>
      <c r="H1230" s="9">
        <f>'1_Du_lieu'!AE294</f>
        <v>2.6356774965350644</v>
      </c>
      <c r="I1230" s="9">
        <f>'1_Du_lieu'!AF294</f>
        <v>0.57188608029280563</v>
      </c>
      <c r="J1230" s="9">
        <f>'1_Du_lieu'!AG294</f>
        <v>7.752979562422432</v>
      </c>
      <c r="K1230" s="9">
        <f>'1_Du_lieu'!AD294</f>
        <v>21.1</v>
      </c>
      <c r="L1230" s="5">
        <f t="shared" si="178"/>
        <v>1</v>
      </c>
      <c r="M1230" s="5">
        <f t="shared" si="179"/>
        <v>0</v>
      </c>
      <c r="N1230" s="5">
        <f t="shared" si="180"/>
        <v>0</v>
      </c>
      <c r="O1230" s="5">
        <f t="shared" si="181"/>
        <v>0</v>
      </c>
    </row>
    <row r="1231" spans="1:15" x14ac:dyDescent="0.25">
      <c r="A1231" t="s">
        <v>129</v>
      </c>
      <c r="B1231">
        <v>2021</v>
      </c>
      <c r="C1231" s="7">
        <f>'1_Du_lieu'!V295</f>
        <v>1.6714733033535532</v>
      </c>
      <c r="D1231" s="9">
        <f>'1_Du_lieu'!Z295</f>
        <v>3.8351419610921882</v>
      </c>
      <c r="E1231" s="9">
        <f>'1_Du_lieu'!AA295</f>
        <v>4.952</v>
      </c>
      <c r="F1231" s="9">
        <f>'1_Du_lieu'!AB295</f>
        <v>22.96</v>
      </c>
      <c r="G1231" s="9">
        <f>'1_Du_lieu'!AC295</f>
        <v>21.9</v>
      </c>
      <c r="H1231" s="9">
        <f>'1_Du_lieu'!AE295</f>
        <v>3.2330323529100875</v>
      </c>
      <c r="I1231" s="9">
        <f>'1_Du_lieu'!AF295</f>
        <v>0.99778270509977818</v>
      </c>
      <c r="J1231" s="9">
        <f>'1_Du_lieu'!AG295</f>
        <v>7.0716582502520735</v>
      </c>
      <c r="K1231" s="9">
        <f>'1_Du_lieu'!AD295</f>
        <v>15.3</v>
      </c>
      <c r="L1231" s="5">
        <f t="shared" si="178"/>
        <v>1</v>
      </c>
      <c r="M1231" s="5">
        <f t="shared" si="179"/>
        <v>0</v>
      </c>
      <c r="N1231" s="5">
        <f t="shared" si="180"/>
        <v>0</v>
      </c>
      <c r="O1231" s="5">
        <f t="shared" si="181"/>
        <v>0</v>
      </c>
    </row>
    <row r="1232" spans="1:15" x14ac:dyDescent="0.25">
      <c r="A1232" t="s">
        <v>130</v>
      </c>
      <c r="B1232">
        <v>2021</v>
      </c>
      <c r="C1232" s="7">
        <f>'1_Du_lieu'!V296</f>
        <v>1.8325814637483102</v>
      </c>
      <c r="D1232" s="9">
        <f>'1_Du_lieu'!Z296</f>
        <v>4.180522258463153</v>
      </c>
      <c r="E1232" s="9">
        <f>'1_Du_lieu'!AA296</f>
        <v>5.1319999999999997</v>
      </c>
      <c r="F1232" s="9">
        <f>'1_Du_lieu'!AB296</f>
        <v>26.33</v>
      </c>
      <c r="G1232" s="9">
        <f>'1_Du_lieu'!AC296</f>
        <v>21.5</v>
      </c>
      <c r="H1232" s="9">
        <f>'1_Du_lieu'!AE296</f>
        <v>2.1939412307003638</v>
      </c>
      <c r="I1232" s="9">
        <f>'1_Du_lieu'!AF296</f>
        <v>0.26578073089700999</v>
      </c>
      <c r="J1232" s="9">
        <f>'1_Du_lieu'!AG296</f>
        <v>8.2999820087551353</v>
      </c>
      <c r="K1232" s="9">
        <f>'1_Du_lieu'!AD296</f>
        <v>20.100000000000001</v>
      </c>
      <c r="L1232" s="5">
        <f t="shared" si="178"/>
        <v>1</v>
      </c>
      <c r="M1232" s="5">
        <f t="shared" si="179"/>
        <v>0</v>
      </c>
      <c r="N1232" s="5">
        <f t="shared" si="180"/>
        <v>0</v>
      </c>
      <c r="O1232" s="5">
        <f t="shared" si="181"/>
        <v>0</v>
      </c>
    </row>
    <row r="1233" spans="1:15" x14ac:dyDescent="0.25">
      <c r="A1233" t="s">
        <v>131</v>
      </c>
      <c r="B1233">
        <v>2021</v>
      </c>
      <c r="C1233" s="7">
        <f>'1_Du_lieu'!V297</f>
        <v>1.7101878155342434</v>
      </c>
      <c r="D1233" s="9">
        <f>'1_Du_lieu'!Z297</f>
        <v>4.2413267525707461</v>
      </c>
      <c r="E1233" s="9">
        <f>'1_Du_lieu'!AA297</f>
        <v>4.2949999999999999</v>
      </c>
      <c r="F1233" s="9">
        <f>'1_Du_lieu'!AB297</f>
        <v>21.1</v>
      </c>
      <c r="G1233" s="9">
        <f>'1_Du_lieu'!AC297</f>
        <v>22</v>
      </c>
      <c r="H1233" s="9">
        <f>'1_Du_lieu'!AE297</f>
        <v>2.1421719389565141</v>
      </c>
      <c r="I1233" s="9">
        <f>'1_Du_lieu'!AF297</f>
        <v>0.81076698556834748</v>
      </c>
      <c r="J1233" s="9">
        <f>'1_Du_lieu'!AG297</f>
        <v>7.3729347908623808</v>
      </c>
      <c r="K1233" s="9">
        <f>'1_Du_lieu'!AD297</f>
        <v>19.3</v>
      </c>
      <c r="L1233" s="5">
        <f t="shared" si="178"/>
        <v>1</v>
      </c>
      <c r="M1233" s="5">
        <f t="shared" si="179"/>
        <v>0</v>
      </c>
      <c r="N1233" s="5">
        <f t="shared" si="180"/>
        <v>0</v>
      </c>
      <c r="O1233" s="5">
        <f t="shared" si="181"/>
        <v>0</v>
      </c>
    </row>
    <row r="1234" spans="1:15" x14ac:dyDescent="0.25">
      <c r="A1234" t="s">
        <v>132</v>
      </c>
      <c r="B1234">
        <v>2021</v>
      </c>
      <c r="C1234" s="7">
        <f>'1_Du_lieu'!V298</f>
        <v>2.0819384218784229</v>
      </c>
      <c r="D1234" s="9">
        <f>'1_Du_lieu'!Z298</f>
        <v>5.0472886117442908</v>
      </c>
      <c r="E1234" s="9">
        <f>'1_Du_lieu'!AA298</f>
        <v>6.9009999999999998</v>
      </c>
      <c r="F1234" s="9">
        <f>'1_Du_lieu'!AB298</f>
        <v>64.44</v>
      </c>
      <c r="G1234" s="9">
        <f>'1_Du_lieu'!AC298</f>
        <v>38.700000000000003</v>
      </c>
      <c r="H1234" s="9">
        <f>'1_Du_lieu'!AE298</f>
        <v>3.4470021567975442</v>
      </c>
      <c r="I1234" s="9">
        <f>'1_Du_lieu'!AF298</f>
        <v>2.5418660287081343</v>
      </c>
      <c r="J1234" s="9">
        <f>'1_Du_lieu'!AG298</f>
        <v>8.5321803212244856</v>
      </c>
      <c r="K1234" s="9">
        <f>'1_Du_lieu'!AD298</f>
        <v>26.4</v>
      </c>
      <c r="L1234" s="5">
        <f t="shared" si="178"/>
        <v>1</v>
      </c>
      <c r="M1234" s="5">
        <f t="shared" si="179"/>
        <v>0</v>
      </c>
      <c r="N1234" s="5">
        <f t="shared" si="180"/>
        <v>0</v>
      </c>
      <c r="O1234" s="5">
        <f t="shared" si="181"/>
        <v>0</v>
      </c>
    </row>
    <row r="1235" spans="1:15" x14ac:dyDescent="0.25">
      <c r="A1235" t="s">
        <v>133</v>
      </c>
      <c r="B1235">
        <v>2021</v>
      </c>
      <c r="C1235" s="7">
        <f>'1_Du_lieu'!V299</f>
        <v>1.6863989535702288</v>
      </c>
      <c r="D1235" s="9">
        <f>'1_Du_lieu'!Z299</f>
        <v>3.9665111907122159</v>
      </c>
      <c r="E1235" s="9">
        <f>'1_Du_lieu'!AA299</f>
        <v>4.49</v>
      </c>
      <c r="F1235" s="9">
        <f>'1_Du_lieu'!AB299</f>
        <v>32.46</v>
      </c>
      <c r="G1235" s="9">
        <f>'1_Du_lieu'!AC299</f>
        <v>25.6</v>
      </c>
      <c r="H1235" s="9">
        <f>'1_Du_lieu'!AE299</f>
        <v>2.7821133472927264</v>
      </c>
      <c r="I1235" s="9">
        <f>'1_Du_lieu'!AF299</f>
        <v>3.4515218073423282</v>
      </c>
      <c r="J1235" s="9">
        <f>'1_Du_lieu'!AG299</f>
        <v>5.2246708263797386</v>
      </c>
      <c r="K1235" s="9">
        <f>'1_Du_lieu'!AD299</f>
        <v>22</v>
      </c>
      <c r="L1235" s="5">
        <f t="shared" si="178"/>
        <v>1</v>
      </c>
      <c r="M1235" s="5">
        <f t="shared" si="179"/>
        <v>0</v>
      </c>
      <c r="N1235" s="5">
        <f t="shared" si="180"/>
        <v>0</v>
      </c>
      <c r="O1235" s="5">
        <f t="shared" si="181"/>
        <v>0</v>
      </c>
    </row>
    <row r="1236" spans="1:15" x14ac:dyDescent="0.25">
      <c r="A1236" t="s">
        <v>136</v>
      </c>
      <c r="B1236">
        <v>2021</v>
      </c>
      <c r="C1236" s="7">
        <f>'1_Du_lieu'!V302</f>
        <v>4.2140516715868488</v>
      </c>
      <c r="D1236" s="9">
        <f>'1_Du_lieu'!Z302</f>
        <v>5.0012581322836587</v>
      </c>
      <c r="E1236" s="9">
        <f>'1_Du_lieu'!AA302</f>
        <v>27.602</v>
      </c>
      <c r="F1236" s="9">
        <f>'1_Du_lieu'!AB302</f>
        <v>79.010000000000005</v>
      </c>
      <c r="G1236" s="9">
        <f>'1_Du_lieu'!AC302</f>
        <v>38.700000000000003</v>
      </c>
      <c r="H1236" s="9">
        <f>'1_Du_lieu'!AE302</f>
        <v>2.441180665348742</v>
      </c>
      <c r="I1236" s="9">
        <f>'1_Du_lieu'!AF302</f>
        <v>3.0560492435736268</v>
      </c>
      <c r="J1236" s="9">
        <f>'1_Du_lieu'!AG302</f>
        <v>8.561573647096969</v>
      </c>
      <c r="K1236" s="9">
        <f>'1_Du_lieu'!AD302</f>
        <v>51.2</v>
      </c>
      <c r="L1236" s="5">
        <f t="shared" si="178"/>
        <v>1</v>
      </c>
      <c r="M1236" s="5">
        <f t="shared" si="179"/>
        <v>0</v>
      </c>
      <c r="N1236" s="5">
        <f t="shared" si="180"/>
        <v>0</v>
      </c>
      <c r="O1236" s="5">
        <f t="shared" si="181"/>
        <v>0</v>
      </c>
    </row>
    <row r="1237" spans="1:15" x14ac:dyDescent="0.25">
      <c r="A1237" t="s">
        <v>137</v>
      </c>
      <c r="B1237">
        <v>2021</v>
      </c>
      <c r="C1237" s="7">
        <f>'1_Du_lieu'!V303</f>
        <v>1.9169226121820611</v>
      </c>
      <c r="D1237" s="9">
        <f>'1_Du_lieu'!Z303</f>
        <v>3.9376907521767239</v>
      </c>
      <c r="E1237" s="9">
        <f>'1_Du_lieu'!AA303</f>
        <v>3.589</v>
      </c>
      <c r="F1237" s="9">
        <f>'1_Du_lieu'!AB303</f>
        <v>23.28</v>
      </c>
      <c r="G1237" s="9">
        <f>'1_Du_lieu'!AC303</f>
        <v>21.4</v>
      </c>
      <c r="H1237" s="9">
        <f>'1_Du_lieu'!AE303</f>
        <v>2.5701808339622447</v>
      </c>
      <c r="I1237" s="9">
        <f>'1_Du_lieu'!AF303</f>
        <v>0.70943272667739909</v>
      </c>
      <c r="J1237" s="9">
        <f>'1_Du_lieu'!AG303</f>
        <v>8.2849332114557459</v>
      </c>
      <c r="K1237" s="9">
        <f>'1_Du_lieu'!AD303</f>
        <v>16.2</v>
      </c>
      <c r="L1237" s="5">
        <f t="shared" si="178"/>
        <v>1</v>
      </c>
      <c r="M1237" s="5">
        <f t="shared" si="179"/>
        <v>0</v>
      </c>
      <c r="N1237" s="5">
        <f t="shared" si="180"/>
        <v>0</v>
      </c>
      <c r="O1237" s="5">
        <f t="shared" si="181"/>
        <v>0</v>
      </c>
    </row>
    <row r="1238" spans="1:15" x14ac:dyDescent="0.25">
      <c r="A1238" t="s">
        <v>138</v>
      </c>
      <c r="B1238">
        <v>2021</v>
      </c>
      <c r="C1238" s="7">
        <f>'1_Du_lieu'!V304</f>
        <v>1.7011051009599243</v>
      </c>
      <c r="D1238" s="9">
        <f>'1_Du_lieu'!Z304</f>
        <v>3.8691155044168695</v>
      </c>
      <c r="E1238" s="9">
        <f>'1_Du_lieu'!AA304</f>
        <v>2.7549999999999999</v>
      </c>
      <c r="F1238" s="9">
        <f>'1_Du_lieu'!AB304</f>
        <v>11.74</v>
      </c>
      <c r="G1238" s="9">
        <f>'1_Du_lieu'!AC304</f>
        <v>17.899999999999999</v>
      </c>
      <c r="H1238" s="9">
        <f>'1_Du_lieu'!AE304</f>
        <v>1.4077709866343509</v>
      </c>
      <c r="I1238" s="9">
        <f>'1_Du_lieu'!AF304</f>
        <v>0.74858303924713931</v>
      </c>
      <c r="J1238" s="9">
        <f>'1_Du_lieu'!AG304</f>
        <v>6.081990573807353</v>
      </c>
      <c r="K1238" s="9">
        <f>'1_Du_lieu'!AD304</f>
        <v>13.4</v>
      </c>
      <c r="L1238" s="5">
        <f t="shared" si="178"/>
        <v>1</v>
      </c>
      <c r="M1238" s="5">
        <f t="shared" si="179"/>
        <v>0</v>
      </c>
      <c r="N1238" s="5">
        <f t="shared" si="180"/>
        <v>0</v>
      </c>
      <c r="O1238" s="5">
        <f t="shared" si="181"/>
        <v>0</v>
      </c>
    </row>
    <row r="1239" spans="1:15" x14ac:dyDescent="0.25">
      <c r="A1239" t="s">
        <v>139</v>
      </c>
      <c r="B1239">
        <v>2021</v>
      </c>
      <c r="C1239" s="7">
        <f>'1_Du_lieu'!V305</f>
        <v>1.8531680973566984</v>
      </c>
      <c r="D1239" s="9">
        <f>'1_Du_lieu'!Z305</f>
        <v>4.5464811896394117</v>
      </c>
      <c r="E1239" s="9">
        <f>'1_Du_lieu'!AA305</f>
        <v>3.6619999999999999</v>
      </c>
      <c r="F1239" s="9">
        <f>'1_Du_lieu'!AB305</f>
        <v>32.090000000000003</v>
      </c>
      <c r="G1239" s="9">
        <f>'1_Du_lieu'!AC305</f>
        <v>28.2</v>
      </c>
      <c r="H1239" s="9">
        <f>'1_Du_lieu'!AE305</f>
        <v>3.2720030509182005</v>
      </c>
      <c r="I1239" s="9">
        <f>'1_Du_lieu'!AF305</f>
        <v>1.1468766725284807</v>
      </c>
      <c r="J1239" s="9">
        <f>'1_Du_lieu'!AG305</f>
        <v>8.8088473646204193</v>
      </c>
      <c r="K1239" s="9">
        <f>'1_Du_lieu'!AD305</f>
        <v>24.4</v>
      </c>
      <c r="L1239" s="5">
        <f t="shared" si="178"/>
        <v>1</v>
      </c>
      <c r="M1239" s="5">
        <f t="shared" si="179"/>
        <v>0</v>
      </c>
      <c r="N1239" s="5">
        <f t="shared" si="180"/>
        <v>0</v>
      </c>
      <c r="O1239" s="5">
        <f t="shared" si="181"/>
        <v>0</v>
      </c>
    </row>
    <row r="1240" spans="1:15" x14ac:dyDescent="0.25">
      <c r="A1240" t="s">
        <v>141</v>
      </c>
      <c r="B1240">
        <v>2021</v>
      </c>
      <c r="C1240" s="7">
        <f>'1_Du_lieu'!V307</f>
        <v>1.6789639750827108</v>
      </c>
      <c r="D1240" s="9">
        <f>'1_Du_lieu'!Z307</f>
        <v>4.0217738693872649</v>
      </c>
      <c r="E1240" s="9">
        <f>'1_Du_lieu'!AA307</f>
        <v>2.738</v>
      </c>
      <c r="F1240" s="9">
        <f>'1_Du_lieu'!AB307</f>
        <v>14.21</v>
      </c>
      <c r="G1240" s="9">
        <f>'1_Du_lieu'!AC307</f>
        <v>14.2</v>
      </c>
      <c r="H1240" s="9">
        <f>'1_Du_lieu'!AE307</f>
        <v>0.66499725844119417</v>
      </c>
      <c r="I1240" s="9">
        <f>'1_Du_lieu'!AF307</f>
        <v>0.7334273624823695</v>
      </c>
      <c r="J1240" s="9">
        <f>'1_Du_lieu'!AG307</f>
        <v>7.3458166427932889</v>
      </c>
      <c r="K1240" s="9">
        <f>'1_Du_lieu'!AD307</f>
        <v>18.3</v>
      </c>
      <c r="L1240" s="5">
        <f t="shared" si="178"/>
        <v>1</v>
      </c>
      <c r="M1240" s="5">
        <f t="shared" si="179"/>
        <v>0</v>
      </c>
      <c r="N1240" s="5">
        <f t="shared" si="180"/>
        <v>0</v>
      </c>
      <c r="O1240" s="5">
        <f t="shared" si="181"/>
        <v>0</v>
      </c>
    </row>
    <row r="1241" spans="1:15" x14ac:dyDescent="0.25">
      <c r="A1241" t="s">
        <v>142</v>
      </c>
      <c r="B1241">
        <v>2021</v>
      </c>
      <c r="C1241" s="7">
        <f>'1_Du_lieu'!V308</f>
        <v>1.4770487243883548</v>
      </c>
      <c r="D1241" s="9">
        <f>'1_Du_lieu'!Z308</f>
        <v>4.1108738641733114</v>
      </c>
      <c r="E1241" s="9">
        <f>'1_Du_lieu'!AA308</f>
        <v>2.278</v>
      </c>
      <c r="F1241" s="9">
        <f>'1_Du_lieu'!AB308</f>
        <v>17.41</v>
      </c>
      <c r="G1241" s="9">
        <f>'1_Du_lieu'!AC308</f>
        <v>11.6</v>
      </c>
      <c r="H1241" s="9">
        <f>'1_Du_lieu'!AE308</f>
        <v>1.2813078499544777</v>
      </c>
      <c r="I1241" s="9">
        <f>'1_Du_lieu'!AF308</f>
        <v>0.89117734429151396</v>
      </c>
      <c r="J1241" s="9">
        <f>'1_Du_lieu'!AG308</f>
        <v>8.1018898461721687</v>
      </c>
      <c r="K1241" s="9">
        <f>'1_Du_lieu'!AD308</f>
        <v>12.8</v>
      </c>
      <c r="L1241" s="5">
        <f t="shared" si="178"/>
        <v>1</v>
      </c>
      <c r="M1241" s="5">
        <f t="shared" si="179"/>
        <v>0</v>
      </c>
      <c r="N1241" s="5">
        <f t="shared" si="180"/>
        <v>0</v>
      </c>
      <c r="O1241" s="5">
        <f t="shared" si="181"/>
        <v>0</v>
      </c>
    </row>
    <row r="1242" spans="1:15" x14ac:dyDescent="0.25">
      <c r="A1242" t="s">
        <v>143</v>
      </c>
      <c r="B1242">
        <v>2021</v>
      </c>
      <c r="C1242" s="7">
        <f>'1_Du_lieu'!V309</f>
        <v>1.3862943611198906</v>
      </c>
      <c r="D1242" s="9">
        <f>'1_Du_lieu'!Z309</f>
        <v>3.7727609380946383</v>
      </c>
      <c r="E1242" s="9">
        <f>'1_Du_lieu'!AA309</f>
        <v>1.841</v>
      </c>
      <c r="F1242" s="9">
        <f>'1_Du_lieu'!AB309</f>
        <v>13.82</v>
      </c>
      <c r="G1242" s="9">
        <f>'1_Du_lieu'!AC309</f>
        <v>21.3</v>
      </c>
      <c r="H1242" s="9">
        <f>'1_Du_lieu'!AE309</f>
        <v>2.8888922654216747</v>
      </c>
      <c r="I1242" s="9">
        <f>'1_Du_lieu'!AF309</f>
        <v>0.88283516206331192</v>
      </c>
      <c r="J1242" s="9">
        <f>'1_Du_lieu'!AG309</f>
        <v>5.6182245862945548</v>
      </c>
      <c r="K1242" s="9">
        <f>'1_Du_lieu'!AD309</f>
        <v>14.1</v>
      </c>
      <c r="L1242" s="5">
        <f t="shared" si="178"/>
        <v>1</v>
      </c>
      <c r="M1242" s="5">
        <f t="shared" si="179"/>
        <v>0</v>
      </c>
      <c r="N1242" s="5">
        <f t="shared" si="180"/>
        <v>0</v>
      </c>
      <c r="O1242" s="5">
        <f t="shared" si="181"/>
        <v>0</v>
      </c>
    </row>
    <row r="1243" spans="1:15" x14ac:dyDescent="0.25">
      <c r="A1243" t="s">
        <v>144</v>
      </c>
      <c r="B1243">
        <v>2021</v>
      </c>
      <c r="C1243" s="7">
        <f>'1_Du_lieu'!V310</f>
        <v>1.7155981082624909</v>
      </c>
      <c r="D1243" s="9">
        <f>'1_Du_lieu'!Z310</f>
        <v>4.3040650932041702</v>
      </c>
      <c r="E1243" s="9">
        <f>'1_Du_lieu'!AA310</f>
        <v>3.6930000000000001</v>
      </c>
      <c r="F1243" s="9">
        <f>'1_Du_lieu'!AB310</f>
        <v>32.340000000000003</v>
      </c>
      <c r="G1243" s="9">
        <f>'1_Du_lieu'!AC310</f>
        <v>14.7</v>
      </c>
      <c r="H1243" s="9">
        <f>'1_Du_lieu'!AE310</f>
        <v>2.5556293321054997</v>
      </c>
      <c r="I1243" s="9">
        <f>'1_Du_lieu'!AF310</f>
        <v>1.1881524229822626</v>
      </c>
      <c r="J1243" s="9">
        <f>'1_Du_lieu'!AG310</f>
        <v>8.7825376261463042</v>
      </c>
      <c r="K1243" s="9">
        <f>'1_Du_lieu'!AD310</f>
        <v>15.6</v>
      </c>
      <c r="L1243" s="5">
        <f t="shared" si="178"/>
        <v>1</v>
      </c>
      <c r="M1243" s="5">
        <f t="shared" si="179"/>
        <v>0</v>
      </c>
      <c r="N1243" s="5">
        <f t="shared" si="180"/>
        <v>0</v>
      </c>
      <c r="O1243" s="5">
        <f t="shared" si="181"/>
        <v>0</v>
      </c>
    </row>
    <row r="1244" spans="1:15" x14ac:dyDescent="0.25">
      <c r="A1244" t="s">
        <v>145</v>
      </c>
      <c r="B1244">
        <v>2021</v>
      </c>
      <c r="C1244" s="7">
        <f>'1_Du_lieu'!V311</f>
        <v>1.5260563034950492</v>
      </c>
      <c r="D1244" s="9">
        <f>'1_Du_lieu'!Z311</f>
        <v>4.048300623720694</v>
      </c>
      <c r="E1244" s="9">
        <f>'1_Du_lieu'!AA311</f>
        <v>2.6030000000000002</v>
      </c>
      <c r="F1244" s="9">
        <f>'1_Du_lieu'!AB311</f>
        <v>22.69</v>
      </c>
      <c r="G1244" s="9">
        <f>'1_Du_lieu'!AC311</f>
        <v>15.8</v>
      </c>
      <c r="H1244" s="9">
        <f>'1_Du_lieu'!AE311</f>
        <v>0.63000227895541705</v>
      </c>
      <c r="I1244" s="9">
        <f>'1_Du_lieu'!AF311</f>
        <v>0.5865102639296188</v>
      </c>
      <c r="J1244" s="9">
        <f>'1_Du_lieu'!AG311</f>
        <v>6.6849866573730008</v>
      </c>
      <c r="K1244" s="9">
        <f>'1_Du_lieu'!AD311</f>
        <v>16.899999999999999</v>
      </c>
      <c r="L1244" s="5">
        <f t="shared" si="178"/>
        <v>1</v>
      </c>
      <c r="M1244" s="5">
        <f t="shared" si="179"/>
        <v>0</v>
      </c>
      <c r="N1244" s="5">
        <f t="shared" si="180"/>
        <v>0</v>
      </c>
      <c r="O1244" s="5">
        <f t="shared" si="181"/>
        <v>0</v>
      </c>
    </row>
    <row r="1245" spans="1:15" x14ac:dyDescent="0.25">
      <c r="A1245" t="s">
        <v>146</v>
      </c>
      <c r="B1245">
        <v>2021</v>
      </c>
      <c r="C1245" s="7">
        <f>'1_Du_lieu'!V312</f>
        <v>1.9726911717329554</v>
      </c>
      <c r="D1245" s="9">
        <f>'1_Du_lieu'!Z312</f>
        <v>4.6624952526073606</v>
      </c>
      <c r="E1245" s="9">
        <f>'1_Du_lieu'!AA312</f>
        <v>6.6239999999999997</v>
      </c>
      <c r="F1245" s="9">
        <f>'1_Du_lieu'!AB312</f>
        <v>29.97</v>
      </c>
      <c r="G1245" s="9">
        <f>'1_Du_lieu'!AC312</f>
        <v>28.6</v>
      </c>
      <c r="H1245" s="9">
        <f>'1_Du_lieu'!AE312</f>
        <v>2.9784778824002407</v>
      </c>
      <c r="I1245" s="9">
        <f>'1_Du_lieu'!AF312</f>
        <v>0.76844262295081966</v>
      </c>
      <c r="J1245" s="9">
        <f>'1_Du_lieu'!AG312</f>
        <v>8.4123214451800639</v>
      </c>
      <c r="K1245" s="9">
        <f>'1_Du_lieu'!AD312</f>
        <v>31.5</v>
      </c>
      <c r="L1245" s="5">
        <f t="shared" si="178"/>
        <v>1</v>
      </c>
      <c r="M1245" s="5">
        <f t="shared" si="179"/>
        <v>0</v>
      </c>
      <c r="N1245" s="5">
        <f t="shared" si="180"/>
        <v>0</v>
      </c>
      <c r="O1245" s="5">
        <f t="shared" si="181"/>
        <v>0</v>
      </c>
    </row>
    <row r="1246" spans="1:15" x14ac:dyDescent="0.25">
      <c r="A1246" t="s">
        <v>147</v>
      </c>
      <c r="B1246">
        <v>2021</v>
      </c>
      <c r="C1246" s="7">
        <f>'1_Du_lieu'!V313</f>
        <v>1.6601310267496185</v>
      </c>
      <c r="D1246" s="9">
        <f>'1_Du_lieu'!Z313</f>
        <v>3.6863763238958178</v>
      </c>
      <c r="E1246" s="9">
        <f>'1_Du_lieu'!AA313</f>
        <v>2.0760000000000001</v>
      </c>
      <c r="F1246" s="9">
        <f>'1_Du_lieu'!AB313</f>
        <v>20.63</v>
      </c>
      <c r="G1246" s="9">
        <f>'1_Du_lieu'!AC313</f>
        <v>19.100000000000001</v>
      </c>
      <c r="H1246" s="9">
        <f>'1_Du_lieu'!AE313</f>
        <v>2.5107639346430943</v>
      </c>
      <c r="I1246" s="9">
        <f>'1_Du_lieu'!AF313</f>
        <v>0.36075036075036077</v>
      </c>
      <c r="J1246" s="9">
        <f>'1_Du_lieu'!AG313</f>
        <v>6.1791881531909318</v>
      </c>
      <c r="K1246" s="9">
        <f>'1_Du_lieu'!AD313</f>
        <v>12.2</v>
      </c>
      <c r="L1246" s="5">
        <f t="shared" si="178"/>
        <v>1</v>
      </c>
      <c r="M1246" s="5">
        <f t="shared" si="179"/>
        <v>0</v>
      </c>
      <c r="N1246" s="5">
        <f t="shared" si="180"/>
        <v>0</v>
      </c>
      <c r="O1246" s="5">
        <f t="shared" si="181"/>
        <v>0</v>
      </c>
    </row>
    <row r="1247" spans="1:15" x14ac:dyDescent="0.25">
      <c r="A1247" t="s">
        <v>149</v>
      </c>
      <c r="B1247">
        <v>2021</v>
      </c>
      <c r="C1247" s="7">
        <f>'1_Du_lieu'!V315</f>
        <v>2.9465420293632194</v>
      </c>
      <c r="D1247" s="9">
        <f>'1_Du_lieu'!Z315</f>
        <v>4.4863866499981242</v>
      </c>
      <c r="E1247" s="9">
        <f>'1_Du_lieu'!AA315</f>
        <v>20.236000000000001</v>
      </c>
      <c r="F1247" s="9">
        <f>'1_Du_lieu'!AB315</f>
        <v>87.25</v>
      </c>
      <c r="G1247" s="9">
        <f>'1_Du_lieu'!AC315</f>
        <v>44</v>
      </c>
      <c r="H1247" s="9">
        <f>'1_Du_lieu'!AE315</f>
        <v>3.2759808431445858</v>
      </c>
      <c r="I1247" s="9">
        <f>'1_Du_lieu'!AF315</f>
        <v>6.7550235143223603</v>
      </c>
      <c r="J1247" s="9">
        <f>'1_Du_lieu'!AG315</f>
        <v>8.4658998970286863</v>
      </c>
      <c r="K1247" s="9">
        <f>'1_Du_lieu'!AD315</f>
        <v>54.2</v>
      </c>
      <c r="L1247" s="5">
        <f t="shared" si="178"/>
        <v>1</v>
      </c>
      <c r="M1247" s="5">
        <f t="shared" si="179"/>
        <v>0</v>
      </c>
      <c r="N1247" s="5">
        <f t="shared" si="180"/>
        <v>0</v>
      </c>
      <c r="O1247" s="5">
        <f t="shared" si="181"/>
        <v>0</v>
      </c>
    </row>
    <row r="1248" spans="1:15" x14ac:dyDescent="0.25">
      <c r="A1248" t="s">
        <v>150</v>
      </c>
      <c r="B1248">
        <v>2021</v>
      </c>
      <c r="C1248" s="7">
        <f>'1_Du_lieu'!V316</f>
        <v>1.7227665977411035</v>
      </c>
      <c r="D1248" s="9">
        <f>'1_Du_lieu'!Z316</f>
        <v>3.8308129500026027</v>
      </c>
      <c r="E1248" s="9">
        <f>'1_Du_lieu'!AA316</f>
        <v>3.5859999999999999</v>
      </c>
      <c r="F1248" s="9">
        <f>'1_Du_lieu'!AB316</f>
        <v>24.72</v>
      </c>
      <c r="G1248" s="9">
        <f>'1_Du_lieu'!AC316</f>
        <v>17.2</v>
      </c>
      <c r="H1248" s="9">
        <f>'1_Du_lieu'!AE316</f>
        <v>2.25137268546117</v>
      </c>
      <c r="I1248" s="9">
        <f>'1_Du_lieu'!AF316</f>
        <v>0.52996979172187186</v>
      </c>
      <c r="J1248" s="9">
        <f>'1_Du_lieu'!AG316</f>
        <v>5.0807830539983376</v>
      </c>
      <c r="K1248" s="9">
        <f>'1_Du_lieu'!AD316</f>
        <v>23.2</v>
      </c>
      <c r="L1248" s="5">
        <f t="shared" si="178"/>
        <v>1</v>
      </c>
      <c r="M1248" s="5">
        <f t="shared" si="179"/>
        <v>0</v>
      </c>
      <c r="N1248" s="5">
        <f t="shared" si="180"/>
        <v>0</v>
      </c>
      <c r="O1248" s="5">
        <f t="shared" si="181"/>
        <v>0</v>
      </c>
    </row>
    <row r="1249" spans="1:15" x14ac:dyDescent="0.25">
      <c r="A1249" t="s">
        <v>151</v>
      </c>
      <c r="B1249">
        <v>2021</v>
      </c>
      <c r="C1249" s="7">
        <f>'1_Du_lieu'!V317</f>
        <v>1.5411590716808059</v>
      </c>
      <c r="D1249" s="9">
        <f>'1_Du_lieu'!Z317</f>
        <v>3.8732821771117156</v>
      </c>
      <c r="E1249" s="9">
        <f>'1_Du_lieu'!AA317</f>
        <v>3.4820000000000002</v>
      </c>
      <c r="F1249" s="9">
        <f>'1_Du_lieu'!AB317</f>
        <v>15.28</v>
      </c>
      <c r="G1249" s="9">
        <f>'1_Du_lieu'!AC317</f>
        <v>14.3</v>
      </c>
      <c r="H1249" s="9">
        <f>'1_Du_lieu'!AE317</f>
        <v>1.0246128398138439</v>
      </c>
      <c r="I1249" s="9">
        <f>'1_Du_lieu'!AF317</f>
        <v>0.47029314939645711</v>
      </c>
      <c r="J1249" s="9">
        <f>'1_Du_lieu'!AG317</f>
        <v>5.5138318906977553</v>
      </c>
      <c r="K1249" s="9">
        <f>'1_Du_lieu'!AD317</f>
        <v>25.3</v>
      </c>
      <c r="L1249" s="5">
        <f t="shared" si="178"/>
        <v>1</v>
      </c>
      <c r="M1249" s="5">
        <f t="shared" si="179"/>
        <v>0</v>
      </c>
      <c r="N1249" s="5">
        <f t="shared" si="180"/>
        <v>0</v>
      </c>
      <c r="O1249" s="5">
        <f t="shared" si="181"/>
        <v>0</v>
      </c>
    </row>
    <row r="1250" spans="1:15" x14ac:dyDescent="0.25">
      <c r="A1250" t="s">
        <v>152</v>
      </c>
      <c r="B1250">
        <v>2021</v>
      </c>
      <c r="C1250" s="7">
        <f>'1_Du_lieu'!V318</f>
        <v>2.4105422344991378</v>
      </c>
      <c r="D1250" s="9">
        <f>'1_Du_lieu'!Z318</f>
        <v>4.7458013157278369</v>
      </c>
      <c r="E1250" s="9">
        <f>'1_Du_lieu'!AA318</f>
        <v>7.6379999999999999</v>
      </c>
      <c r="F1250" s="9">
        <f>'1_Du_lieu'!AB318</f>
        <v>44.27</v>
      </c>
      <c r="G1250" s="9">
        <f>'1_Du_lieu'!AC318</f>
        <v>22.5</v>
      </c>
      <c r="H1250" s="9">
        <f>'1_Du_lieu'!AE318</f>
        <v>2.6366918656208997</v>
      </c>
      <c r="I1250" s="9">
        <f>'1_Du_lieu'!AF318</f>
        <v>0.59797318562346569</v>
      </c>
      <c r="J1250" s="9">
        <f>'1_Du_lieu'!AG318</f>
        <v>9.2098302418819493</v>
      </c>
      <c r="K1250" s="9">
        <f>'1_Du_lieu'!AD318</f>
        <v>25.5</v>
      </c>
      <c r="L1250" s="5">
        <f t="shared" si="178"/>
        <v>1</v>
      </c>
      <c r="M1250" s="5">
        <f t="shared" si="179"/>
        <v>0</v>
      </c>
      <c r="N1250" s="5">
        <f t="shared" si="180"/>
        <v>0</v>
      </c>
      <c r="O1250" s="5">
        <f t="shared" si="181"/>
        <v>0</v>
      </c>
    </row>
    <row r="1251" spans="1:15" x14ac:dyDescent="0.25">
      <c r="A1251" t="s">
        <v>153</v>
      </c>
      <c r="B1251">
        <v>2021</v>
      </c>
      <c r="C1251" s="7">
        <f>'1_Du_lieu'!V319</f>
        <v>1.7191887763932197</v>
      </c>
      <c r="D1251" s="9">
        <f>'1_Du_lieu'!Z319</f>
        <v>3.9778107459661491</v>
      </c>
      <c r="E1251" s="9">
        <f>'1_Du_lieu'!AA319</f>
        <v>2.2570000000000001</v>
      </c>
      <c r="F1251" s="9">
        <f>'1_Du_lieu'!AB319</f>
        <v>19.13</v>
      </c>
      <c r="G1251" s="9">
        <f>'1_Du_lieu'!AC319</f>
        <v>15</v>
      </c>
      <c r="H1251" s="9">
        <f>'1_Du_lieu'!AE319</f>
        <v>0.47662230242449244</v>
      </c>
      <c r="I1251" s="9">
        <f>'1_Du_lieu'!AF319</f>
        <v>0.625</v>
      </c>
      <c r="J1251" s="9">
        <f>'1_Du_lieu'!AG319</f>
        <v>4.6876714074998347</v>
      </c>
      <c r="K1251" s="9">
        <f>'1_Du_lieu'!AD319</f>
        <v>18.3</v>
      </c>
      <c r="L1251" s="5">
        <f t="shared" si="178"/>
        <v>1</v>
      </c>
      <c r="M1251" s="5">
        <f t="shared" si="179"/>
        <v>0</v>
      </c>
      <c r="N1251" s="5">
        <f t="shared" si="180"/>
        <v>0</v>
      </c>
      <c r="O1251" s="5">
        <f t="shared" si="181"/>
        <v>0</v>
      </c>
    </row>
    <row r="1252" spans="1:15" x14ac:dyDescent="0.25">
      <c r="A1252" t="s">
        <v>85</v>
      </c>
      <c r="B1252">
        <v>2022</v>
      </c>
      <c r="C1252" s="7">
        <f>'1_Du_lieu'!V320</f>
        <v>2.8332133440562162</v>
      </c>
      <c r="D1252" s="9">
        <f>'1_Du_lieu'!Z320</f>
        <v>3.8649313978942956</v>
      </c>
      <c r="E1252" s="9">
        <f>'1_Du_lieu'!AA320</f>
        <v>2.5430000000000001</v>
      </c>
      <c r="F1252" s="9">
        <f>'1_Du_lieu'!AB320</f>
        <v>33.83</v>
      </c>
      <c r="G1252" s="9">
        <f>'1_Du_lieu'!AC320</f>
        <v>13.4</v>
      </c>
      <c r="H1252" s="9">
        <f>'1_Du_lieu'!AE320</f>
        <v>1.4629474402226359</v>
      </c>
      <c r="I1252" s="9">
        <f>'1_Du_lieu'!AF320</f>
        <v>0.47132757266300079</v>
      </c>
      <c r="J1252" s="9">
        <f>'1_Du_lieu'!AG320</f>
        <v>5.0388987593691148</v>
      </c>
      <c r="K1252" s="9">
        <f>'1_Du_lieu'!AD320</f>
        <v>20.399999999999999</v>
      </c>
      <c r="L1252" s="5">
        <f t="shared" si="178"/>
        <v>0</v>
      </c>
      <c r="M1252" s="5">
        <f t="shared" si="179"/>
        <v>1</v>
      </c>
      <c r="N1252" s="5">
        <f t="shared" si="180"/>
        <v>0</v>
      </c>
      <c r="O1252" s="5">
        <f t="shared" si="181"/>
        <v>0</v>
      </c>
    </row>
    <row r="1253" spans="1:15" x14ac:dyDescent="0.25">
      <c r="A1253" t="s">
        <v>87</v>
      </c>
      <c r="B1253">
        <v>2022</v>
      </c>
      <c r="C1253" s="7">
        <f>'1_Du_lieu'!V321</f>
        <v>3.2308043957334744</v>
      </c>
      <c r="D1253" s="9">
        <f>'1_Du_lieu'!Z321</f>
        <v>5.6957503029589365</v>
      </c>
      <c r="E1253" s="9">
        <f>'1_Du_lieu'!AA321</f>
        <v>9.6869999999999994</v>
      </c>
      <c r="F1253" s="9">
        <f>'1_Du_lieu'!AB321</f>
        <v>58.4</v>
      </c>
      <c r="G1253" s="9">
        <f>'1_Du_lieu'!AC321</f>
        <v>29.9</v>
      </c>
      <c r="H1253" s="9">
        <f>'1_Du_lieu'!AE321</f>
        <v>1.9398671720527669</v>
      </c>
      <c r="I1253" s="9">
        <f>'1_Du_lieu'!AF321</f>
        <v>1.1903749681149565</v>
      </c>
      <c r="J1253" s="9">
        <f>'1_Du_lieu'!AG321</f>
        <v>10.242531479525159</v>
      </c>
      <c r="K1253" s="9">
        <f>'1_Du_lieu'!AD321</f>
        <v>28.5</v>
      </c>
      <c r="L1253" s="5">
        <f t="shared" si="178"/>
        <v>0</v>
      </c>
      <c r="M1253" s="5">
        <f t="shared" si="179"/>
        <v>1</v>
      </c>
      <c r="N1253" s="5">
        <f t="shared" si="180"/>
        <v>0</v>
      </c>
      <c r="O1253" s="5">
        <f t="shared" si="181"/>
        <v>0</v>
      </c>
    </row>
    <row r="1254" spans="1:15" x14ac:dyDescent="0.25">
      <c r="A1254" t="s">
        <v>89</v>
      </c>
      <c r="B1254">
        <v>2022</v>
      </c>
      <c r="C1254" s="7">
        <f>'1_Du_lieu'!V322</f>
        <v>3.5945687746426951</v>
      </c>
      <c r="D1254" s="9">
        <f>'1_Du_lieu'!Z322</f>
        <v>5.0587903359833026</v>
      </c>
      <c r="E1254" s="9">
        <f>'1_Du_lieu'!AA322</f>
        <v>14.506</v>
      </c>
      <c r="F1254" s="9">
        <f>'1_Du_lieu'!AB322</f>
        <v>84.32</v>
      </c>
      <c r="G1254" s="9">
        <f>'1_Du_lieu'!AC322</f>
        <v>21</v>
      </c>
      <c r="H1254" s="9">
        <f>'1_Du_lieu'!AE322</f>
        <v>3.1894784236488696</v>
      </c>
      <c r="I1254" s="9">
        <f>'1_Du_lieu'!AF322</f>
        <v>0.65465187923598278</v>
      </c>
      <c r="J1254" s="9">
        <f>'1_Du_lieu'!AG322</f>
        <v>9.5856280198467356</v>
      </c>
      <c r="K1254" s="9">
        <f>'1_Du_lieu'!AD322</f>
        <v>20.3</v>
      </c>
      <c r="L1254" s="5">
        <f t="shared" si="178"/>
        <v>0</v>
      </c>
      <c r="M1254" s="5">
        <f t="shared" si="179"/>
        <v>1</v>
      </c>
      <c r="N1254" s="5">
        <f t="shared" si="180"/>
        <v>0</v>
      </c>
      <c r="O1254" s="5">
        <f t="shared" si="181"/>
        <v>0</v>
      </c>
    </row>
    <row r="1255" spans="1:15" x14ac:dyDescent="0.25">
      <c r="A1255" t="s">
        <v>90</v>
      </c>
      <c r="B1255">
        <v>2022</v>
      </c>
      <c r="C1255" s="7">
        <f>'1_Du_lieu'!V323</f>
        <v>2.5802168295923251</v>
      </c>
      <c r="D1255" s="9">
        <f>'1_Du_lieu'!Z323</f>
        <v>4.3320482648676402</v>
      </c>
      <c r="E1255" s="9">
        <f>'1_Du_lieu'!AA323</f>
        <v>6.069</v>
      </c>
      <c r="F1255" s="9">
        <f>'1_Du_lieu'!AB323</f>
        <v>24.16</v>
      </c>
      <c r="G1255" s="9">
        <f>'1_Du_lieu'!AC323</f>
        <v>19.2</v>
      </c>
      <c r="H1255" s="9">
        <f>'1_Du_lieu'!AE323</f>
        <v>0.91400363148611896</v>
      </c>
      <c r="I1255" s="9">
        <f>'1_Du_lieu'!AF323</f>
        <v>0.87864883334960475</v>
      </c>
      <c r="J1255" s="9">
        <f>'1_Du_lieu'!AG323</f>
        <v>8.2010842092241667</v>
      </c>
      <c r="K1255" s="9">
        <f>'1_Du_lieu'!AD323</f>
        <v>19.7</v>
      </c>
      <c r="L1255" s="5">
        <f t="shared" si="178"/>
        <v>0</v>
      </c>
      <c r="M1255" s="5">
        <f t="shared" si="179"/>
        <v>1</v>
      </c>
      <c r="N1255" s="5">
        <f t="shared" si="180"/>
        <v>0</v>
      </c>
      <c r="O1255" s="5">
        <f t="shared" si="181"/>
        <v>0</v>
      </c>
    </row>
    <row r="1256" spans="1:15" x14ac:dyDescent="0.25">
      <c r="A1256" t="s">
        <v>91</v>
      </c>
      <c r="B1256">
        <v>2022</v>
      </c>
      <c r="C1256" s="7">
        <f>'1_Du_lieu'!V324</f>
        <v>2.7278528283983898</v>
      </c>
      <c r="D1256" s="9">
        <f>'1_Du_lieu'!Z324</f>
        <v>4.2959239356204701</v>
      </c>
      <c r="E1256" s="9">
        <f>'1_Du_lieu'!AA324</f>
        <v>4.3860000000000001</v>
      </c>
      <c r="F1256" s="9">
        <f>'1_Du_lieu'!AB324</f>
        <v>38.5</v>
      </c>
      <c r="G1256" s="9">
        <f>'1_Du_lieu'!AC324</f>
        <v>18.3</v>
      </c>
      <c r="H1256" s="9">
        <f>'1_Du_lieu'!AE324</f>
        <v>1.3082655913743744</v>
      </c>
      <c r="I1256" s="9">
        <f>'1_Du_lieu'!AF324</f>
        <v>0.32095001203562545</v>
      </c>
      <c r="J1256" s="9">
        <f>'1_Du_lieu'!AG324</f>
        <v>8.0287485674318138</v>
      </c>
      <c r="K1256" s="9">
        <f>'1_Du_lieu'!AD324</f>
        <v>21.9</v>
      </c>
      <c r="L1256" s="5">
        <f t="shared" si="178"/>
        <v>0</v>
      </c>
      <c r="M1256" s="5">
        <f t="shared" si="179"/>
        <v>1</v>
      </c>
      <c r="N1256" s="5">
        <f t="shared" si="180"/>
        <v>0</v>
      </c>
      <c r="O1256" s="5">
        <f t="shared" si="181"/>
        <v>0</v>
      </c>
    </row>
    <row r="1257" spans="1:15" x14ac:dyDescent="0.25">
      <c r="A1257" t="s">
        <v>93</v>
      </c>
      <c r="B1257">
        <v>2022</v>
      </c>
      <c r="C1257" s="7">
        <f>'1_Du_lieu'!V325</f>
        <v>2.9496883350525844</v>
      </c>
      <c r="D1257" s="9">
        <f>'1_Du_lieu'!Z325</f>
        <v>4.1541845625781173</v>
      </c>
      <c r="E1257" s="9">
        <f>'1_Du_lieu'!AA325</f>
        <v>4.6790000000000003</v>
      </c>
      <c r="F1257" s="9">
        <f>'1_Du_lieu'!AB325</f>
        <v>41.16</v>
      </c>
      <c r="G1257" s="9">
        <f>'1_Du_lieu'!AC325</f>
        <v>25</v>
      </c>
      <c r="H1257" s="9">
        <f>'1_Du_lieu'!AE325</f>
        <v>2.8253474112841697</v>
      </c>
      <c r="I1257" s="9">
        <f>'1_Du_lieu'!AF325</f>
        <v>0.79559769276669101</v>
      </c>
      <c r="J1257" s="9">
        <f>'1_Du_lieu'!AG325</f>
        <v>6.6705128032884256</v>
      </c>
      <c r="K1257" s="9">
        <f>'1_Du_lieu'!AD325</f>
        <v>26.1</v>
      </c>
      <c r="L1257" s="5">
        <f t="shared" si="178"/>
        <v>0</v>
      </c>
      <c r="M1257" s="5">
        <f t="shared" si="179"/>
        <v>1</v>
      </c>
      <c r="N1257" s="5">
        <f t="shared" si="180"/>
        <v>0</v>
      </c>
      <c r="O1257" s="5">
        <f t="shared" si="181"/>
        <v>0</v>
      </c>
    </row>
    <row r="1258" spans="1:15" x14ac:dyDescent="0.25">
      <c r="A1258" t="s">
        <v>95</v>
      </c>
      <c r="B1258">
        <v>2022</v>
      </c>
      <c r="C1258" s="7">
        <f>'1_Du_lieu'!V327</f>
        <v>2.8449093838194073</v>
      </c>
      <c r="D1258" s="9">
        <f>'1_Du_lieu'!Z327</f>
        <v>4.2527717988166192</v>
      </c>
      <c r="E1258" s="9">
        <f>'1_Du_lieu'!AA327</f>
        <v>3.7949999999999999</v>
      </c>
      <c r="F1258" s="9">
        <f>'1_Du_lieu'!AB327</f>
        <v>18.22</v>
      </c>
      <c r="G1258" s="9">
        <f>'1_Du_lieu'!AC327</f>
        <v>26.7</v>
      </c>
      <c r="H1258" s="9">
        <f>'1_Du_lieu'!AE327</f>
        <v>2.5595528323543606</v>
      </c>
      <c r="I1258" s="9">
        <f>'1_Du_lieu'!AF327</f>
        <v>0.63993174061433444</v>
      </c>
      <c r="J1258" s="9">
        <f>'1_Du_lieu'!AG327</f>
        <v>8.4331156882250244</v>
      </c>
      <c r="K1258" s="9">
        <f>'1_Du_lieu'!AD327</f>
        <v>20.7</v>
      </c>
      <c r="L1258" s="5">
        <f t="shared" si="178"/>
        <v>0</v>
      </c>
      <c r="M1258" s="5">
        <f t="shared" si="179"/>
        <v>1</v>
      </c>
      <c r="N1258" s="5">
        <f t="shared" si="180"/>
        <v>0</v>
      </c>
      <c r="O1258" s="5">
        <f t="shared" si="181"/>
        <v>0</v>
      </c>
    </row>
    <row r="1259" spans="1:15" x14ac:dyDescent="0.25">
      <c r="A1259" t="s">
        <v>97</v>
      </c>
      <c r="B1259">
        <v>2022</v>
      </c>
      <c r="C1259" s="7">
        <f>'1_Du_lieu'!V328</f>
        <v>2.388762789235098</v>
      </c>
      <c r="D1259" s="9">
        <f>'1_Du_lieu'!Z328</f>
        <v>3.7495040759303713</v>
      </c>
      <c r="E1259" s="9">
        <f>'1_Du_lieu'!AA328</f>
        <v>2.0230000000000001</v>
      </c>
      <c r="F1259" s="9">
        <f>'1_Du_lieu'!AB328</f>
        <v>22.58</v>
      </c>
      <c r="G1259" s="9">
        <f>'1_Du_lieu'!AC328</f>
        <v>27</v>
      </c>
      <c r="H1259" s="9">
        <f>'1_Du_lieu'!AE328</f>
        <v>1.3645900193889404</v>
      </c>
      <c r="I1259" s="9">
        <f>'1_Du_lieu'!AF328</f>
        <v>0.92678405931417984</v>
      </c>
      <c r="J1259" s="9">
        <f>'1_Du_lieu'!AG328</f>
        <v>3.2347491740244907</v>
      </c>
      <c r="K1259" s="9">
        <f>'1_Du_lieu'!AD328</f>
        <v>19.3</v>
      </c>
      <c r="L1259" s="5">
        <f t="shared" si="178"/>
        <v>0</v>
      </c>
      <c r="M1259" s="5">
        <f t="shared" si="179"/>
        <v>1</v>
      </c>
      <c r="N1259" s="5">
        <f t="shared" si="180"/>
        <v>0</v>
      </c>
      <c r="O1259" s="5">
        <f t="shared" si="181"/>
        <v>0</v>
      </c>
    </row>
    <row r="1260" spans="1:15" x14ac:dyDescent="0.25">
      <c r="A1260" t="s">
        <v>98</v>
      </c>
      <c r="B1260">
        <v>2022</v>
      </c>
      <c r="C1260" s="7">
        <f>'1_Du_lieu'!V329</f>
        <v>3.2809112157876537</v>
      </c>
      <c r="D1260" s="9">
        <f>'1_Du_lieu'!Z329</f>
        <v>5.0606944939689926</v>
      </c>
      <c r="E1260" s="9">
        <f>'1_Du_lieu'!AA329</f>
        <v>9.532</v>
      </c>
      <c r="F1260" s="9">
        <f>'1_Du_lieu'!AB329</f>
        <v>36.65</v>
      </c>
      <c r="G1260" s="9">
        <f>'1_Du_lieu'!AC329</f>
        <v>33.5</v>
      </c>
      <c r="H1260" s="9">
        <f>'1_Du_lieu'!AE329</f>
        <v>2.5245111422255913</v>
      </c>
      <c r="I1260" s="9">
        <f>'1_Du_lieu'!AF329</f>
        <v>1.914006425593</v>
      </c>
      <c r="J1260" s="9">
        <f>'1_Du_lieu'!AG329</f>
        <v>9.6402574133072587</v>
      </c>
      <c r="K1260" s="9">
        <f>'1_Du_lieu'!AD329</f>
        <v>28.7</v>
      </c>
      <c r="L1260" s="5">
        <f t="shared" si="178"/>
        <v>0</v>
      </c>
      <c r="M1260" s="5">
        <f t="shared" si="179"/>
        <v>1</v>
      </c>
      <c r="N1260" s="5">
        <f t="shared" si="180"/>
        <v>0</v>
      </c>
      <c r="O1260" s="5">
        <f t="shared" si="181"/>
        <v>0</v>
      </c>
    </row>
    <row r="1261" spans="1:15" x14ac:dyDescent="0.25">
      <c r="A1261" t="s">
        <v>100</v>
      </c>
      <c r="B1261">
        <v>2022</v>
      </c>
      <c r="C1261" s="7">
        <f>'1_Du_lieu'!V330</f>
        <v>2.8678989020441064</v>
      </c>
      <c r="D1261" s="9">
        <f>'1_Du_lieu'!Z330</f>
        <v>3.7977338590260183</v>
      </c>
      <c r="E1261" s="9">
        <f>'1_Du_lieu'!AA330</f>
        <v>2.68</v>
      </c>
      <c r="F1261" s="9">
        <f>'1_Du_lieu'!AB330</f>
        <v>9.9</v>
      </c>
      <c r="G1261" s="9">
        <f>'1_Du_lieu'!AC330</f>
        <v>12.9</v>
      </c>
      <c r="H1261" s="9">
        <f>'1_Du_lieu'!AE330</f>
        <v>0.9859676841093088</v>
      </c>
      <c r="I1261" s="9">
        <f>'1_Du_lieu'!AF330</f>
        <v>0.46307015512850197</v>
      </c>
      <c r="J1261" s="9">
        <f>'1_Du_lieu'!AG330</f>
        <v>7.1093891468084642</v>
      </c>
      <c r="K1261" s="9">
        <f>'1_Du_lieu'!AD330</f>
        <v>14.6</v>
      </c>
      <c r="L1261" s="5">
        <f t="shared" si="178"/>
        <v>0</v>
      </c>
      <c r="M1261" s="5">
        <f t="shared" si="179"/>
        <v>1</v>
      </c>
      <c r="N1261" s="5">
        <f t="shared" si="180"/>
        <v>0</v>
      </c>
      <c r="O1261" s="5">
        <f t="shared" si="181"/>
        <v>0</v>
      </c>
    </row>
    <row r="1262" spans="1:15" x14ac:dyDescent="0.25">
      <c r="A1262" t="s">
        <v>102</v>
      </c>
      <c r="B1262">
        <v>2022</v>
      </c>
      <c r="C1262" s="7">
        <f>'1_Du_lieu'!V332</f>
        <v>2.5095992623783721</v>
      </c>
      <c r="D1262" s="9">
        <f>'1_Du_lieu'!Z332</f>
        <v>3.9473901492654373</v>
      </c>
      <c r="E1262" s="9">
        <f>'1_Du_lieu'!AA332</f>
        <v>3.0270000000000001</v>
      </c>
      <c r="F1262" s="9">
        <f>'1_Du_lieu'!AB332</f>
        <v>22.77</v>
      </c>
      <c r="G1262" s="9">
        <f>'1_Du_lieu'!AC332</f>
        <v>14.1</v>
      </c>
      <c r="H1262" s="9">
        <f>'1_Du_lieu'!AE332</f>
        <v>-0.51757679765672882</v>
      </c>
      <c r="I1262" s="9">
        <f>'1_Du_lieu'!AF332</f>
        <v>0.5790866975512905</v>
      </c>
      <c r="J1262" s="9">
        <f>'1_Du_lieu'!AG332</f>
        <v>4.8790068516178193</v>
      </c>
      <c r="K1262" s="9">
        <f>'1_Du_lieu'!AD332</f>
        <v>14.3</v>
      </c>
      <c r="L1262" s="5">
        <f t="shared" si="178"/>
        <v>0</v>
      </c>
      <c r="M1262" s="5">
        <f t="shared" si="179"/>
        <v>1</v>
      </c>
      <c r="N1262" s="5">
        <f t="shared" si="180"/>
        <v>0</v>
      </c>
      <c r="O1262" s="5">
        <f t="shared" si="181"/>
        <v>0</v>
      </c>
    </row>
    <row r="1263" spans="1:15" x14ac:dyDescent="0.25">
      <c r="A1263" t="s">
        <v>103</v>
      </c>
      <c r="B1263">
        <v>2022</v>
      </c>
      <c r="C1263" s="7">
        <f>'1_Du_lieu'!V333</f>
        <v>3.2884018875168111</v>
      </c>
      <c r="D1263" s="9">
        <f>'1_Du_lieu'!Z333</f>
        <v>4.3027128279541564</v>
      </c>
      <c r="E1263" s="9">
        <f>'1_Du_lieu'!AA333</f>
        <v>7.7160000000000002</v>
      </c>
      <c r="F1263" s="9">
        <f>'1_Du_lieu'!AB333</f>
        <v>70.319999999999993</v>
      </c>
      <c r="G1263" s="9">
        <f>'1_Du_lieu'!AC333</f>
        <v>24.2</v>
      </c>
      <c r="H1263" s="9">
        <f>'1_Du_lieu'!AE333</f>
        <v>0.57766702451953889</v>
      </c>
      <c r="I1263" s="9">
        <f>'1_Du_lieu'!AF333</f>
        <v>1.36327185244587</v>
      </c>
      <c r="J1263" s="9">
        <f>'1_Du_lieu'!AG333</f>
        <v>7.4068928629529367</v>
      </c>
      <c r="K1263" s="9">
        <f>'1_Du_lieu'!AD333</f>
        <v>27.3</v>
      </c>
      <c r="L1263" s="5">
        <f t="shared" si="178"/>
        <v>0</v>
      </c>
      <c r="M1263" s="5">
        <f t="shared" si="179"/>
        <v>1</v>
      </c>
      <c r="N1263" s="5">
        <f t="shared" si="180"/>
        <v>0</v>
      </c>
      <c r="O1263" s="5">
        <f t="shared" si="181"/>
        <v>0</v>
      </c>
    </row>
    <row r="1264" spans="1:15" x14ac:dyDescent="0.25">
      <c r="A1264" t="s">
        <v>104</v>
      </c>
      <c r="B1264">
        <v>2022</v>
      </c>
      <c r="C1264" s="7">
        <f>'1_Du_lieu'!V334</f>
        <v>2.631888840136646</v>
      </c>
      <c r="D1264" s="9">
        <f>'1_Du_lieu'!Z334</f>
        <v>3.8753590210565547</v>
      </c>
      <c r="E1264" s="9">
        <f>'1_Du_lieu'!AA334</f>
        <v>3.081</v>
      </c>
      <c r="F1264" s="9">
        <f>'1_Du_lieu'!AB334</f>
        <v>29.23</v>
      </c>
      <c r="G1264" s="9">
        <f>'1_Du_lieu'!AC334</f>
        <v>15.9</v>
      </c>
      <c r="H1264" s="9">
        <f>'1_Du_lieu'!AE334</f>
        <v>2.3241387380562166</v>
      </c>
      <c r="I1264" s="9">
        <f>'1_Du_lieu'!AF334</f>
        <v>1.2104223737019812</v>
      </c>
      <c r="J1264" s="9">
        <f>'1_Du_lieu'!AG334</f>
        <v>2.6672282065819548</v>
      </c>
      <c r="K1264" s="9">
        <f>'1_Du_lieu'!AD334</f>
        <v>16.3</v>
      </c>
      <c r="L1264" s="5">
        <f t="shared" si="178"/>
        <v>0</v>
      </c>
      <c r="M1264" s="5">
        <f t="shared" si="179"/>
        <v>1</v>
      </c>
      <c r="N1264" s="5">
        <f t="shared" si="180"/>
        <v>0</v>
      </c>
      <c r="O1264" s="5">
        <f t="shared" si="181"/>
        <v>0</v>
      </c>
    </row>
    <row r="1265" spans="1:15" x14ac:dyDescent="0.25">
      <c r="A1265" t="s">
        <v>107</v>
      </c>
      <c r="B1265">
        <v>2022</v>
      </c>
      <c r="C1265" s="7">
        <f>'1_Du_lieu'!V336</f>
        <v>2.8903717578961645</v>
      </c>
      <c r="D1265" s="9">
        <f>'1_Du_lieu'!Z336</f>
        <v>4.3307333402863311</v>
      </c>
      <c r="E1265" s="9">
        <f>'1_Du_lieu'!AA336</f>
        <v>5.484</v>
      </c>
      <c r="F1265" s="9">
        <f>'1_Du_lieu'!AB336</f>
        <v>27.98</v>
      </c>
      <c r="G1265" s="9">
        <f>'1_Du_lieu'!AC336</f>
        <v>27.6</v>
      </c>
      <c r="H1265" s="9">
        <f>'1_Du_lieu'!AE336</f>
        <v>2.7170211154674084</v>
      </c>
      <c r="I1265" s="9">
        <f>'1_Du_lieu'!AF336</f>
        <v>1.0283363802559415</v>
      </c>
      <c r="J1265" s="9">
        <f>'1_Du_lieu'!AG336</f>
        <v>8.6293247318597643</v>
      </c>
      <c r="K1265" s="9">
        <f>'1_Du_lieu'!AD336</f>
        <v>23.7</v>
      </c>
      <c r="L1265" s="5">
        <f t="shared" si="178"/>
        <v>0</v>
      </c>
      <c r="M1265" s="5">
        <f t="shared" si="179"/>
        <v>1</v>
      </c>
      <c r="N1265" s="5">
        <f t="shared" si="180"/>
        <v>0</v>
      </c>
      <c r="O1265" s="5">
        <f t="shared" si="181"/>
        <v>0</v>
      </c>
    </row>
    <row r="1266" spans="1:15" x14ac:dyDescent="0.25">
      <c r="A1266" t="s">
        <v>108</v>
      </c>
      <c r="B1266">
        <v>2022</v>
      </c>
      <c r="C1266" s="7">
        <f>'1_Du_lieu'!V337</f>
        <v>4.4531838289902099</v>
      </c>
      <c r="D1266" s="9">
        <f>'1_Du_lieu'!Z337</f>
        <v>4.8543712716215905</v>
      </c>
      <c r="E1266" s="9">
        <f>'1_Du_lieu'!AA337</f>
        <v>21.425999999999998</v>
      </c>
      <c r="F1266" s="9">
        <f>'1_Du_lieu'!AB337</f>
        <v>49.16</v>
      </c>
      <c r="G1266" s="9">
        <f>'1_Du_lieu'!AC337</f>
        <v>50.3</v>
      </c>
      <c r="H1266" s="9">
        <f>'1_Du_lieu'!AE337</f>
        <v>2.721267313647274</v>
      </c>
      <c r="I1266" s="9">
        <f>'1_Du_lieu'!AF337</f>
        <v>1.8125510155087148</v>
      </c>
      <c r="J1266" s="9">
        <f>'1_Du_lieu'!AG337</f>
        <v>8.4145401184366513</v>
      </c>
      <c r="K1266" s="9">
        <f>'1_Du_lieu'!AD337</f>
        <v>53.7</v>
      </c>
      <c r="L1266" s="5">
        <f t="shared" si="178"/>
        <v>0</v>
      </c>
      <c r="M1266" s="5">
        <f t="shared" si="179"/>
        <v>1</v>
      </c>
      <c r="N1266" s="5">
        <f t="shared" si="180"/>
        <v>0</v>
      </c>
      <c r="O1266" s="5">
        <f t="shared" si="181"/>
        <v>0</v>
      </c>
    </row>
    <row r="1267" spans="1:15" x14ac:dyDescent="0.25">
      <c r="A1267" t="s">
        <v>109</v>
      </c>
      <c r="B1267">
        <v>2022</v>
      </c>
      <c r="C1267" s="7">
        <f>'1_Du_lieu'!V338</f>
        <v>2.6390573296152584</v>
      </c>
      <c r="D1267" s="9">
        <f>'1_Du_lieu'!Z338</f>
        <v>4.2326561780196128</v>
      </c>
      <c r="E1267" s="9">
        <f>'1_Du_lieu'!AA338</f>
        <v>3.956</v>
      </c>
      <c r="F1267" s="9">
        <f>'1_Du_lieu'!AB338</f>
        <v>22.3</v>
      </c>
      <c r="G1267" s="9">
        <f>'1_Du_lieu'!AC338</f>
        <v>30.5</v>
      </c>
      <c r="H1267" s="9">
        <f>'1_Du_lieu'!AE338</f>
        <v>3.118856606735112</v>
      </c>
      <c r="I1267" s="9">
        <f>'1_Du_lieu'!AF338</f>
        <v>0.38048854729472648</v>
      </c>
      <c r="J1267" s="9">
        <f>'1_Du_lieu'!AG338</f>
        <v>9.0976530809318952</v>
      </c>
      <c r="K1267" s="9">
        <f>'1_Du_lieu'!AD338</f>
        <v>19.600000000000001</v>
      </c>
      <c r="L1267" s="5">
        <f t="shared" si="178"/>
        <v>0</v>
      </c>
      <c r="M1267" s="5">
        <f t="shared" si="179"/>
        <v>1</v>
      </c>
      <c r="N1267" s="5">
        <f t="shared" si="180"/>
        <v>0</v>
      </c>
      <c r="O1267" s="5">
        <f t="shared" si="181"/>
        <v>0</v>
      </c>
    </row>
    <row r="1268" spans="1:15" x14ac:dyDescent="0.25">
      <c r="A1268" t="s">
        <v>110</v>
      </c>
      <c r="B1268">
        <v>2022</v>
      </c>
      <c r="C1268" s="7">
        <f>'1_Du_lieu'!V339</f>
        <v>2.3702437414678603</v>
      </c>
      <c r="D1268" s="9">
        <f>'1_Du_lieu'!Z339</f>
        <v>4.0809215418899605</v>
      </c>
      <c r="E1268" s="9">
        <f>'1_Du_lieu'!AA339</f>
        <v>3.05</v>
      </c>
      <c r="F1268" s="9">
        <f>'1_Du_lieu'!AB339</f>
        <v>23.95</v>
      </c>
      <c r="G1268" s="9">
        <f>'1_Du_lieu'!AC339</f>
        <v>23.6</v>
      </c>
      <c r="H1268" s="9">
        <f>'1_Du_lieu'!AE339</f>
        <v>2.1568555115548667</v>
      </c>
      <c r="I1268" s="9">
        <f>'1_Du_lieu'!AF339</f>
        <v>1.0324652976941608</v>
      </c>
      <c r="J1268" s="9">
        <f>'1_Du_lieu'!AG339</f>
        <v>6.717925606697861</v>
      </c>
      <c r="K1268" s="9">
        <f>'1_Du_lieu'!AD339</f>
        <v>15</v>
      </c>
      <c r="L1268" s="5">
        <f t="shared" si="178"/>
        <v>0</v>
      </c>
      <c r="M1268" s="5">
        <f t="shared" si="179"/>
        <v>1</v>
      </c>
      <c r="N1268" s="5">
        <f t="shared" si="180"/>
        <v>0</v>
      </c>
      <c r="O1268" s="5">
        <f t="shared" si="181"/>
        <v>0</v>
      </c>
    </row>
    <row r="1269" spans="1:15" x14ac:dyDescent="0.25">
      <c r="A1269" t="s">
        <v>111</v>
      </c>
      <c r="B1269">
        <v>2022</v>
      </c>
      <c r="C1269" s="7">
        <f>'1_Du_lieu'!V340</f>
        <v>3.1527360223636558</v>
      </c>
      <c r="D1269" s="9">
        <f>'1_Du_lieu'!Z340</f>
        <v>4.4773368144782069</v>
      </c>
      <c r="E1269" s="9">
        <f>'1_Du_lieu'!AA340</f>
        <v>6.48</v>
      </c>
      <c r="F1269" s="9">
        <f>'1_Du_lieu'!AB340</f>
        <v>16.63</v>
      </c>
      <c r="G1269" s="9">
        <f>'1_Du_lieu'!AC340</f>
        <v>26.7</v>
      </c>
      <c r="H1269" s="9">
        <f>'1_Du_lieu'!AE340</f>
        <v>3.1871783524341519</v>
      </c>
      <c r="I1269" s="9">
        <f>'1_Du_lieu'!AF340</f>
        <v>1.8682858477347037</v>
      </c>
      <c r="J1269" s="9">
        <f>'1_Du_lieu'!AG340</f>
        <v>8.4657314617916377</v>
      </c>
      <c r="K1269" s="9">
        <f>'1_Du_lieu'!AD340</f>
        <v>31.1</v>
      </c>
      <c r="L1269" s="5">
        <f t="shared" si="178"/>
        <v>0</v>
      </c>
      <c r="M1269" s="5">
        <f t="shared" si="179"/>
        <v>1</v>
      </c>
      <c r="N1269" s="5">
        <f t="shared" si="180"/>
        <v>0</v>
      </c>
      <c r="O1269" s="5">
        <f t="shared" si="181"/>
        <v>0</v>
      </c>
    </row>
    <row r="1270" spans="1:15" x14ac:dyDescent="0.25">
      <c r="A1270" t="s">
        <v>112</v>
      </c>
      <c r="B1270">
        <v>2022</v>
      </c>
      <c r="C1270" s="7">
        <f>'1_Du_lieu'!V341</f>
        <v>3.1090609588609941</v>
      </c>
      <c r="D1270" s="9">
        <f>'1_Du_lieu'!Z341</f>
        <v>4.3476939555933765</v>
      </c>
      <c r="E1270" s="9">
        <f>'1_Du_lieu'!AA341</f>
        <v>5.2279999999999998</v>
      </c>
      <c r="F1270" s="9">
        <f>'1_Du_lieu'!AB341</f>
        <v>31.66</v>
      </c>
      <c r="G1270" s="9">
        <f>'1_Du_lieu'!AC341</f>
        <v>30.4</v>
      </c>
      <c r="H1270" s="9">
        <f>'1_Du_lieu'!AE341</f>
        <v>2.9528574324724923</v>
      </c>
      <c r="I1270" s="9">
        <f>'1_Du_lieu'!AF341</f>
        <v>0.56794712928541924</v>
      </c>
      <c r="J1270" s="9">
        <f>'1_Du_lieu'!AG341</f>
        <v>8.4314174143948328</v>
      </c>
      <c r="K1270" s="9">
        <f>'1_Du_lieu'!AD341</f>
        <v>35</v>
      </c>
      <c r="L1270" s="5">
        <f t="shared" si="178"/>
        <v>0</v>
      </c>
      <c r="M1270" s="5">
        <f t="shared" si="179"/>
        <v>1</v>
      </c>
      <c r="N1270" s="5">
        <f t="shared" si="180"/>
        <v>0</v>
      </c>
      <c r="O1270" s="5">
        <f t="shared" si="181"/>
        <v>0</v>
      </c>
    </row>
    <row r="1271" spans="1:15" x14ac:dyDescent="0.25">
      <c r="A1271" t="s">
        <v>113</v>
      </c>
      <c r="B1271">
        <v>2022</v>
      </c>
      <c r="C1271" s="7">
        <f>'1_Du_lieu'!V342</f>
        <v>3.4688560301359703</v>
      </c>
      <c r="D1271" s="9">
        <f>'1_Du_lieu'!Z342</f>
        <v>5.0179418692786939</v>
      </c>
      <c r="E1271" s="9">
        <f>'1_Du_lieu'!AA342</f>
        <v>9.5570000000000004</v>
      </c>
      <c r="F1271" s="9">
        <f>'1_Du_lieu'!AB342</f>
        <v>45.51</v>
      </c>
      <c r="G1271" s="9">
        <f>'1_Du_lieu'!AC342</f>
        <v>36</v>
      </c>
      <c r="H1271" s="9">
        <f>'1_Du_lieu'!AE342</f>
        <v>3.9155142980925031</v>
      </c>
      <c r="I1271" s="9">
        <f>'1_Du_lieu'!AF342</f>
        <v>1.7853696197645244</v>
      </c>
      <c r="J1271" s="9">
        <f>'1_Du_lieu'!AG342</f>
        <v>9.3407719651828476</v>
      </c>
      <c r="K1271" s="9">
        <f>'1_Du_lieu'!AD342</f>
        <v>32.6</v>
      </c>
      <c r="L1271" s="5">
        <f t="shared" ref="L1271:L1334" si="182">IF(B1271=2021,1,0)</f>
        <v>0</v>
      </c>
      <c r="M1271" s="5">
        <f t="shared" ref="M1271:M1334" si="183">IF(B1271=2022,1,0)</f>
        <v>1</v>
      </c>
      <c r="N1271" s="5">
        <f t="shared" ref="N1271:N1334" si="184">IF(B1271=2023,1,0)</f>
        <v>0</v>
      </c>
      <c r="O1271" s="5">
        <f t="shared" ref="O1271:O1334" si="185">IF(B1271=2024,1,0)</f>
        <v>0</v>
      </c>
    </row>
    <row r="1272" spans="1:15" x14ac:dyDescent="0.25">
      <c r="A1272" t="s">
        <v>114</v>
      </c>
      <c r="B1272">
        <v>2022</v>
      </c>
      <c r="C1272" s="7">
        <f>'1_Du_lieu'!V343</f>
        <v>2.4248027257182949</v>
      </c>
      <c r="D1272" s="9">
        <f>'1_Du_lieu'!Z343</f>
        <v>3.9963641538618968</v>
      </c>
      <c r="E1272" s="9">
        <f>'1_Du_lieu'!AA343</f>
        <v>3.218</v>
      </c>
      <c r="F1272" s="9">
        <f>'1_Du_lieu'!AB343</f>
        <v>29.14</v>
      </c>
      <c r="G1272" s="9">
        <f>'1_Du_lieu'!AC343</f>
        <v>13.5</v>
      </c>
      <c r="H1272" s="9">
        <f>'1_Du_lieu'!AE343</f>
        <v>1.1202516034301633</v>
      </c>
      <c r="I1272" s="9">
        <f>'1_Du_lieu'!AF343</f>
        <v>0.68502534593779973</v>
      </c>
      <c r="J1272" s="9">
        <f>'1_Du_lieu'!AG343</f>
        <v>6.8469431395853793</v>
      </c>
      <c r="K1272" s="9">
        <f>'1_Du_lieu'!AD343</f>
        <v>19</v>
      </c>
      <c r="L1272" s="5">
        <f t="shared" si="182"/>
        <v>0</v>
      </c>
      <c r="M1272" s="5">
        <f t="shared" si="183"/>
        <v>1</v>
      </c>
      <c r="N1272" s="5">
        <f t="shared" si="184"/>
        <v>0</v>
      </c>
      <c r="O1272" s="5">
        <f t="shared" si="185"/>
        <v>0</v>
      </c>
    </row>
    <row r="1273" spans="1:15" x14ac:dyDescent="0.25">
      <c r="A1273" t="s">
        <v>115</v>
      </c>
      <c r="B1273">
        <v>2022</v>
      </c>
      <c r="C1273" s="7">
        <f>'1_Du_lieu'!V344</f>
        <v>3.1354942159291497</v>
      </c>
      <c r="D1273" s="9">
        <f>'1_Du_lieu'!Z344</f>
        <v>4.1510399058986458</v>
      </c>
      <c r="E1273" s="9">
        <f>'1_Du_lieu'!AA344</f>
        <v>8.9290000000000003</v>
      </c>
      <c r="F1273" s="9">
        <f>'1_Du_lieu'!AB344</f>
        <v>42.36</v>
      </c>
      <c r="G1273" s="9">
        <f>'1_Du_lieu'!AC344</f>
        <v>25.6</v>
      </c>
      <c r="H1273" s="9">
        <f>'1_Du_lieu'!AE344</f>
        <v>2.6380438479329342</v>
      </c>
      <c r="I1273" s="9">
        <f>'1_Du_lieu'!AF344</f>
        <v>3.2849931896482656</v>
      </c>
      <c r="J1273" s="9">
        <f>'1_Du_lieu'!AG344</f>
        <v>8.1667275015266778</v>
      </c>
      <c r="K1273" s="9">
        <f>'1_Du_lieu'!AD344</f>
        <v>32.1</v>
      </c>
      <c r="L1273" s="5">
        <f t="shared" si="182"/>
        <v>0</v>
      </c>
      <c r="M1273" s="5">
        <f t="shared" si="183"/>
        <v>1</v>
      </c>
      <c r="N1273" s="5">
        <f t="shared" si="184"/>
        <v>0</v>
      </c>
      <c r="O1273" s="5">
        <f t="shared" si="185"/>
        <v>0</v>
      </c>
    </row>
    <row r="1274" spans="1:15" x14ac:dyDescent="0.25">
      <c r="A1274" t="s">
        <v>116</v>
      </c>
      <c r="B1274">
        <v>2022</v>
      </c>
      <c r="C1274" s="7">
        <f>'1_Du_lieu'!V345</f>
        <v>2.6461747973841225</v>
      </c>
      <c r="D1274" s="9">
        <f>'1_Du_lieu'!Z345</f>
        <v>4.0775374439057197</v>
      </c>
      <c r="E1274" s="9">
        <f>'1_Du_lieu'!AA345</f>
        <v>4.6059999999999999</v>
      </c>
      <c r="F1274" s="9">
        <f>'1_Du_lieu'!AB345</f>
        <v>28.79</v>
      </c>
      <c r="G1274" s="9">
        <f>'1_Du_lieu'!AC345</f>
        <v>15.7</v>
      </c>
      <c r="H1274" s="9">
        <f>'1_Du_lieu'!AE345</f>
        <v>0.18575873675573884</v>
      </c>
      <c r="I1274" s="9">
        <f>'1_Du_lieu'!AF345</f>
        <v>3.6523426353934831</v>
      </c>
      <c r="J1274" s="9">
        <f>'1_Du_lieu'!AG345</f>
        <v>7.9174999234075516</v>
      </c>
      <c r="K1274" s="9">
        <f>'1_Du_lieu'!AD345</f>
        <v>14.8</v>
      </c>
      <c r="L1274" s="5">
        <f t="shared" si="182"/>
        <v>0</v>
      </c>
      <c r="M1274" s="5">
        <f t="shared" si="183"/>
        <v>1</v>
      </c>
      <c r="N1274" s="5">
        <f t="shared" si="184"/>
        <v>0</v>
      </c>
      <c r="O1274" s="5">
        <f t="shared" si="185"/>
        <v>0</v>
      </c>
    </row>
    <row r="1275" spans="1:15" x14ac:dyDescent="0.25">
      <c r="A1275" t="s">
        <v>117</v>
      </c>
      <c r="B1275">
        <v>2022</v>
      </c>
      <c r="C1275" s="7">
        <f>'1_Du_lieu'!V346</f>
        <v>2.3702437414678603</v>
      </c>
      <c r="D1275" s="9">
        <f>'1_Du_lieu'!Z346</f>
        <v>3.8649313978942956</v>
      </c>
      <c r="E1275" s="9">
        <f>'1_Du_lieu'!AA346</f>
        <v>3.4670000000000001</v>
      </c>
      <c r="F1275" s="9">
        <f>'1_Du_lieu'!AB346</f>
        <v>32.58</v>
      </c>
      <c r="G1275" s="9">
        <f>'1_Du_lieu'!AC346</f>
        <v>18.2</v>
      </c>
      <c r="H1275" s="9">
        <f>'1_Du_lieu'!AE346</f>
        <v>2.391835522614858</v>
      </c>
      <c r="I1275" s="9">
        <f>'1_Du_lieu'!AF346</f>
        <v>0.87904360056258801</v>
      </c>
      <c r="J1275" s="9">
        <f>'1_Du_lieu'!AG346</f>
        <v>6.0746561379947464</v>
      </c>
      <c r="K1275" s="9">
        <f>'1_Du_lieu'!AD346</f>
        <v>26.5</v>
      </c>
      <c r="L1275" s="5">
        <f t="shared" si="182"/>
        <v>0</v>
      </c>
      <c r="M1275" s="5">
        <f t="shared" si="183"/>
        <v>1</v>
      </c>
      <c r="N1275" s="5">
        <f t="shared" si="184"/>
        <v>0</v>
      </c>
      <c r="O1275" s="5">
        <f t="shared" si="185"/>
        <v>0</v>
      </c>
    </row>
    <row r="1276" spans="1:15" x14ac:dyDescent="0.25">
      <c r="A1276" t="s">
        <v>119</v>
      </c>
      <c r="B1276">
        <v>2022</v>
      </c>
      <c r="C1276" s="7">
        <f>'1_Du_lieu'!V348</f>
        <v>3.0007198150650303</v>
      </c>
      <c r="D1276" s="9">
        <f>'1_Du_lieu'!Z348</f>
        <v>4.3807758527722287</v>
      </c>
      <c r="E1276" s="9">
        <f>'1_Du_lieu'!AA348</f>
        <v>6.4249999999999998</v>
      </c>
      <c r="F1276" s="9">
        <f>'1_Du_lieu'!AB348</f>
        <v>18.34</v>
      </c>
      <c r="G1276" s="9">
        <f>'1_Du_lieu'!AC348</f>
        <v>15.1</v>
      </c>
      <c r="H1276" s="9">
        <f>'1_Du_lieu'!AE348</f>
        <v>1.2550945693432973</v>
      </c>
      <c r="I1276" s="9">
        <f>'1_Du_lieu'!AF348</f>
        <v>0.46355313477807392</v>
      </c>
      <c r="J1276" s="9">
        <f>'1_Du_lieu'!AG348</f>
        <v>8.8694262849274654</v>
      </c>
      <c r="K1276" s="9">
        <f>'1_Du_lieu'!AD348</f>
        <v>21.6</v>
      </c>
      <c r="L1276" s="5">
        <f t="shared" si="182"/>
        <v>0</v>
      </c>
      <c r="M1276" s="5">
        <f t="shared" si="183"/>
        <v>1</v>
      </c>
      <c r="N1276" s="5">
        <f t="shared" si="184"/>
        <v>0</v>
      </c>
      <c r="O1276" s="5">
        <f t="shared" si="185"/>
        <v>0</v>
      </c>
    </row>
    <row r="1277" spans="1:15" x14ac:dyDescent="0.25">
      <c r="A1277" t="s">
        <v>120</v>
      </c>
      <c r="B1277">
        <v>2022</v>
      </c>
      <c r="C1277" s="7">
        <f>'1_Du_lieu'!V349</f>
        <v>2.5649493574615367</v>
      </c>
      <c r="D1277" s="9">
        <f>'1_Du_lieu'!Z349</f>
        <v>4.3094559418390466</v>
      </c>
      <c r="E1277" s="9">
        <f>'1_Du_lieu'!AA349</f>
        <v>4.0060000000000002</v>
      </c>
      <c r="F1277" s="9">
        <f>'1_Du_lieu'!AB349</f>
        <v>26.5</v>
      </c>
      <c r="G1277" s="9">
        <f>'1_Du_lieu'!AC349</f>
        <v>24.6</v>
      </c>
      <c r="H1277" s="9">
        <f>'1_Du_lieu'!AE349</f>
        <v>2.0605277435655931</v>
      </c>
      <c r="I1277" s="9">
        <f>'1_Du_lieu'!AF349</f>
        <v>1.3125082031762698</v>
      </c>
      <c r="J1277" s="9">
        <f>'1_Du_lieu'!AG349</f>
        <v>6.6407904481190778</v>
      </c>
      <c r="K1277" s="9">
        <f>'1_Du_lieu'!AD349</f>
        <v>16</v>
      </c>
      <c r="L1277" s="5">
        <f t="shared" si="182"/>
        <v>0</v>
      </c>
      <c r="M1277" s="5">
        <f t="shared" si="183"/>
        <v>1</v>
      </c>
      <c r="N1277" s="5">
        <f t="shared" si="184"/>
        <v>0</v>
      </c>
      <c r="O1277" s="5">
        <f t="shared" si="185"/>
        <v>0</v>
      </c>
    </row>
    <row r="1278" spans="1:15" x14ac:dyDescent="0.25">
      <c r="A1278" t="s">
        <v>121</v>
      </c>
      <c r="B1278">
        <v>2022</v>
      </c>
      <c r="C1278" s="7">
        <f>'1_Du_lieu'!V350</f>
        <v>2.9755295662364718</v>
      </c>
      <c r="D1278" s="9">
        <f>'1_Du_lieu'!Z350</f>
        <v>4.2046926193909657</v>
      </c>
      <c r="E1278" s="9">
        <f>'1_Du_lieu'!AA350</f>
        <v>5.5830000000000002</v>
      </c>
      <c r="F1278" s="9">
        <f>'1_Du_lieu'!AB350</f>
        <v>39.270000000000003</v>
      </c>
      <c r="G1278" s="9">
        <f>'1_Du_lieu'!AC350</f>
        <v>20.5</v>
      </c>
      <c r="H1278" s="9">
        <f>'1_Du_lieu'!AE350</f>
        <v>2.5688521867361809</v>
      </c>
      <c r="I1278" s="9">
        <f>'1_Du_lieu'!AF350</f>
        <v>0.45389212497163173</v>
      </c>
      <c r="J1278" s="9">
        <f>'1_Du_lieu'!AG350</f>
        <v>5.9967008139032281</v>
      </c>
      <c r="K1278" s="9">
        <f>'1_Du_lieu'!AD350</f>
        <v>29.8</v>
      </c>
      <c r="L1278" s="5">
        <f t="shared" si="182"/>
        <v>0</v>
      </c>
      <c r="M1278" s="5">
        <f t="shared" si="183"/>
        <v>1</v>
      </c>
      <c r="N1278" s="5">
        <f t="shared" si="184"/>
        <v>0</v>
      </c>
      <c r="O1278" s="5">
        <f t="shared" si="185"/>
        <v>0</v>
      </c>
    </row>
    <row r="1279" spans="1:15" x14ac:dyDescent="0.25">
      <c r="A1279" t="s">
        <v>122</v>
      </c>
      <c r="B1279">
        <v>2022</v>
      </c>
      <c r="C1279" s="7">
        <f>'1_Du_lieu'!V351</f>
        <v>2.4423470353692043</v>
      </c>
      <c r="D1279" s="9">
        <f>'1_Du_lieu'!Z351</f>
        <v>3.8543938925915096</v>
      </c>
      <c r="E1279" s="9">
        <f>'1_Du_lieu'!AA351</f>
        <v>2.786</v>
      </c>
      <c r="F1279" s="9">
        <f>'1_Du_lieu'!AB351</f>
        <v>23.08</v>
      </c>
      <c r="G1279" s="9">
        <f>'1_Du_lieu'!AC351</f>
        <v>27.8</v>
      </c>
      <c r="H1279" s="9">
        <f>'1_Du_lieu'!AE351</f>
        <v>1.8667991908086079</v>
      </c>
      <c r="I1279" s="9">
        <f>'1_Du_lieu'!AF351</f>
        <v>0.62743129627305805</v>
      </c>
      <c r="J1279" s="9">
        <f>'1_Du_lieu'!AG351</f>
        <v>5.7127422160276726</v>
      </c>
      <c r="K1279" s="9">
        <f>'1_Du_lieu'!AD351</f>
        <v>16.899999999999999</v>
      </c>
      <c r="L1279" s="5">
        <f t="shared" si="182"/>
        <v>0</v>
      </c>
      <c r="M1279" s="5">
        <f t="shared" si="183"/>
        <v>1</v>
      </c>
      <c r="N1279" s="5">
        <f t="shared" si="184"/>
        <v>0</v>
      </c>
      <c r="O1279" s="5">
        <f t="shared" si="185"/>
        <v>0</v>
      </c>
    </row>
    <row r="1280" spans="1:15" x14ac:dyDescent="0.25">
      <c r="A1280" t="s">
        <v>123</v>
      </c>
      <c r="B1280">
        <v>2022</v>
      </c>
      <c r="C1280" s="7">
        <f>'1_Du_lieu'!V352</f>
        <v>3.1904763503465028</v>
      </c>
      <c r="D1280" s="9">
        <f>'1_Du_lieu'!Z352</f>
        <v>3.7954891891721947</v>
      </c>
      <c r="E1280" s="9">
        <f>'1_Du_lieu'!AA352</f>
        <v>3.5150000000000001</v>
      </c>
      <c r="F1280" s="9">
        <f>'1_Du_lieu'!AB352</f>
        <v>20.239999999999998</v>
      </c>
      <c r="G1280" s="9">
        <f>'1_Du_lieu'!AC352</f>
        <v>22</v>
      </c>
      <c r="H1280" s="9">
        <f>'1_Du_lieu'!AE352</f>
        <v>1.9256821973494891</v>
      </c>
      <c r="I1280" s="9">
        <f>'1_Du_lieu'!AF352</f>
        <v>0.98023198823721613</v>
      </c>
      <c r="J1280" s="9">
        <f>'1_Du_lieu'!AG352</f>
        <v>7.5979480997156461</v>
      </c>
      <c r="K1280" s="9">
        <f>'1_Du_lieu'!AD352</f>
        <v>17.2</v>
      </c>
      <c r="L1280" s="5">
        <f t="shared" si="182"/>
        <v>0</v>
      </c>
      <c r="M1280" s="5">
        <f t="shared" si="183"/>
        <v>1</v>
      </c>
      <c r="N1280" s="5">
        <f t="shared" si="184"/>
        <v>0</v>
      </c>
      <c r="O1280" s="5">
        <f t="shared" si="185"/>
        <v>0</v>
      </c>
    </row>
    <row r="1281" spans="1:15" x14ac:dyDescent="0.25">
      <c r="A1281" t="s">
        <v>124</v>
      </c>
      <c r="B1281">
        <v>2022</v>
      </c>
      <c r="C1281" s="7">
        <f>'1_Du_lieu'!V353</f>
        <v>3.0587070727153796</v>
      </c>
      <c r="D1281" s="9">
        <f>'1_Du_lieu'!Z353</f>
        <v>3.8329797980876932</v>
      </c>
      <c r="E1281" s="9">
        <f>'1_Du_lieu'!AA353</f>
        <v>3.641</v>
      </c>
      <c r="F1281" s="9">
        <f>'1_Du_lieu'!AB353</f>
        <v>15.53</v>
      </c>
      <c r="G1281" s="9">
        <f>'1_Du_lieu'!AC353</f>
        <v>23.4</v>
      </c>
      <c r="H1281" s="9">
        <f>'1_Du_lieu'!AE353</f>
        <v>3.5961360693583755</v>
      </c>
      <c r="I1281" s="9">
        <f>'1_Du_lieu'!AF353</f>
        <v>3.0500322599565957</v>
      </c>
      <c r="J1281" s="9">
        <f>'1_Du_lieu'!AG353</f>
        <v>6.3645786249984866</v>
      </c>
      <c r="K1281" s="9">
        <f>'1_Du_lieu'!AD353</f>
        <v>18.2</v>
      </c>
      <c r="L1281" s="5">
        <f t="shared" si="182"/>
        <v>0</v>
      </c>
      <c r="M1281" s="5">
        <f t="shared" si="183"/>
        <v>1</v>
      </c>
      <c r="N1281" s="5">
        <f t="shared" si="184"/>
        <v>0</v>
      </c>
      <c r="O1281" s="5">
        <f t="shared" si="185"/>
        <v>0</v>
      </c>
    </row>
    <row r="1282" spans="1:15" x14ac:dyDescent="0.25">
      <c r="A1282" t="s">
        <v>125</v>
      </c>
      <c r="B1282">
        <v>2022</v>
      </c>
      <c r="C1282" s="7">
        <f>'1_Du_lieu'!V354</f>
        <v>2.884800712846709</v>
      </c>
      <c r="D1282" s="9">
        <f>'1_Du_lieu'!Z354</f>
        <v>4.2584455729025272</v>
      </c>
      <c r="E1282" s="9">
        <f>'1_Du_lieu'!AA354</f>
        <v>4.7089999999999996</v>
      </c>
      <c r="F1282" s="9">
        <f>'1_Du_lieu'!AB354</f>
        <v>21.49</v>
      </c>
      <c r="G1282" s="9">
        <f>'1_Du_lieu'!AC354</f>
        <v>31.7</v>
      </c>
      <c r="H1282" s="9">
        <f>'1_Du_lieu'!AE354</f>
        <v>3.2896017445069567</v>
      </c>
      <c r="I1282" s="9">
        <f>'1_Du_lieu'!AF354</f>
        <v>4.1683207622072249</v>
      </c>
      <c r="J1282" s="9">
        <f>'1_Du_lieu'!AG354</f>
        <v>7.3622010093119234</v>
      </c>
      <c r="K1282" s="9">
        <f>'1_Du_lieu'!AD354</f>
        <v>23.8</v>
      </c>
      <c r="L1282" s="5">
        <f t="shared" si="182"/>
        <v>0</v>
      </c>
      <c r="M1282" s="5">
        <f t="shared" si="183"/>
        <v>1</v>
      </c>
      <c r="N1282" s="5">
        <f t="shared" si="184"/>
        <v>0</v>
      </c>
      <c r="O1282" s="5">
        <f t="shared" si="185"/>
        <v>0</v>
      </c>
    </row>
    <row r="1283" spans="1:15" x14ac:dyDescent="0.25">
      <c r="A1283" t="s">
        <v>126</v>
      </c>
      <c r="B1283">
        <v>2022</v>
      </c>
      <c r="C1283" s="7">
        <f>'1_Du_lieu'!V355</f>
        <v>2.6100697927420065</v>
      </c>
      <c r="D1283" s="9">
        <f>'1_Du_lieu'!Z355</f>
        <v>4.2442003177664782</v>
      </c>
      <c r="E1283" s="9">
        <f>'1_Du_lieu'!AA355</f>
        <v>4.72</v>
      </c>
      <c r="F1283" s="9">
        <f>'1_Du_lieu'!AB355</f>
        <v>35.4</v>
      </c>
      <c r="G1283" s="9">
        <f>'1_Du_lieu'!AC355</f>
        <v>18.8</v>
      </c>
      <c r="H1283" s="9">
        <f>'1_Du_lieu'!AE355</f>
        <v>2.1183153309552241</v>
      </c>
      <c r="I1283" s="9">
        <f>'1_Du_lieu'!AF355</f>
        <v>1.3422818791946309</v>
      </c>
      <c r="J1283" s="9">
        <f>'1_Du_lieu'!AG355</f>
        <v>7.9727418400005865</v>
      </c>
      <c r="K1283" s="9">
        <f>'1_Du_lieu'!AD355</f>
        <v>18.899999999999999</v>
      </c>
      <c r="L1283" s="5">
        <f t="shared" si="182"/>
        <v>0</v>
      </c>
      <c r="M1283" s="5">
        <f t="shared" si="183"/>
        <v>1</v>
      </c>
      <c r="N1283" s="5">
        <f t="shared" si="184"/>
        <v>0</v>
      </c>
      <c r="O1283" s="5">
        <f t="shared" si="185"/>
        <v>0</v>
      </c>
    </row>
    <row r="1284" spans="1:15" x14ac:dyDescent="0.25">
      <c r="A1284" t="s">
        <v>127</v>
      </c>
      <c r="B1284">
        <v>2022</v>
      </c>
      <c r="C1284" s="7">
        <f>'1_Du_lieu'!V356</f>
        <v>2.6461747973841225</v>
      </c>
      <c r="D1284" s="9">
        <f>'1_Du_lieu'!Z356</f>
        <v>3.9889840465642745</v>
      </c>
      <c r="E1284" s="9">
        <f>'1_Du_lieu'!AA356</f>
        <v>3.706</v>
      </c>
      <c r="F1284" s="9">
        <f>'1_Du_lieu'!AB356</f>
        <v>19.100000000000001</v>
      </c>
      <c r="G1284" s="9">
        <f>'1_Du_lieu'!AC356</f>
        <v>34.6</v>
      </c>
      <c r="H1284" s="9">
        <f>'1_Du_lieu'!AE356</f>
        <v>2.9197104926673556</v>
      </c>
      <c r="I1284" s="9">
        <f>'1_Du_lieu'!AF356</f>
        <v>1.2603648424543947</v>
      </c>
      <c r="J1284" s="9">
        <f>'1_Du_lieu'!AG356</f>
        <v>7.4587050538322819</v>
      </c>
      <c r="K1284" s="9">
        <f>'1_Du_lieu'!AD356</f>
        <v>26</v>
      </c>
      <c r="L1284" s="5">
        <f t="shared" si="182"/>
        <v>0</v>
      </c>
      <c r="M1284" s="5">
        <f t="shared" si="183"/>
        <v>1</v>
      </c>
      <c r="N1284" s="5">
        <f t="shared" si="184"/>
        <v>0</v>
      </c>
      <c r="O1284" s="5">
        <f t="shared" si="185"/>
        <v>0</v>
      </c>
    </row>
    <row r="1285" spans="1:15" x14ac:dyDescent="0.25">
      <c r="A1285" t="s">
        <v>128</v>
      </c>
      <c r="B1285">
        <v>2022</v>
      </c>
      <c r="C1285" s="7">
        <f>'1_Du_lieu'!V357</f>
        <v>2.6390573296152584</v>
      </c>
      <c r="D1285" s="9">
        <f>'1_Du_lieu'!Z357</f>
        <v>3.9415818076696905</v>
      </c>
      <c r="E1285" s="9">
        <f>'1_Du_lieu'!AA357</f>
        <v>3.5270000000000001</v>
      </c>
      <c r="F1285" s="9">
        <f>'1_Du_lieu'!AB357</f>
        <v>32.700000000000003</v>
      </c>
      <c r="G1285" s="9">
        <f>'1_Du_lieu'!AC357</f>
        <v>21.6</v>
      </c>
      <c r="H1285" s="9">
        <f>'1_Du_lieu'!AE357</f>
        <v>2.4054776886278812</v>
      </c>
      <c r="I1285" s="9">
        <f>'1_Du_lieu'!AF357</f>
        <v>0.45688178183894917</v>
      </c>
      <c r="J1285" s="9">
        <f>'1_Du_lieu'!AG357</f>
        <v>7.7521202712847028</v>
      </c>
      <c r="K1285" s="9">
        <f>'1_Du_lieu'!AD357</f>
        <v>23.4</v>
      </c>
      <c r="L1285" s="5">
        <f t="shared" si="182"/>
        <v>0</v>
      </c>
      <c r="M1285" s="5">
        <f t="shared" si="183"/>
        <v>1</v>
      </c>
      <c r="N1285" s="5">
        <f t="shared" si="184"/>
        <v>0</v>
      </c>
      <c r="O1285" s="5">
        <f t="shared" si="185"/>
        <v>0</v>
      </c>
    </row>
    <row r="1286" spans="1:15" x14ac:dyDescent="0.25">
      <c r="A1286" t="s">
        <v>129</v>
      </c>
      <c r="B1286">
        <v>2022</v>
      </c>
      <c r="C1286" s="7">
        <f>'1_Du_lieu'!V358</f>
        <v>2.653241964607215</v>
      </c>
      <c r="D1286" s="9">
        <f>'1_Du_lieu'!Z358</f>
        <v>3.8979240810486444</v>
      </c>
      <c r="E1286" s="9">
        <f>'1_Du_lieu'!AA358</f>
        <v>5.1980000000000004</v>
      </c>
      <c r="F1286" s="9">
        <f>'1_Du_lieu'!AB358</f>
        <v>23.07</v>
      </c>
      <c r="G1286" s="9">
        <f>'1_Du_lieu'!AC358</f>
        <v>26.5</v>
      </c>
      <c r="H1286" s="9">
        <f>'1_Du_lieu'!AE358</f>
        <v>3.2920270892288088</v>
      </c>
      <c r="I1286" s="9">
        <f>'1_Du_lieu'!AF358</f>
        <v>0.87844515208081697</v>
      </c>
      <c r="J1286" s="9">
        <f>'1_Du_lieu'!AG358</f>
        <v>7.1121644322400961</v>
      </c>
      <c r="K1286" s="9">
        <f>'1_Du_lieu'!AD358</f>
        <v>17.100000000000001</v>
      </c>
      <c r="L1286" s="5">
        <f t="shared" si="182"/>
        <v>0</v>
      </c>
      <c r="M1286" s="5">
        <f t="shared" si="183"/>
        <v>1</v>
      </c>
      <c r="N1286" s="5">
        <f t="shared" si="184"/>
        <v>0</v>
      </c>
      <c r="O1286" s="5">
        <f t="shared" si="185"/>
        <v>0</v>
      </c>
    </row>
    <row r="1287" spans="1:15" x14ac:dyDescent="0.25">
      <c r="A1287" t="s">
        <v>130</v>
      </c>
      <c r="B1287">
        <v>2022</v>
      </c>
      <c r="C1287" s="7">
        <f>'1_Du_lieu'!V359</f>
        <v>2.7725887222397811</v>
      </c>
      <c r="D1287" s="9">
        <f>'1_Du_lieu'!Z359</f>
        <v>4.2456340097683265</v>
      </c>
      <c r="E1287" s="9">
        <f>'1_Du_lieu'!AA359</f>
        <v>5.2060000000000004</v>
      </c>
      <c r="F1287" s="9">
        <f>'1_Du_lieu'!AB359</f>
        <v>26.43</v>
      </c>
      <c r="G1287" s="9">
        <f>'1_Du_lieu'!AC359</f>
        <v>26.6</v>
      </c>
      <c r="H1287" s="9">
        <f>'1_Du_lieu'!AE359</f>
        <v>2.2978653786368319</v>
      </c>
      <c r="I1287" s="9">
        <f>'1_Du_lieu'!AF359</f>
        <v>0.26341784655910438</v>
      </c>
      <c r="J1287" s="9">
        <f>'1_Du_lieu'!AG359</f>
        <v>8.29172193309285</v>
      </c>
      <c r="K1287" s="9">
        <f>'1_Du_lieu'!AD359</f>
        <v>23.3</v>
      </c>
      <c r="L1287" s="5">
        <f t="shared" si="182"/>
        <v>0</v>
      </c>
      <c r="M1287" s="5">
        <f t="shared" si="183"/>
        <v>1</v>
      </c>
      <c r="N1287" s="5">
        <f t="shared" si="184"/>
        <v>0</v>
      </c>
      <c r="O1287" s="5">
        <f t="shared" si="185"/>
        <v>0</v>
      </c>
    </row>
    <row r="1288" spans="1:15" x14ac:dyDescent="0.25">
      <c r="A1288" t="s">
        <v>131</v>
      </c>
      <c r="B1288">
        <v>2022</v>
      </c>
      <c r="C1288" s="7">
        <f>'1_Du_lieu'!V360</f>
        <v>2.6461747973841225</v>
      </c>
      <c r="D1288" s="9">
        <f>'1_Du_lieu'!Z360</f>
        <v>4.4006030202468169</v>
      </c>
      <c r="E1288" s="9">
        <f>'1_Du_lieu'!AA360</f>
        <v>4.3529999999999998</v>
      </c>
      <c r="F1288" s="9">
        <f>'1_Du_lieu'!AB360</f>
        <v>21.12</v>
      </c>
      <c r="G1288" s="9">
        <f>'1_Du_lieu'!AC360</f>
        <v>26.1</v>
      </c>
      <c r="H1288" s="9">
        <f>'1_Du_lieu'!AE360</f>
        <v>2.0659680114008911</v>
      </c>
      <c r="I1288" s="9">
        <f>'1_Du_lieu'!AF360</f>
        <v>0.80379390724218314</v>
      </c>
      <c r="J1288" s="9">
        <f>'1_Du_lieu'!AG360</f>
        <v>7.3976840770351426</v>
      </c>
      <c r="K1288" s="9">
        <f>'1_Du_lieu'!AD360</f>
        <v>22.2</v>
      </c>
      <c r="L1288" s="5">
        <f t="shared" si="182"/>
        <v>0</v>
      </c>
      <c r="M1288" s="5">
        <f t="shared" si="183"/>
        <v>1</v>
      </c>
      <c r="N1288" s="5">
        <f t="shared" si="184"/>
        <v>0</v>
      </c>
      <c r="O1288" s="5">
        <f t="shared" si="185"/>
        <v>0</v>
      </c>
    </row>
    <row r="1289" spans="1:15" x14ac:dyDescent="0.25">
      <c r="A1289" t="s">
        <v>132</v>
      </c>
      <c r="B1289">
        <v>2022</v>
      </c>
      <c r="C1289" s="7">
        <f>'1_Du_lieu'!V361</f>
        <v>3.0587070727153796</v>
      </c>
      <c r="D1289" s="9">
        <f>'1_Du_lieu'!Z361</f>
        <v>5.136974216139274</v>
      </c>
      <c r="E1289" s="9">
        <f>'1_Du_lieu'!AA361</f>
        <v>7.0090000000000003</v>
      </c>
      <c r="F1289" s="9">
        <f>'1_Du_lieu'!AB361</f>
        <v>67.36</v>
      </c>
      <c r="G1289" s="9">
        <f>'1_Du_lieu'!AC361</f>
        <v>41.4</v>
      </c>
      <c r="H1289" s="9">
        <f>'1_Du_lieu'!AE361</f>
        <v>3.5549651462729521</v>
      </c>
      <c r="I1289" s="9">
        <f>'1_Du_lieu'!AF361</f>
        <v>2.517026946994374</v>
      </c>
      <c r="J1289" s="9">
        <f>'1_Du_lieu'!AG361</f>
        <v>8.6803998843505106</v>
      </c>
      <c r="K1289" s="9">
        <f>'1_Du_lieu'!AD361</f>
        <v>25.3</v>
      </c>
      <c r="L1289" s="5">
        <f t="shared" si="182"/>
        <v>0</v>
      </c>
      <c r="M1289" s="5">
        <f t="shared" si="183"/>
        <v>1</v>
      </c>
      <c r="N1289" s="5">
        <f t="shared" si="184"/>
        <v>0</v>
      </c>
      <c r="O1289" s="5">
        <f t="shared" si="185"/>
        <v>0</v>
      </c>
    </row>
    <row r="1290" spans="1:15" x14ac:dyDescent="0.25">
      <c r="A1290" t="s">
        <v>133</v>
      </c>
      <c r="B1290">
        <v>2022</v>
      </c>
      <c r="C1290" s="7">
        <f>'1_Du_lieu'!V362</f>
        <v>2.631888840136646</v>
      </c>
      <c r="D1290" s="9">
        <f>'1_Du_lieu'!Z362</f>
        <v>4.0587173845789497</v>
      </c>
      <c r="E1290" s="9">
        <f>'1_Du_lieu'!AA362</f>
        <v>4.7220000000000004</v>
      </c>
      <c r="F1290" s="9">
        <f>'1_Du_lieu'!AB362</f>
        <v>32.57</v>
      </c>
      <c r="G1290" s="9">
        <f>'1_Du_lieu'!AC362</f>
        <v>27.7</v>
      </c>
      <c r="H1290" s="9">
        <f>'1_Du_lieu'!AE362</f>
        <v>2.8465361105571962</v>
      </c>
      <c r="I1290" s="9">
        <f>'1_Du_lieu'!AF362</f>
        <v>3.3961099104661931</v>
      </c>
      <c r="J1290" s="9">
        <f>'1_Du_lieu'!AG362</f>
        <v>8.2691420043958423</v>
      </c>
      <c r="K1290" s="9">
        <f>'1_Du_lieu'!AD362</f>
        <v>26.3</v>
      </c>
      <c r="L1290" s="5">
        <f t="shared" si="182"/>
        <v>0</v>
      </c>
      <c r="M1290" s="5">
        <f t="shared" si="183"/>
        <v>1</v>
      </c>
      <c r="N1290" s="5">
        <f t="shared" si="184"/>
        <v>0</v>
      </c>
      <c r="O1290" s="5">
        <f t="shared" si="185"/>
        <v>0</v>
      </c>
    </row>
    <row r="1291" spans="1:15" x14ac:dyDescent="0.25">
      <c r="A1291" t="s">
        <v>136</v>
      </c>
      <c r="B1291">
        <v>2022</v>
      </c>
      <c r="C1291" s="7">
        <f>'1_Du_lieu'!V365</f>
        <v>4.5064542130489338</v>
      </c>
      <c r="D1291" s="9">
        <f>'1_Du_lieu'!Z365</f>
        <v>4.9836066217083363</v>
      </c>
      <c r="E1291" s="9">
        <f>'1_Du_lieu'!AA365</f>
        <v>29.286999999999999</v>
      </c>
      <c r="F1291" s="9">
        <f>'1_Du_lieu'!AB365</f>
        <v>78.98</v>
      </c>
      <c r="G1291" s="9">
        <f>'1_Du_lieu'!AC365</f>
        <v>35.6</v>
      </c>
      <c r="H1291" s="9">
        <f>'1_Du_lieu'!AE365</f>
        <v>2.4792900787168963</v>
      </c>
      <c r="I1291" s="9">
        <f>'1_Du_lieu'!AF365</f>
        <v>3.0872278221407692</v>
      </c>
      <c r="J1291" s="9">
        <f>'1_Du_lieu'!AG365</f>
        <v>8.661154997655558</v>
      </c>
      <c r="K1291" s="9">
        <f>'1_Du_lieu'!AD365</f>
        <v>48</v>
      </c>
      <c r="L1291" s="5">
        <f t="shared" si="182"/>
        <v>0</v>
      </c>
      <c r="M1291" s="5">
        <f t="shared" si="183"/>
        <v>1</v>
      </c>
      <c r="N1291" s="5">
        <f t="shared" si="184"/>
        <v>0</v>
      </c>
      <c r="O1291" s="5">
        <f t="shared" si="185"/>
        <v>0</v>
      </c>
    </row>
    <row r="1292" spans="1:15" x14ac:dyDescent="0.25">
      <c r="A1292" t="s">
        <v>137</v>
      </c>
      <c r="B1292">
        <v>2022</v>
      </c>
      <c r="C1292" s="7">
        <f>'1_Du_lieu'!V366</f>
        <v>3.0587070727153796</v>
      </c>
      <c r="D1292" s="9">
        <f>'1_Du_lieu'!Z366</f>
        <v>4.0535225677018456</v>
      </c>
      <c r="E1292" s="9">
        <f>'1_Du_lieu'!AA366</f>
        <v>3.7909999999999999</v>
      </c>
      <c r="F1292" s="9">
        <f>'1_Du_lieu'!AB366</f>
        <v>26.73</v>
      </c>
      <c r="G1292" s="9">
        <f>'1_Du_lieu'!AC366</f>
        <v>25.1</v>
      </c>
      <c r="H1292" s="9">
        <f>'1_Du_lieu'!AE366</f>
        <v>2.6355589746238302</v>
      </c>
      <c r="I1292" s="9">
        <f>'1_Du_lieu'!AF366</f>
        <v>0.80723280594123348</v>
      </c>
      <c r="J1292" s="9">
        <f>'1_Du_lieu'!AG366</f>
        <v>8.2841508079227797</v>
      </c>
      <c r="K1292" s="9">
        <f>'1_Du_lieu'!AD366</f>
        <v>15.7</v>
      </c>
      <c r="L1292" s="5">
        <f t="shared" si="182"/>
        <v>0</v>
      </c>
      <c r="M1292" s="5">
        <f t="shared" si="183"/>
        <v>1</v>
      </c>
      <c r="N1292" s="5">
        <f t="shared" si="184"/>
        <v>0</v>
      </c>
      <c r="O1292" s="5">
        <f t="shared" si="185"/>
        <v>0</v>
      </c>
    </row>
    <row r="1293" spans="1:15" x14ac:dyDescent="0.25">
      <c r="A1293" t="s">
        <v>138</v>
      </c>
      <c r="B1293">
        <v>2022</v>
      </c>
      <c r="C1293" s="7">
        <f>'1_Du_lieu'!V367</f>
        <v>2.8094026953624978</v>
      </c>
      <c r="D1293" s="9">
        <f>'1_Du_lieu'!Z367</f>
        <v>3.9435216724875173</v>
      </c>
      <c r="E1293" s="9">
        <f>'1_Du_lieu'!AA367</f>
        <v>2.9249999999999998</v>
      </c>
      <c r="F1293" s="9">
        <f>'1_Du_lieu'!AB367</f>
        <v>11.75</v>
      </c>
      <c r="G1293" s="9">
        <f>'1_Du_lieu'!AC367</f>
        <v>19.3</v>
      </c>
      <c r="H1293" s="9">
        <f>'1_Du_lieu'!AE367</f>
        <v>1.5029204939427558</v>
      </c>
      <c r="I1293" s="9">
        <f>'1_Du_lieu'!AF367</f>
        <v>0.85383424942633013</v>
      </c>
      <c r="J1293" s="9">
        <f>'1_Du_lieu'!AG367</f>
        <v>6.616868075581408</v>
      </c>
      <c r="K1293" s="9">
        <f>'1_Du_lieu'!AD367</f>
        <v>12.5</v>
      </c>
      <c r="L1293" s="5">
        <f t="shared" si="182"/>
        <v>0</v>
      </c>
      <c r="M1293" s="5">
        <f t="shared" si="183"/>
        <v>1</v>
      </c>
      <c r="N1293" s="5">
        <f t="shared" si="184"/>
        <v>0</v>
      </c>
      <c r="O1293" s="5">
        <f t="shared" si="185"/>
        <v>0</v>
      </c>
    </row>
    <row r="1294" spans="1:15" x14ac:dyDescent="0.25">
      <c r="A1294" t="s">
        <v>139</v>
      </c>
      <c r="B1294">
        <v>2022</v>
      </c>
      <c r="C1294" s="7">
        <f>'1_Du_lieu'!V368</f>
        <v>3.0155349008501706</v>
      </c>
      <c r="D1294" s="9">
        <f>'1_Du_lieu'!Z368</f>
        <v>4.6051701859880918</v>
      </c>
      <c r="E1294" s="9">
        <f>'1_Du_lieu'!AA368</f>
        <v>3.9049999999999998</v>
      </c>
      <c r="F1294" s="9">
        <f>'1_Du_lieu'!AB368</f>
        <v>32.14</v>
      </c>
      <c r="G1294" s="9">
        <f>'1_Du_lieu'!AC368</f>
        <v>35.4</v>
      </c>
      <c r="H1294" s="9">
        <f>'1_Du_lieu'!AE368</f>
        <v>3.5295695036265586</v>
      </c>
      <c r="I1294" s="9">
        <f>'1_Du_lieu'!AF368</f>
        <v>1.7382103990326481</v>
      </c>
      <c r="J1294" s="9">
        <f>'1_Du_lieu'!AG368</f>
        <v>8.9143976070946085</v>
      </c>
      <c r="K1294" s="9">
        <f>'1_Du_lieu'!AD368</f>
        <v>25</v>
      </c>
      <c r="L1294" s="5">
        <f t="shared" si="182"/>
        <v>0</v>
      </c>
      <c r="M1294" s="5">
        <f t="shared" si="183"/>
        <v>1</v>
      </c>
      <c r="N1294" s="5">
        <f t="shared" si="184"/>
        <v>0</v>
      </c>
      <c r="O1294" s="5">
        <f t="shared" si="185"/>
        <v>0</v>
      </c>
    </row>
    <row r="1295" spans="1:15" x14ac:dyDescent="0.25">
      <c r="A1295" t="s">
        <v>141</v>
      </c>
      <c r="B1295">
        <v>2022</v>
      </c>
      <c r="C1295" s="7">
        <f>'1_Du_lieu'!V370</f>
        <v>2.6173958328340792</v>
      </c>
      <c r="D1295" s="9">
        <f>'1_Du_lieu'!Z370</f>
        <v>4.0217738693872649</v>
      </c>
      <c r="E1295" s="9">
        <f>'1_Du_lieu'!AA370</f>
        <v>2.8439999999999999</v>
      </c>
      <c r="F1295" s="9">
        <f>'1_Du_lieu'!AB370</f>
        <v>14.25</v>
      </c>
      <c r="G1295" s="9">
        <f>'1_Du_lieu'!AC370</f>
        <v>13.8</v>
      </c>
      <c r="H1295" s="9">
        <f>'1_Du_lieu'!AE370</f>
        <v>0.31813692452630776</v>
      </c>
      <c r="I1295" s="9">
        <f>'1_Du_lieu'!AF370</f>
        <v>0.73058334269978642</v>
      </c>
      <c r="J1295" s="9">
        <f>'1_Du_lieu'!AG370</f>
        <v>7.3916001744163529</v>
      </c>
      <c r="K1295" s="9">
        <f>'1_Du_lieu'!AD370</f>
        <v>17.600000000000001</v>
      </c>
      <c r="L1295" s="5">
        <f t="shared" si="182"/>
        <v>0</v>
      </c>
      <c r="M1295" s="5">
        <f t="shared" si="183"/>
        <v>1</v>
      </c>
      <c r="N1295" s="5">
        <f t="shared" si="184"/>
        <v>0</v>
      </c>
      <c r="O1295" s="5">
        <f t="shared" si="185"/>
        <v>0</v>
      </c>
    </row>
    <row r="1296" spans="1:15" x14ac:dyDescent="0.25">
      <c r="A1296" t="s">
        <v>142</v>
      </c>
      <c r="B1296">
        <v>2022</v>
      </c>
      <c r="C1296" s="7">
        <f>'1_Du_lieu'!V371</f>
        <v>2.3702437414678603</v>
      </c>
      <c r="D1296" s="9">
        <f>'1_Du_lieu'!Z371</f>
        <v>4.1447207695471677</v>
      </c>
      <c r="E1296" s="9">
        <f>'1_Du_lieu'!AA371</f>
        <v>2.3919999999999999</v>
      </c>
      <c r="F1296" s="9">
        <f>'1_Du_lieu'!AB371</f>
        <v>17.510000000000002</v>
      </c>
      <c r="G1296" s="9">
        <f>'1_Du_lieu'!AC371</f>
        <v>10.8</v>
      </c>
      <c r="H1296" s="9">
        <f>'1_Du_lieu'!AE371</f>
        <v>1.0020414153154515</v>
      </c>
      <c r="I1296" s="9">
        <f>'1_Du_lieu'!AF371</f>
        <v>0.8835656783820931</v>
      </c>
      <c r="J1296" s="9">
        <f>'1_Du_lieu'!AG371</f>
        <v>8.0968783700577376</v>
      </c>
      <c r="K1296" s="9">
        <f>'1_Du_lieu'!AD371</f>
        <v>11.5</v>
      </c>
      <c r="L1296" s="5">
        <f t="shared" si="182"/>
        <v>0</v>
      </c>
      <c r="M1296" s="5">
        <f t="shared" si="183"/>
        <v>1</v>
      </c>
      <c r="N1296" s="5">
        <f t="shared" si="184"/>
        <v>0</v>
      </c>
      <c r="O1296" s="5">
        <f t="shared" si="185"/>
        <v>0</v>
      </c>
    </row>
    <row r="1297" spans="1:15" x14ac:dyDescent="0.25">
      <c r="A1297" t="s">
        <v>143</v>
      </c>
      <c r="B1297">
        <v>2022</v>
      </c>
      <c r="C1297" s="7">
        <f>'1_Du_lieu'!V372</f>
        <v>2.2300144001592104</v>
      </c>
      <c r="D1297" s="9">
        <f>'1_Du_lieu'!Z372</f>
        <v>3.8110970868381857</v>
      </c>
      <c r="E1297" s="9">
        <f>'1_Du_lieu'!AA372</f>
        <v>1.9830000000000001</v>
      </c>
      <c r="F1297" s="9">
        <f>'1_Du_lieu'!AB372</f>
        <v>13.88</v>
      </c>
      <c r="G1297" s="9">
        <f>'1_Du_lieu'!AC372</f>
        <v>23.1</v>
      </c>
      <c r="H1297" s="9">
        <f>'1_Du_lieu'!AE372</f>
        <v>2.9114432130738548</v>
      </c>
      <c r="I1297" s="9">
        <f>'1_Du_lieu'!AF372</f>
        <v>0.74840962953723333</v>
      </c>
      <c r="J1297" s="9">
        <f>'1_Du_lieu'!AG372</f>
        <v>5.5660518011901212</v>
      </c>
      <c r="K1297" s="9">
        <f>'1_Du_lieu'!AD372</f>
        <v>13.8</v>
      </c>
      <c r="L1297" s="5">
        <f t="shared" si="182"/>
        <v>0</v>
      </c>
      <c r="M1297" s="5">
        <f t="shared" si="183"/>
        <v>1</v>
      </c>
      <c r="N1297" s="5">
        <f t="shared" si="184"/>
        <v>0</v>
      </c>
      <c r="O1297" s="5">
        <f t="shared" si="185"/>
        <v>0</v>
      </c>
    </row>
    <row r="1298" spans="1:15" x14ac:dyDescent="0.25">
      <c r="A1298" t="s">
        <v>144</v>
      </c>
      <c r="B1298">
        <v>2022</v>
      </c>
      <c r="C1298" s="7">
        <f>'1_Du_lieu'!V373</f>
        <v>2.6810215287142909</v>
      </c>
      <c r="D1298" s="9">
        <f>'1_Du_lieu'!Z373</f>
        <v>4.3385970767465452</v>
      </c>
      <c r="E1298" s="9">
        <f>'1_Du_lieu'!AA373</f>
        <v>3.8580000000000001</v>
      </c>
      <c r="F1298" s="9">
        <f>'1_Du_lieu'!AB373</f>
        <v>32.380000000000003</v>
      </c>
      <c r="G1298" s="9">
        <f>'1_Du_lieu'!AC373</f>
        <v>16</v>
      </c>
      <c r="H1298" s="9">
        <f>'1_Du_lieu'!AE373</f>
        <v>2.5114225510080193</v>
      </c>
      <c r="I1298" s="9">
        <f>'1_Du_lieu'!AF373</f>
        <v>1.0999238514256704</v>
      </c>
      <c r="J1298" s="9">
        <f>'1_Du_lieu'!AG373</f>
        <v>8.8812666983646373</v>
      </c>
      <c r="K1298" s="9">
        <f>'1_Du_lieu'!AD373</f>
        <v>16</v>
      </c>
      <c r="L1298" s="5">
        <f t="shared" si="182"/>
        <v>0</v>
      </c>
      <c r="M1298" s="5">
        <f t="shared" si="183"/>
        <v>1</v>
      </c>
      <c r="N1298" s="5">
        <f t="shared" si="184"/>
        <v>0</v>
      </c>
      <c r="O1298" s="5">
        <f t="shared" si="185"/>
        <v>0</v>
      </c>
    </row>
    <row r="1299" spans="1:15" x14ac:dyDescent="0.25">
      <c r="A1299" t="s">
        <v>145</v>
      </c>
      <c r="B1299">
        <v>2022</v>
      </c>
      <c r="C1299" s="7">
        <f>'1_Du_lieu'!V374</f>
        <v>2.4680995314716192</v>
      </c>
      <c r="D1299" s="9">
        <f>'1_Du_lieu'!Z374</f>
        <v>4.0517849478033048</v>
      </c>
      <c r="E1299" s="9">
        <f>'1_Du_lieu'!AA374</f>
        <v>2.7130000000000001</v>
      </c>
      <c r="F1299" s="9">
        <f>'1_Du_lieu'!AB374</f>
        <v>22.71</v>
      </c>
      <c r="G1299" s="9">
        <f>'1_Du_lieu'!AC374</f>
        <v>15.6</v>
      </c>
      <c r="H1299" s="9">
        <f>'1_Du_lieu'!AE374</f>
        <v>0.67698224370658988</v>
      </c>
      <c r="I1299" s="9">
        <f>'1_Du_lieu'!AF374</f>
        <v>0.58309037900874638</v>
      </c>
      <c r="J1299" s="9">
        <f>'1_Du_lieu'!AG374</f>
        <v>6.7464121285733745</v>
      </c>
      <c r="K1299" s="9">
        <f>'1_Du_lieu'!AD374</f>
        <v>18</v>
      </c>
      <c r="L1299" s="5">
        <f t="shared" si="182"/>
        <v>0</v>
      </c>
      <c r="M1299" s="5">
        <f t="shared" si="183"/>
        <v>1</v>
      </c>
      <c r="N1299" s="5">
        <f t="shared" si="184"/>
        <v>0</v>
      </c>
      <c r="O1299" s="5">
        <f t="shared" si="185"/>
        <v>0</v>
      </c>
    </row>
    <row r="1300" spans="1:15" x14ac:dyDescent="0.25">
      <c r="A1300" t="s">
        <v>146</v>
      </c>
      <c r="B1300">
        <v>2022</v>
      </c>
      <c r="C1300" s="7">
        <f>'1_Du_lieu'!V375</f>
        <v>3.1738784589374651</v>
      </c>
      <c r="D1300" s="9">
        <f>'1_Du_lieu'!Z375</f>
        <v>4.7397010789456973</v>
      </c>
      <c r="E1300" s="9">
        <f>'1_Du_lieu'!AA375</f>
        <v>6.9829999999999997</v>
      </c>
      <c r="F1300" s="9">
        <f>'1_Du_lieu'!AB375</f>
        <v>30.06</v>
      </c>
      <c r="G1300" s="9">
        <f>'1_Du_lieu'!AC375</f>
        <v>34.700000000000003</v>
      </c>
      <c r="H1300" s="9">
        <f>'1_Du_lieu'!AE375</f>
        <v>2.5479862283474914</v>
      </c>
      <c r="I1300" s="9">
        <f>'1_Du_lieu'!AF375</f>
        <v>0.75516026178889073</v>
      </c>
      <c r="J1300" s="9">
        <f>'1_Du_lieu'!AG375</f>
        <v>8.6070704578189119</v>
      </c>
      <c r="K1300" s="9">
        <f>'1_Du_lieu'!AD375</f>
        <v>35.1</v>
      </c>
      <c r="L1300" s="5">
        <f t="shared" si="182"/>
        <v>0</v>
      </c>
      <c r="M1300" s="5">
        <f t="shared" si="183"/>
        <v>1</v>
      </c>
      <c r="N1300" s="5">
        <f t="shared" si="184"/>
        <v>0</v>
      </c>
      <c r="O1300" s="5">
        <f t="shared" si="185"/>
        <v>0</v>
      </c>
    </row>
    <row r="1301" spans="1:15" x14ac:dyDescent="0.25">
      <c r="A1301" t="s">
        <v>147</v>
      </c>
      <c r="B1301">
        <v>2022</v>
      </c>
      <c r="C1301" s="7">
        <f>'1_Du_lieu'!V376</f>
        <v>2.6246685921631592</v>
      </c>
      <c r="D1301" s="9">
        <f>'1_Du_lieu'!Z376</f>
        <v>3.751854253275325</v>
      </c>
      <c r="E1301" s="9">
        <f>'1_Du_lieu'!AA376</f>
        <v>2.2389999999999999</v>
      </c>
      <c r="F1301" s="9">
        <f>'1_Du_lieu'!AB376</f>
        <v>20.73</v>
      </c>
      <c r="G1301" s="9">
        <f>'1_Du_lieu'!AC376</f>
        <v>22.2</v>
      </c>
      <c r="H1301" s="9">
        <f>'1_Du_lieu'!AE376</f>
        <v>2.2363854484825239</v>
      </c>
      <c r="I1301" s="9">
        <f>'1_Du_lieu'!AF376</f>
        <v>0.35599857600569595</v>
      </c>
      <c r="J1301" s="9">
        <f>'1_Du_lieu'!AG376</f>
        <v>6.2790841176065566</v>
      </c>
      <c r="K1301" s="9">
        <f>'1_Du_lieu'!AD376</f>
        <v>13.6</v>
      </c>
      <c r="L1301" s="5">
        <f t="shared" si="182"/>
        <v>0</v>
      </c>
      <c r="M1301" s="5">
        <f t="shared" si="183"/>
        <v>1</v>
      </c>
      <c r="N1301" s="5">
        <f t="shared" si="184"/>
        <v>0</v>
      </c>
      <c r="O1301" s="5">
        <f t="shared" si="185"/>
        <v>0</v>
      </c>
    </row>
    <row r="1302" spans="1:15" x14ac:dyDescent="0.25">
      <c r="A1302" t="s">
        <v>149</v>
      </c>
      <c r="B1302">
        <v>2022</v>
      </c>
      <c r="C1302" s="7">
        <f>'1_Du_lieu'!V378</f>
        <v>3.6000482404073204</v>
      </c>
      <c r="D1302" s="9">
        <f>'1_Du_lieu'!Z378</f>
        <v>4.5042442673981311</v>
      </c>
      <c r="E1302" s="9">
        <f>'1_Du_lieu'!AA378</f>
        <v>20.663</v>
      </c>
      <c r="F1302" s="9">
        <f>'1_Du_lieu'!AB378</f>
        <v>87.35</v>
      </c>
      <c r="G1302" s="9">
        <f>'1_Du_lieu'!AC378</f>
        <v>48.1</v>
      </c>
      <c r="H1302" s="9">
        <f>'1_Du_lieu'!AE378</f>
        <v>3.2363286568748997</v>
      </c>
      <c r="I1302" s="9">
        <f>'1_Du_lieu'!AF378</f>
        <v>6.6081137599330821</v>
      </c>
      <c r="J1302" s="9">
        <f>'1_Du_lieu'!AG378</f>
        <v>8.5098261210706703</v>
      </c>
      <c r="K1302" s="9">
        <f>'1_Du_lieu'!AD378</f>
        <v>58.1</v>
      </c>
      <c r="L1302" s="5">
        <f t="shared" si="182"/>
        <v>0</v>
      </c>
      <c r="M1302" s="5">
        <f t="shared" si="183"/>
        <v>1</v>
      </c>
      <c r="N1302" s="5">
        <f t="shared" si="184"/>
        <v>0</v>
      </c>
      <c r="O1302" s="5">
        <f t="shared" si="185"/>
        <v>0</v>
      </c>
    </row>
    <row r="1303" spans="1:15" x14ac:dyDescent="0.25">
      <c r="A1303" t="s">
        <v>150</v>
      </c>
      <c r="B1303">
        <v>2022</v>
      </c>
      <c r="C1303" s="7">
        <f>'1_Du_lieu'!V379</f>
        <v>2.8959119382717802</v>
      </c>
      <c r="D1303" s="9">
        <f>'1_Du_lieu'!Z379</f>
        <v>3.9318256327243257</v>
      </c>
      <c r="E1303" s="9">
        <f>'1_Du_lieu'!AA379</f>
        <v>3.7120000000000002</v>
      </c>
      <c r="F1303" s="9">
        <f>'1_Du_lieu'!AB379</f>
        <v>24.82</v>
      </c>
      <c r="G1303" s="9">
        <f>'1_Du_lieu'!AC379</f>
        <v>18.3</v>
      </c>
      <c r="H1303" s="9">
        <f>'1_Du_lieu'!AE379</f>
        <v>2.2871336977571044</v>
      </c>
      <c r="I1303" s="9">
        <f>'1_Du_lieu'!AF379</f>
        <v>0.57621791513881615</v>
      </c>
      <c r="J1303" s="9">
        <f>'1_Du_lieu'!AG379</f>
        <v>5.8114403493627105</v>
      </c>
      <c r="K1303" s="9">
        <f>'1_Du_lieu'!AD379</f>
        <v>23.1</v>
      </c>
      <c r="L1303" s="5">
        <f t="shared" si="182"/>
        <v>0</v>
      </c>
      <c r="M1303" s="5">
        <f t="shared" si="183"/>
        <v>1</v>
      </c>
      <c r="N1303" s="5">
        <f t="shared" si="184"/>
        <v>0</v>
      </c>
      <c r="O1303" s="5">
        <f t="shared" si="185"/>
        <v>0</v>
      </c>
    </row>
    <row r="1304" spans="1:15" x14ac:dyDescent="0.25">
      <c r="A1304" t="s">
        <v>151</v>
      </c>
      <c r="B1304">
        <v>2022</v>
      </c>
      <c r="C1304" s="7">
        <f>'1_Du_lieu'!V380</f>
        <v>2.4680995314716192</v>
      </c>
      <c r="D1304" s="9">
        <f>'1_Du_lieu'!Z380</f>
        <v>3.9740583963475986</v>
      </c>
      <c r="E1304" s="9">
        <f>'1_Du_lieu'!AA380</f>
        <v>3.5539999999999998</v>
      </c>
      <c r="F1304" s="9">
        <f>'1_Du_lieu'!AB380</f>
        <v>16.260000000000002</v>
      </c>
      <c r="G1304" s="9">
        <f>'1_Du_lieu'!AC380</f>
        <v>15.4</v>
      </c>
      <c r="H1304" s="9">
        <f>'1_Du_lieu'!AE380</f>
        <v>0.78181281764560162</v>
      </c>
      <c r="I1304" s="9">
        <f>'1_Du_lieu'!AF380</f>
        <v>0.45153521974714034</v>
      </c>
      <c r="J1304" s="9">
        <f>'1_Du_lieu'!AG380</f>
        <v>6.1520941930329496</v>
      </c>
      <c r="K1304" s="9">
        <f>'1_Du_lieu'!AD380</f>
        <v>23.2</v>
      </c>
      <c r="L1304" s="5">
        <f t="shared" si="182"/>
        <v>0</v>
      </c>
      <c r="M1304" s="5">
        <f t="shared" si="183"/>
        <v>1</v>
      </c>
      <c r="N1304" s="5">
        <f t="shared" si="184"/>
        <v>0</v>
      </c>
      <c r="O1304" s="5">
        <f t="shared" si="185"/>
        <v>0</v>
      </c>
    </row>
    <row r="1305" spans="1:15" x14ac:dyDescent="0.25">
      <c r="A1305" t="s">
        <v>152</v>
      </c>
      <c r="B1305">
        <v>2022</v>
      </c>
      <c r="C1305" s="7">
        <f>'1_Du_lieu'!V381</f>
        <v>3.4965075614664802</v>
      </c>
      <c r="D1305" s="9">
        <f>'1_Du_lieu'!Z381</f>
        <v>4.779963476361254</v>
      </c>
      <c r="E1305" s="9">
        <f>'1_Du_lieu'!AA381</f>
        <v>7.9059999999999997</v>
      </c>
      <c r="F1305" s="9">
        <f>'1_Du_lieu'!AB381</f>
        <v>44.76</v>
      </c>
      <c r="G1305" s="9">
        <f>'1_Du_lieu'!AC381</f>
        <v>21.9</v>
      </c>
      <c r="H1305" s="9">
        <f>'1_Du_lieu'!AE381</f>
        <v>2.5423329505205192</v>
      </c>
      <c r="I1305" s="9">
        <f>'1_Du_lieu'!AF381</f>
        <v>0.56798460130636463</v>
      </c>
      <c r="J1305" s="9">
        <f>'1_Du_lieu'!AG381</f>
        <v>9.2807429160743222</v>
      </c>
      <c r="K1305" s="9">
        <f>'1_Du_lieu'!AD381</f>
        <v>27.7</v>
      </c>
      <c r="L1305" s="5">
        <f t="shared" si="182"/>
        <v>0</v>
      </c>
      <c r="M1305" s="5">
        <f t="shared" si="183"/>
        <v>1</v>
      </c>
      <c r="N1305" s="5">
        <f t="shared" si="184"/>
        <v>0</v>
      </c>
      <c r="O1305" s="5">
        <f t="shared" si="185"/>
        <v>0</v>
      </c>
    </row>
    <row r="1306" spans="1:15" x14ac:dyDescent="0.25">
      <c r="A1306" t="s">
        <v>153</v>
      </c>
      <c r="B1306">
        <v>2022</v>
      </c>
      <c r="C1306" s="7">
        <f>'1_Du_lieu'!V382</f>
        <v>2.6878474937846906</v>
      </c>
      <c r="D1306" s="9">
        <f>'1_Du_lieu'!Z382</f>
        <v>3.9963641538618968</v>
      </c>
      <c r="E1306" s="9">
        <f>'1_Du_lieu'!AA382</f>
        <v>2.3210000000000002</v>
      </c>
      <c r="F1306" s="9">
        <f>'1_Du_lieu'!AB382</f>
        <v>20.18</v>
      </c>
      <c r="G1306" s="9">
        <f>'1_Du_lieu'!AC382</f>
        <v>14.3</v>
      </c>
      <c r="H1306" s="9">
        <f>'1_Du_lieu'!AE382</f>
        <v>0.56485668954794155</v>
      </c>
      <c r="I1306" s="9">
        <f>'1_Du_lieu'!AF382</f>
        <v>0.62449259976269278</v>
      </c>
      <c r="J1306" s="9">
        <f>'1_Du_lieu'!AG382</f>
        <v>4.9863426015272116</v>
      </c>
      <c r="K1306" s="9">
        <f>'1_Du_lieu'!AD382</f>
        <v>16.3</v>
      </c>
      <c r="L1306" s="5">
        <f t="shared" si="182"/>
        <v>0</v>
      </c>
      <c r="M1306" s="5">
        <f t="shared" si="183"/>
        <v>1</v>
      </c>
      <c r="N1306" s="5">
        <f t="shared" si="184"/>
        <v>0</v>
      </c>
      <c r="O1306" s="5">
        <f t="shared" si="185"/>
        <v>0</v>
      </c>
    </row>
    <row r="1307" spans="1:15" x14ac:dyDescent="0.25">
      <c r="A1307" t="s">
        <v>85</v>
      </c>
      <c r="B1307">
        <v>2023</v>
      </c>
      <c r="C1307" s="7">
        <f>'1_Du_lieu'!V383</f>
        <v>2.6390573296152584</v>
      </c>
      <c r="D1307" s="9">
        <f>'1_Du_lieu'!Z383</f>
        <v>3.9646154555473165</v>
      </c>
      <c r="E1307" s="9">
        <f>'1_Du_lieu'!AA383</f>
        <v>2.6539999999999999</v>
      </c>
      <c r="F1307" s="9">
        <f>'1_Du_lieu'!AB383</f>
        <v>33.840000000000003</v>
      </c>
      <c r="G1307" s="9">
        <f>'1_Du_lieu'!AC383</f>
        <v>14.5</v>
      </c>
      <c r="H1307" s="9">
        <f>'1_Du_lieu'!AE383</f>
        <v>1.6657790589637886</v>
      </c>
      <c r="I1307" s="9">
        <f>'1_Du_lieu'!AF383</f>
        <v>0.47231697717134608</v>
      </c>
      <c r="J1307" s="9">
        <f>'1_Du_lieu'!AG383</f>
        <v>5.1209833512651208</v>
      </c>
      <c r="K1307" s="9">
        <f>'1_Du_lieu'!AD383</f>
        <v>19.3</v>
      </c>
      <c r="L1307" s="5">
        <f t="shared" si="182"/>
        <v>0</v>
      </c>
      <c r="M1307" s="5">
        <f t="shared" si="183"/>
        <v>0</v>
      </c>
      <c r="N1307" s="5">
        <f t="shared" si="184"/>
        <v>1</v>
      </c>
      <c r="O1307" s="5">
        <f t="shared" si="185"/>
        <v>0</v>
      </c>
    </row>
    <row r="1308" spans="1:15" x14ac:dyDescent="0.25">
      <c r="A1308" t="s">
        <v>87</v>
      </c>
      <c r="B1308">
        <v>2023</v>
      </c>
      <c r="C1308" s="7">
        <f>'1_Du_lieu'!V384</f>
        <v>3.1612467120315646</v>
      </c>
      <c r="D1308" s="9">
        <f>'1_Du_lieu'!Z384</f>
        <v>5.9191626353525768</v>
      </c>
      <c r="E1308" s="9">
        <f>'1_Du_lieu'!AA384</f>
        <v>10.125</v>
      </c>
      <c r="F1308" s="9">
        <f>'1_Du_lieu'!AB384</f>
        <v>60.4</v>
      </c>
      <c r="G1308" s="9">
        <f>'1_Du_lieu'!AC384</f>
        <v>28</v>
      </c>
      <c r="H1308" s="9">
        <f>'1_Du_lieu'!AE384</f>
        <v>2.1022970435051618</v>
      </c>
      <c r="I1308" s="9">
        <f>'1_Du_lieu'!AF384</f>
        <v>1.5271061338763043</v>
      </c>
      <c r="J1308" s="9">
        <f>'1_Du_lieu'!AG384</f>
        <v>10.249057564326076</v>
      </c>
      <c r="K1308" s="9">
        <f>'1_Du_lieu'!AD384</f>
        <v>29.1</v>
      </c>
      <c r="L1308" s="5">
        <f t="shared" si="182"/>
        <v>0</v>
      </c>
      <c r="M1308" s="5">
        <f t="shared" si="183"/>
        <v>0</v>
      </c>
      <c r="N1308" s="5">
        <f t="shared" si="184"/>
        <v>1</v>
      </c>
      <c r="O1308" s="5">
        <f t="shared" si="185"/>
        <v>0</v>
      </c>
    </row>
    <row r="1309" spans="1:15" x14ac:dyDescent="0.25">
      <c r="A1309" t="s">
        <v>89</v>
      </c>
      <c r="B1309">
        <v>2023</v>
      </c>
      <c r="C1309" s="7">
        <f>'1_Du_lieu'!V385</f>
        <v>3.5751506887855933</v>
      </c>
      <c r="D1309" s="9">
        <f>'1_Du_lieu'!Z385</f>
        <v>5.0968129903373081</v>
      </c>
      <c r="E1309" s="9">
        <f>'1_Du_lieu'!AA385</f>
        <v>14.743</v>
      </c>
      <c r="F1309" s="9">
        <f>'1_Du_lieu'!AB385</f>
        <v>84.23</v>
      </c>
      <c r="G1309" s="9">
        <f>'1_Du_lieu'!AC385</f>
        <v>21.1</v>
      </c>
      <c r="H1309" s="9">
        <f>'1_Du_lieu'!AE385</f>
        <v>3.242947697575</v>
      </c>
      <c r="I1309" s="9">
        <f>'1_Du_lieu'!AF385</f>
        <v>0.61525098621113972</v>
      </c>
      <c r="J1309" s="9">
        <f>'1_Du_lieu'!AG385</f>
        <v>9.5710521568971654</v>
      </c>
      <c r="K1309" s="9">
        <f>'1_Du_lieu'!AD385</f>
        <v>22</v>
      </c>
      <c r="L1309" s="5">
        <f t="shared" si="182"/>
        <v>0</v>
      </c>
      <c r="M1309" s="5">
        <f t="shared" si="183"/>
        <v>0</v>
      </c>
      <c r="N1309" s="5">
        <f t="shared" si="184"/>
        <v>1</v>
      </c>
      <c r="O1309" s="5">
        <f t="shared" si="185"/>
        <v>0</v>
      </c>
    </row>
    <row r="1310" spans="1:15" x14ac:dyDescent="0.25">
      <c r="A1310" t="s">
        <v>90</v>
      </c>
      <c r="B1310">
        <v>2023</v>
      </c>
      <c r="C1310" s="7">
        <f>'1_Du_lieu'!V386</f>
        <v>2.5572273113676265</v>
      </c>
      <c r="D1310" s="9">
        <f>'1_Du_lieu'!Z386</f>
        <v>4.4704952826614894</v>
      </c>
      <c r="E1310" s="9">
        <f>'1_Du_lieu'!AA386</f>
        <v>6.3929999999999998</v>
      </c>
      <c r="F1310" s="9">
        <f>'1_Du_lieu'!AB386</f>
        <v>29.38</v>
      </c>
      <c r="G1310" s="9">
        <f>'1_Du_lieu'!AC386</f>
        <v>20.100000000000001</v>
      </c>
      <c r="H1310" s="9">
        <f>'1_Du_lieu'!AE386</f>
        <v>0.96674091458842459</v>
      </c>
      <c r="I1310" s="9">
        <f>'1_Du_lieu'!AF386</f>
        <v>0.8698173383589447</v>
      </c>
      <c r="J1310" s="9">
        <f>'1_Du_lieu'!AG386</f>
        <v>8.2579560324537891</v>
      </c>
      <c r="K1310" s="9">
        <f>'1_Du_lieu'!AD386</f>
        <v>25.7</v>
      </c>
      <c r="L1310" s="5">
        <f t="shared" si="182"/>
        <v>0</v>
      </c>
      <c r="M1310" s="5">
        <f t="shared" si="183"/>
        <v>0</v>
      </c>
      <c r="N1310" s="5">
        <f t="shared" si="184"/>
        <v>1</v>
      </c>
      <c r="O1310" s="5">
        <f t="shared" si="185"/>
        <v>0</v>
      </c>
    </row>
    <row r="1311" spans="1:15" x14ac:dyDescent="0.25">
      <c r="A1311" t="s">
        <v>91</v>
      </c>
      <c r="B1311">
        <v>2023</v>
      </c>
      <c r="C1311" s="7">
        <f>'1_Du_lieu'!V387</f>
        <v>2.7212954278522306</v>
      </c>
      <c r="D1311" s="9">
        <f>'1_Du_lieu'!Z387</f>
        <v>4.3944491546724391</v>
      </c>
      <c r="E1311" s="9">
        <f>'1_Du_lieu'!AA387</f>
        <v>4.6399999999999997</v>
      </c>
      <c r="F1311" s="9">
        <f>'1_Du_lieu'!AB387</f>
        <v>38.6</v>
      </c>
      <c r="G1311" s="9">
        <f>'1_Du_lieu'!AC387</f>
        <v>18.5</v>
      </c>
      <c r="H1311" s="9">
        <f>'1_Du_lieu'!AE387</f>
        <v>1.4568620109471089</v>
      </c>
      <c r="I1311" s="9">
        <f>'1_Du_lieu'!AF387</f>
        <v>0.31946330165322262</v>
      </c>
      <c r="J1311" s="9">
        <f>'1_Du_lieu'!AG387</f>
        <v>8.0284225584310782</v>
      </c>
      <c r="K1311" s="9">
        <f>'1_Du_lieu'!AD387</f>
        <v>17.7</v>
      </c>
      <c r="L1311" s="5">
        <f t="shared" si="182"/>
        <v>0</v>
      </c>
      <c r="M1311" s="5">
        <f t="shared" si="183"/>
        <v>0</v>
      </c>
      <c r="N1311" s="5">
        <f t="shared" si="184"/>
        <v>1</v>
      </c>
      <c r="O1311" s="5">
        <f t="shared" si="185"/>
        <v>0</v>
      </c>
    </row>
    <row r="1312" spans="1:15" x14ac:dyDescent="0.25">
      <c r="A1312" t="s">
        <v>93</v>
      </c>
      <c r="B1312">
        <v>2023</v>
      </c>
      <c r="C1312" s="7">
        <f>'1_Du_lieu'!V388</f>
        <v>2.8094026953624978</v>
      </c>
      <c r="D1312" s="9">
        <f>'1_Du_lieu'!Z388</f>
        <v>4.2724907476055751</v>
      </c>
      <c r="E1312" s="9">
        <f>'1_Du_lieu'!AA388</f>
        <v>5.149</v>
      </c>
      <c r="F1312" s="9">
        <f>'1_Du_lieu'!AB388</f>
        <v>41.19</v>
      </c>
      <c r="G1312" s="9">
        <f>'1_Du_lieu'!AC388</f>
        <v>25</v>
      </c>
      <c r="H1312" s="9">
        <f>'1_Du_lieu'!AE388</f>
        <v>3.0194499686958518</v>
      </c>
      <c r="I1312" s="9">
        <f>'1_Du_lieu'!AF388</f>
        <v>0.79771322209665629</v>
      </c>
      <c r="J1312" s="9">
        <f>'1_Du_lieu'!AG388</f>
        <v>6.6876072366477262</v>
      </c>
      <c r="K1312" s="9">
        <f>'1_Du_lieu'!AD388</f>
        <v>22.8</v>
      </c>
      <c r="L1312" s="5">
        <f t="shared" si="182"/>
        <v>0</v>
      </c>
      <c r="M1312" s="5">
        <f t="shared" si="183"/>
        <v>0</v>
      </c>
      <c r="N1312" s="5">
        <f t="shared" si="184"/>
        <v>1</v>
      </c>
      <c r="O1312" s="5">
        <f t="shared" si="185"/>
        <v>0</v>
      </c>
    </row>
    <row r="1313" spans="1:15" x14ac:dyDescent="0.25">
      <c r="A1313" t="s">
        <v>94</v>
      </c>
      <c r="B1313">
        <v>2023</v>
      </c>
      <c r="C1313" s="7">
        <f>'1_Du_lieu'!V389</f>
        <v>2.3702437414678603</v>
      </c>
      <c r="D1313" s="9">
        <f>'1_Du_lieu'!Z389</f>
        <v>4.0826093060036799</v>
      </c>
      <c r="E1313" s="9">
        <f>'1_Du_lieu'!AA389</f>
        <v>2.367</v>
      </c>
      <c r="F1313" s="9">
        <f>'1_Du_lieu'!AB389</f>
        <v>27.76</v>
      </c>
      <c r="G1313" s="9">
        <f>'1_Du_lieu'!AC389</f>
        <v>12.2</v>
      </c>
      <c r="H1313" s="9">
        <f>'1_Du_lieu'!AE389</f>
        <v>1.2025506609925971</v>
      </c>
      <c r="I1313" s="9">
        <f>'1_Du_lieu'!AF389</f>
        <v>1.3018008244738555</v>
      </c>
      <c r="J1313" s="9">
        <f>'1_Du_lieu'!AG389</f>
        <v>8.4925725762339894</v>
      </c>
      <c r="K1313" s="9">
        <f>'1_Du_lieu'!AD389</f>
        <v>12.6</v>
      </c>
      <c r="L1313" s="5">
        <f t="shared" si="182"/>
        <v>0</v>
      </c>
      <c r="M1313" s="5">
        <f t="shared" si="183"/>
        <v>0</v>
      </c>
      <c r="N1313" s="5">
        <f t="shared" si="184"/>
        <v>1</v>
      </c>
      <c r="O1313" s="5">
        <f t="shared" si="185"/>
        <v>0</v>
      </c>
    </row>
    <row r="1314" spans="1:15" x14ac:dyDescent="0.25">
      <c r="A1314" t="s">
        <v>95</v>
      </c>
      <c r="B1314">
        <v>2023</v>
      </c>
      <c r="C1314" s="7">
        <f>'1_Du_lieu'!V390</f>
        <v>2.9444389791664403</v>
      </c>
      <c r="D1314" s="9">
        <f>'1_Du_lieu'!Z390</f>
        <v>4.4343818650078095</v>
      </c>
      <c r="E1314" s="9">
        <f>'1_Du_lieu'!AA390</f>
        <v>4.1779999999999999</v>
      </c>
      <c r="F1314" s="9">
        <f>'1_Du_lieu'!AB390</f>
        <v>19.579999999999998</v>
      </c>
      <c r="G1314" s="9">
        <f>'1_Du_lieu'!AC390</f>
        <v>32</v>
      </c>
      <c r="H1314" s="9">
        <f>'1_Du_lieu'!AE390</f>
        <v>2.8277262890959798</v>
      </c>
      <c r="I1314" s="9">
        <f>'1_Du_lieu'!AF390</f>
        <v>0.47596382674916704</v>
      </c>
      <c r="J1314" s="9">
        <f>'1_Du_lieu'!AG390</f>
        <v>8.5124620170403364</v>
      </c>
      <c r="K1314" s="9">
        <f>'1_Du_lieu'!AD390</f>
        <v>19.8</v>
      </c>
      <c r="L1314" s="5">
        <f t="shared" si="182"/>
        <v>0</v>
      </c>
      <c r="M1314" s="5">
        <f t="shared" si="183"/>
        <v>0</v>
      </c>
      <c r="N1314" s="5">
        <f t="shared" si="184"/>
        <v>1</v>
      </c>
      <c r="O1314" s="5">
        <f t="shared" si="185"/>
        <v>0</v>
      </c>
    </row>
    <row r="1315" spans="1:15" x14ac:dyDescent="0.25">
      <c r="A1315" t="s">
        <v>97</v>
      </c>
      <c r="B1315">
        <v>2023</v>
      </c>
      <c r="C1315" s="7">
        <f>'1_Du_lieu'!V391</f>
        <v>2.379546134130174</v>
      </c>
      <c r="D1315" s="9">
        <f>'1_Du_lieu'!Z391</f>
        <v>3.8501476017100584</v>
      </c>
      <c r="E1315" s="9">
        <f>'1_Du_lieu'!AA391</f>
        <v>2.1819999999999999</v>
      </c>
      <c r="F1315" s="9">
        <f>'1_Du_lieu'!AB391</f>
        <v>22.69</v>
      </c>
      <c r="G1315" s="9">
        <f>'1_Du_lieu'!AC391</f>
        <v>27.6</v>
      </c>
      <c r="H1315" s="9">
        <f>'1_Du_lieu'!AE391</f>
        <v>1.8907805744012527</v>
      </c>
      <c r="I1315" s="9">
        <f>'1_Du_lieu'!AF391</f>
        <v>0.92478421701602964</v>
      </c>
      <c r="J1315" s="9">
        <f>'1_Du_lieu'!AG391</f>
        <v>3.2347491740244907</v>
      </c>
      <c r="K1315" s="9">
        <f>'1_Du_lieu'!AD391</f>
        <v>17.100000000000001</v>
      </c>
      <c r="L1315" s="5">
        <f t="shared" si="182"/>
        <v>0</v>
      </c>
      <c r="M1315" s="5">
        <f t="shared" si="183"/>
        <v>0</v>
      </c>
      <c r="N1315" s="5">
        <f t="shared" si="184"/>
        <v>1</v>
      </c>
      <c r="O1315" s="5">
        <f t="shared" si="185"/>
        <v>0</v>
      </c>
    </row>
    <row r="1316" spans="1:15" x14ac:dyDescent="0.25">
      <c r="A1316" t="s">
        <v>98</v>
      </c>
      <c r="B1316">
        <v>2023</v>
      </c>
      <c r="C1316" s="7">
        <f>'1_Du_lieu'!V392</f>
        <v>3.068052935133617</v>
      </c>
      <c r="D1316" s="9">
        <f>'1_Du_lieu'!Z392</f>
        <v>5.1161957897567483</v>
      </c>
      <c r="E1316" s="9">
        <f>'1_Du_lieu'!AA392</f>
        <v>10.007</v>
      </c>
      <c r="F1316" s="9">
        <f>'1_Du_lieu'!AB392</f>
        <v>37.26</v>
      </c>
      <c r="G1316" s="9">
        <f>'1_Du_lieu'!AC392</f>
        <v>34.4</v>
      </c>
      <c r="H1316" s="9">
        <f>'1_Du_lieu'!AE392</f>
        <v>2.7160096608008284</v>
      </c>
      <c r="I1316" s="9">
        <f>'1_Du_lieu'!AF392</f>
        <v>1.8813411274608616</v>
      </c>
      <c r="J1316" s="9">
        <f>'1_Du_lieu'!AG392</f>
        <v>9.6593820772008918</v>
      </c>
      <c r="K1316" s="9">
        <f>'1_Du_lieu'!AD392</f>
        <v>30.8</v>
      </c>
      <c r="L1316" s="5">
        <f t="shared" si="182"/>
        <v>0</v>
      </c>
      <c r="M1316" s="5">
        <f t="shared" si="183"/>
        <v>0</v>
      </c>
      <c r="N1316" s="5">
        <f t="shared" si="184"/>
        <v>1</v>
      </c>
      <c r="O1316" s="5">
        <f t="shared" si="185"/>
        <v>0</v>
      </c>
    </row>
    <row r="1317" spans="1:15" x14ac:dyDescent="0.25">
      <c r="A1317" t="s">
        <v>100</v>
      </c>
      <c r="B1317">
        <v>2023</v>
      </c>
      <c r="C1317" s="7">
        <f>'1_Du_lieu'!V393</f>
        <v>2.6741486494265287</v>
      </c>
      <c r="D1317" s="9">
        <f>'1_Du_lieu'!Z393</f>
        <v>3.8794998137225858</v>
      </c>
      <c r="E1317" s="9">
        <f>'1_Du_lieu'!AA393</f>
        <v>2.7519999999999998</v>
      </c>
      <c r="F1317" s="9">
        <f>'1_Du_lieu'!AB393</f>
        <v>10.25</v>
      </c>
      <c r="G1317" s="9">
        <f>'1_Du_lieu'!AC393</f>
        <v>11.9</v>
      </c>
      <c r="H1317" s="9">
        <f>'1_Du_lieu'!AE393</f>
        <v>1.262205371411063</v>
      </c>
      <c r="I1317" s="9">
        <f>'1_Du_lieu'!AF393</f>
        <v>0.46224961479198773</v>
      </c>
      <c r="J1317" s="9">
        <f>'1_Du_lieu'!AG393</f>
        <v>7.1083259694439551</v>
      </c>
      <c r="K1317" s="9">
        <f>'1_Du_lieu'!AD393</f>
        <v>16.399999999999999</v>
      </c>
      <c r="L1317" s="5">
        <f t="shared" si="182"/>
        <v>0</v>
      </c>
      <c r="M1317" s="5">
        <f t="shared" si="183"/>
        <v>0</v>
      </c>
      <c r="N1317" s="5">
        <f t="shared" si="184"/>
        <v>1</v>
      </c>
      <c r="O1317" s="5">
        <f t="shared" si="185"/>
        <v>0</v>
      </c>
    </row>
    <row r="1318" spans="1:15" x14ac:dyDescent="0.25">
      <c r="A1318" t="s">
        <v>102</v>
      </c>
      <c r="B1318">
        <v>2023</v>
      </c>
      <c r="C1318" s="7">
        <f>'1_Du_lieu'!V395</f>
        <v>2.5952547069568657</v>
      </c>
      <c r="D1318" s="9">
        <f>'1_Du_lieu'!Z395</f>
        <v>4.0842942263685993</v>
      </c>
      <c r="E1318" s="9">
        <f>'1_Du_lieu'!AA395</f>
        <v>3.1819999999999999</v>
      </c>
      <c r="F1318" s="9">
        <f>'1_Du_lieu'!AB395</f>
        <v>22.84</v>
      </c>
      <c r="G1318" s="9">
        <f>'1_Du_lieu'!AC395</f>
        <v>14.3</v>
      </c>
      <c r="H1318" s="9">
        <f>'1_Du_lieu'!AE395</f>
        <v>-0.41115366539591419</v>
      </c>
      <c r="I1318" s="9">
        <f>'1_Du_lieu'!AF395</f>
        <v>0.57966213978138459</v>
      </c>
      <c r="J1318" s="9">
        <f>'1_Du_lieu'!AG395</f>
        <v>4.8528112089026889</v>
      </c>
      <c r="K1318" s="9">
        <f>'1_Du_lieu'!AD395</f>
        <v>16.5</v>
      </c>
      <c r="L1318" s="5">
        <f t="shared" si="182"/>
        <v>0</v>
      </c>
      <c r="M1318" s="5">
        <f t="shared" si="183"/>
        <v>0</v>
      </c>
      <c r="N1318" s="5">
        <f t="shared" si="184"/>
        <v>1</v>
      </c>
      <c r="O1318" s="5">
        <f t="shared" si="185"/>
        <v>0</v>
      </c>
    </row>
    <row r="1319" spans="1:15" x14ac:dyDescent="0.25">
      <c r="A1319" t="s">
        <v>103</v>
      </c>
      <c r="B1319">
        <v>2023</v>
      </c>
      <c r="C1319" s="7">
        <f>'1_Du_lieu'!V396</f>
        <v>3.0773122605464138</v>
      </c>
      <c r="D1319" s="9">
        <f>'1_Du_lieu'!Z396</f>
        <v>4.4624538837864964</v>
      </c>
      <c r="E1319" s="9">
        <f>'1_Du_lieu'!AA396</f>
        <v>8.0329999999999995</v>
      </c>
      <c r="F1319" s="9">
        <f>'1_Du_lieu'!AB396</f>
        <v>70.5</v>
      </c>
      <c r="G1319" s="9">
        <f>'1_Du_lieu'!AC396</f>
        <v>22.9</v>
      </c>
      <c r="H1319" s="9">
        <f>'1_Du_lieu'!AE396</f>
        <v>0.87762244934979738</v>
      </c>
      <c r="I1319" s="9">
        <f>'1_Du_lieu'!AF396</f>
        <v>1.3575021959594347</v>
      </c>
      <c r="J1319" s="9">
        <f>'1_Du_lieu'!AG396</f>
        <v>7.501579238247297</v>
      </c>
      <c r="K1319" s="9">
        <f>'1_Du_lieu'!AD396</f>
        <v>28.4</v>
      </c>
      <c r="L1319" s="5">
        <f t="shared" si="182"/>
        <v>0</v>
      </c>
      <c r="M1319" s="5">
        <f t="shared" si="183"/>
        <v>0</v>
      </c>
      <c r="N1319" s="5">
        <f t="shared" si="184"/>
        <v>1</v>
      </c>
      <c r="O1319" s="5">
        <f t="shared" si="185"/>
        <v>0</v>
      </c>
    </row>
    <row r="1320" spans="1:15" x14ac:dyDescent="0.25">
      <c r="A1320" t="s">
        <v>104</v>
      </c>
      <c r="B1320">
        <v>2023</v>
      </c>
      <c r="C1320" s="7">
        <f>'1_Du_lieu'!V397</f>
        <v>2.6100697927420065</v>
      </c>
      <c r="D1320" s="9">
        <f>'1_Du_lieu'!Z397</f>
        <v>3.9908341858524357</v>
      </c>
      <c r="E1320" s="9">
        <f>'1_Du_lieu'!AA397</f>
        <v>3.2919999999999998</v>
      </c>
      <c r="F1320" s="9">
        <f>'1_Du_lieu'!AB397</f>
        <v>29.33</v>
      </c>
      <c r="G1320" s="9">
        <f>'1_Du_lieu'!AC397</f>
        <v>15.3</v>
      </c>
      <c r="H1320" s="9">
        <f>'1_Du_lieu'!AE397</f>
        <v>2.4487919397710241</v>
      </c>
      <c r="I1320" s="9">
        <f>'1_Du_lieu'!AF397</f>
        <v>1.1942174732872406</v>
      </c>
      <c r="J1320" s="9">
        <f>'1_Du_lieu'!AG397</f>
        <v>4.0758410906575406</v>
      </c>
      <c r="K1320" s="9">
        <f>'1_Du_lieu'!AD397</f>
        <v>17</v>
      </c>
      <c r="L1320" s="5">
        <f t="shared" si="182"/>
        <v>0</v>
      </c>
      <c r="M1320" s="5">
        <f t="shared" si="183"/>
        <v>0</v>
      </c>
      <c r="N1320" s="5">
        <f t="shared" si="184"/>
        <v>1</v>
      </c>
      <c r="O1320" s="5">
        <f t="shared" si="185"/>
        <v>0</v>
      </c>
    </row>
    <row r="1321" spans="1:15" x14ac:dyDescent="0.25">
      <c r="A1321" t="s">
        <v>107</v>
      </c>
      <c r="B1321">
        <v>2023</v>
      </c>
      <c r="C1321" s="7">
        <f>'1_Du_lieu'!V399</f>
        <v>2.8791984572980396</v>
      </c>
      <c r="D1321" s="9">
        <f>'1_Du_lieu'!Z399</f>
        <v>4.467056883858457</v>
      </c>
      <c r="E1321" s="9">
        <f>'1_Du_lieu'!AA399</f>
        <v>5.8630000000000004</v>
      </c>
      <c r="F1321" s="9">
        <f>'1_Du_lieu'!AB399</f>
        <v>28.02</v>
      </c>
      <c r="G1321" s="9">
        <f>'1_Du_lieu'!AC399</f>
        <v>27.6</v>
      </c>
      <c r="H1321" s="9">
        <f>'1_Du_lieu'!AE399</f>
        <v>2.8926909988317222</v>
      </c>
      <c r="I1321" s="9">
        <f>'1_Du_lieu'!AF399</f>
        <v>1.2527047033367498</v>
      </c>
      <c r="J1321" s="9">
        <f>'1_Du_lieu'!AG399</f>
        <v>8.7140913251622045</v>
      </c>
      <c r="K1321" s="9">
        <f>'1_Du_lieu'!AD399</f>
        <v>18.5</v>
      </c>
      <c r="L1321" s="5">
        <f t="shared" si="182"/>
        <v>0</v>
      </c>
      <c r="M1321" s="5">
        <f t="shared" si="183"/>
        <v>0</v>
      </c>
      <c r="N1321" s="5">
        <f t="shared" si="184"/>
        <v>1</v>
      </c>
      <c r="O1321" s="5">
        <f t="shared" si="185"/>
        <v>0</v>
      </c>
    </row>
    <row r="1322" spans="1:15" x14ac:dyDescent="0.25">
      <c r="A1322" t="s">
        <v>108</v>
      </c>
      <c r="B1322">
        <v>2023</v>
      </c>
      <c r="C1322" s="7">
        <f>'1_Du_lieu'!V400</f>
        <v>4.4508528256037341</v>
      </c>
      <c r="D1322" s="9">
        <f>'1_Du_lieu'!Z400</f>
        <v>4.9494688588587685</v>
      </c>
      <c r="E1322" s="9">
        <f>'1_Du_lieu'!AA400</f>
        <v>22.169</v>
      </c>
      <c r="F1322" s="9">
        <f>'1_Du_lieu'!AB400</f>
        <v>49.06</v>
      </c>
      <c r="G1322" s="9">
        <f>'1_Du_lieu'!AC400</f>
        <v>50.3</v>
      </c>
      <c r="H1322" s="9">
        <f>'1_Du_lieu'!AE400</f>
        <v>3.0496484336472913</v>
      </c>
      <c r="I1322" s="9">
        <f>'1_Du_lieu'!AF400</f>
        <v>1.9204096873999785</v>
      </c>
      <c r="J1322" s="9">
        <f>'1_Du_lieu'!AG400</f>
        <v>8.4351802106955578</v>
      </c>
      <c r="K1322" s="9">
        <f>'1_Du_lieu'!AD400</f>
        <v>55</v>
      </c>
      <c r="L1322" s="5">
        <f t="shared" si="182"/>
        <v>0</v>
      </c>
      <c r="M1322" s="5">
        <f t="shared" si="183"/>
        <v>0</v>
      </c>
      <c r="N1322" s="5">
        <f t="shared" si="184"/>
        <v>1</v>
      </c>
      <c r="O1322" s="5">
        <f t="shared" si="185"/>
        <v>0</v>
      </c>
    </row>
    <row r="1323" spans="1:15" x14ac:dyDescent="0.25">
      <c r="A1323" t="s">
        <v>109</v>
      </c>
      <c r="B1323">
        <v>2023</v>
      </c>
      <c r="C1323" s="7">
        <f>'1_Du_lieu'!V401</f>
        <v>2.5877640352277083</v>
      </c>
      <c r="D1323" s="9">
        <f>'1_Du_lieu'!Z401</f>
        <v>4.2752762647270011</v>
      </c>
      <c r="E1323" s="9">
        <f>'1_Du_lieu'!AA401</f>
        <v>4.218</v>
      </c>
      <c r="F1323" s="9">
        <f>'1_Du_lieu'!AB401</f>
        <v>22.3</v>
      </c>
      <c r="G1323" s="9">
        <f>'1_Du_lieu'!AC401</f>
        <v>30.8</v>
      </c>
      <c r="H1323" s="9">
        <f>'1_Du_lieu'!AE401</f>
        <v>3.3859009454391313</v>
      </c>
      <c r="I1323" s="9">
        <f>'1_Du_lieu'!AF401</f>
        <v>0.37956426022925682</v>
      </c>
      <c r="J1323" s="9">
        <f>'1_Du_lieu'!AG401</f>
        <v>9.1183676167696159</v>
      </c>
      <c r="K1323" s="9">
        <f>'1_Du_lieu'!AD401</f>
        <v>19.8</v>
      </c>
      <c r="L1323" s="5">
        <f t="shared" si="182"/>
        <v>0</v>
      </c>
      <c r="M1323" s="5">
        <f t="shared" si="183"/>
        <v>0</v>
      </c>
      <c r="N1323" s="5">
        <f t="shared" si="184"/>
        <v>1</v>
      </c>
      <c r="O1323" s="5">
        <f t="shared" si="185"/>
        <v>0</v>
      </c>
    </row>
    <row r="1324" spans="1:15" x14ac:dyDescent="0.25">
      <c r="A1324" t="s">
        <v>110</v>
      </c>
      <c r="B1324">
        <v>2023</v>
      </c>
      <c r="C1324" s="7">
        <f>'1_Du_lieu'!V402</f>
        <v>2.5014359517392109</v>
      </c>
      <c r="D1324" s="9">
        <f>'1_Du_lieu'!Z402</f>
        <v>4.2076732475291037</v>
      </c>
      <c r="E1324" s="9">
        <f>'1_Du_lieu'!AA402</f>
        <v>3.3039999999999998</v>
      </c>
      <c r="F1324" s="9">
        <f>'1_Du_lieu'!AB402</f>
        <v>25.43</v>
      </c>
      <c r="G1324" s="9">
        <f>'1_Du_lieu'!AC402</f>
        <v>23.8</v>
      </c>
      <c r="H1324" s="9">
        <f>'1_Du_lieu'!AE402</f>
        <v>2.2653099386064244</v>
      </c>
      <c r="I1324" s="9">
        <f>'1_Du_lieu'!AF402</f>
        <v>1.1423349326022392</v>
      </c>
      <c r="J1324" s="9">
        <f>'1_Du_lieu'!AG402</f>
        <v>6.713684975153634</v>
      </c>
      <c r="K1324" s="9">
        <f>'1_Du_lieu'!AD402</f>
        <v>24.7</v>
      </c>
      <c r="L1324" s="5">
        <f t="shared" si="182"/>
        <v>0</v>
      </c>
      <c r="M1324" s="5">
        <f t="shared" si="183"/>
        <v>0</v>
      </c>
      <c r="N1324" s="5">
        <f t="shared" si="184"/>
        <v>1</v>
      </c>
      <c r="O1324" s="5">
        <f t="shared" si="185"/>
        <v>0</v>
      </c>
    </row>
    <row r="1325" spans="1:15" x14ac:dyDescent="0.25">
      <c r="A1325" t="s">
        <v>111</v>
      </c>
      <c r="B1325">
        <v>2023</v>
      </c>
      <c r="C1325" s="7">
        <f>'1_Du_lieu'!V403</f>
        <v>3.0204248861443626</v>
      </c>
      <c r="D1325" s="9">
        <f>'1_Du_lieu'!Z403</f>
        <v>4.6298627985784631</v>
      </c>
      <c r="E1325" s="9">
        <f>'1_Du_lieu'!AA403</f>
        <v>6.9470000000000001</v>
      </c>
      <c r="F1325" s="9">
        <f>'1_Du_lieu'!AB403</f>
        <v>16.84</v>
      </c>
      <c r="G1325" s="9">
        <f>'1_Du_lieu'!AC403</f>
        <v>28.1</v>
      </c>
      <c r="H1325" s="9">
        <f>'1_Du_lieu'!AE403</f>
        <v>3.282132441752116</v>
      </c>
      <c r="I1325" s="9">
        <f>'1_Du_lieu'!AF403</f>
        <v>1.8591680223100162</v>
      </c>
      <c r="J1325" s="9">
        <f>'1_Du_lieu'!AG403</f>
        <v>8.5471402677841901</v>
      </c>
      <c r="K1325" s="9">
        <f>'1_Du_lieu'!AD403</f>
        <v>31.8</v>
      </c>
      <c r="L1325" s="5">
        <f t="shared" si="182"/>
        <v>0</v>
      </c>
      <c r="M1325" s="5">
        <f t="shared" si="183"/>
        <v>0</v>
      </c>
      <c r="N1325" s="5">
        <f t="shared" si="184"/>
        <v>1</v>
      </c>
      <c r="O1325" s="5">
        <f t="shared" si="185"/>
        <v>0</v>
      </c>
    </row>
    <row r="1326" spans="1:15" x14ac:dyDescent="0.25">
      <c r="A1326" t="s">
        <v>112</v>
      </c>
      <c r="B1326">
        <v>2023</v>
      </c>
      <c r="C1326" s="7">
        <f>'1_Du_lieu'!V404</f>
        <v>2.9285235238605409</v>
      </c>
      <c r="D1326" s="9">
        <f>'1_Du_lieu'!Z404</f>
        <v>4.4739218993781371</v>
      </c>
      <c r="E1326" s="9">
        <f>'1_Du_lieu'!AA404</f>
        <v>5.4470000000000001</v>
      </c>
      <c r="F1326" s="9">
        <f>'1_Du_lieu'!AB404</f>
        <v>31.75</v>
      </c>
      <c r="G1326" s="9">
        <f>'1_Du_lieu'!AC404</f>
        <v>29.7</v>
      </c>
      <c r="H1326" s="9">
        <f>'1_Du_lieu'!AE404</f>
        <v>3.1732481091670777</v>
      </c>
      <c r="I1326" s="9">
        <f>'1_Du_lieu'!AF404</f>
        <v>0.5650297924799671</v>
      </c>
      <c r="J1326" s="9">
        <f>'1_Du_lieu'!AG404</f>
        <v>8.4576554787000404</v>
      </c>
      <c r="K1326" s="9">
        <f>'1_Du_lieu'!AD404</f>
        <v>36.1</v>
      </c>
      <c r="L1326" s="5">
        <f t="shared" si="182"/>
        <v>0</v>
      </c>
      <c r="M1326" s="5">
        <f t="shared" si="183"/>
        <v>0</v>
      </c>
      <c r="N1326" s="5">
        <f t="shared" si="184"/>
        <v>1</v>
      </c>
      <c r="O1326" s="5">
        <f t="shared" si="185"/>
        <v>0</v>
      </c>
    </row>
    <row r="1327" spans="1:15" x14ac:dyDescent="0.25">
      <c r="A1327" t="s">
        <v>113</v>
      </c>
      <c r="B1327">
        <v>2023</v>
      </c>
      <c r="C1327" s="7">
        <f>'1_Du_lieu'!V405</f>
        <v>3.3534067178258069</v>
      </c>
      <c r="D1327" s="9">
        <f>'1_Du_lieu'!Z405</f>
        <v>5.1451661870538619</v>
      </c>
      <c r="E1327" s="9">
        <f>'1_Du_lieu'!AA405</f>
        <v>9.9280000000000008</v>
      </c>
      <c r="F1327" s="9">
        <f>'1_Du_lieu'!AB405</f>
        <v>45.58</v>
      </c>
      <c r="G1327" s="9">
        <f>'1_Du_lieu'!AC405</f>
        <v>36.5</v>
      </c>
      <c r="H1327" s="9">
        <f>'1_Du_lieu'!AE405</f>
        <v>4.0692829679328932</v>
      </c>
      <c r="I1327" s="9">
        <f>'1_Du_lieu'!AF405</f>
        <v>1.7241379310344827</v>
      </c>
      <c r="J1327" s="9">
        <f>'1_Du_lieu'!AG405</f>
        <v>9.4025297479684866</v>
      </c>
      <c r="K1327" s="9">
        <f>'1_Du_lieu'!AD405</f>
        <v>32.9</v>
      </c>
      <c r="L1327" s="5">
        <f t="shared" si="182"/>
        <v>0</v>
      </c>
      <c r="M1327" s="5">
        <f t="shared" si="183"/>
        <v>0</v>
      </c>
      <c r="N1327" s="5">
        <f t="shared" si="184"/>
        <v>1</v>
      </c>
      <c r="O1327" s="5">
        <f t="shared" si="185"/>
        <v>0</v>
      </c>
    </row>
    <row r="1328" spans="1:15" x14ac:dyDescent="0.25">
      <c r="A1328" t="s">
        <v>114</v>
      </c>
      <c r="B1328">
        <v>2023</v>
      </c>
      <c r="C1328" s="7">
        <f>'1_Du_lieu'!V406</f>
        <v>2.4680995314716192</v>
      </c>
      <c r="D1328" s="9">
        <f>'1_Du_lieu'!Z406</f>
        <v>4.2150861799182291</v>
      </c>
      <c r="E1328" s="9">
        <f>'1_Du_lieu'!AA406</f>
        <v>3.4710000000000001</v>
      </c>
      <c r="F1328" s="9">
        <f>'1_Du_lieu'!AB406</f>
        <v>28.1</v>
      </c>
      <c r="G1328" s="9">
        <f>'1_Du_lieu'!AC406</f>
        <v>12.5</v>
      </c>
      <c r="H1328" s="9">
        <f>'1_Du_lieu'!AE406</f>
        <v>1.1417181707316584</v>
      </c>
      <c r="I1328" s="9">
        <f>'1_Du_lieu'!AF406</f>
        <v>0.68540095956134339</v>
      </c>
      <c r="J1328" s="9">
        <f>'1_Du_lieu'!AG406</f>
        <v>6.8474743480972071</v>
      </c>
      <c r="K1328" s="9">
        <f>'1_Du_lieu'!AD406</f>
        <v>18.100000000000001</v>
      </c>
      <c r="L1328" s="5">
        <f t="shared" si="182"/>
        <v>0</v>
      </c>
      <c r="M1328" s="5">
        <f t="shared" si="183"/>
        <v>0</v>
      </c>
      <c r="N1328" s="5">
        <f t="shared" si="184"/>
        <v>1</v>
      </c>
      <c r="O1328" s="5">
        <f t="shared" si="185"/>
        <v>0</v>
      </c>
    </row>
    <row r="1329" spans="1:15" x14ac:dyDescent="0.25">
      <c r="A1329" t="s">
        <v>115</v>
      </c>
      <c r="B1329">
        <v>2023</v>
      </c>
      <c r="C1329" s="7">
        <f>'1_Du_lieu'!V407</f>
        <v>3.1484533605716547</v>
      </c>
      <c r="D1329" s="9">
        <f>'1_Du_lieu'!Z407</f>
        <v>4.3463994570307305</v>
      </c>
      <c r="E1329" s="9">
        <f>'1_Du_lieu'!AA407</f>
        <v>8.93</v>
      </c>
      <c r="F1329" s="9">
        <f>'1_Du_lieu'!AB407</f>
        <v>42.36</v>
      </c>
      <c r="G1329" s="9">
        <f>'1_Du_lieu'!AC407</f>
        <v>25.3</v>
      </c>
      <c r="H1329" s="9">
        <f>'1_Du_lieu'!AE407</f>
        <v>2.9604727634774077</v>
      </c>
      <c r="I1329" s="9">
        <f>'1_Du_lieu'!AF407</f>
        <v>1.9936204146730463</v>
      </c>
      <c r="J1329" s="9">
        <f>'1_Du_lieu'!AG407</f>
        <v>8.1622025425416034</v>
      </c>
      <c r="K1329" s="9">
        <f>'1_Du_lieu'!AD407</f>
        <v>32.200000000000003</v>
      </c>
      <c r="L1329" s="5">
        <f t="shared" si="182"/>
        <v>0</v>
      </c>
      <c r="M1329" s="5">
        <f t="shared" si="183"/>
        <v>0</v>
      </c>
      <c r="N1329" s="5">
        <f t="shared" si="184"/>
        <v>1</v>
      </c>
      <c r="O1329" s="5">
        <f t="shared" si="185"/>
        <v>0</v>
      </c>
    </row>
    <row r="1330" spans="1:15" x14ac:dyDescent="0.25">
      <c r="A1330" t="s">
        <v>116</v>
      </c>
      <c r="B1330">
        <v>2023</v>
      </c>
      <c r="C1330" s="7">
        <f>'1_Du_lieu'!V408</f>
        <v>2.5802168295923251</v>
      </c>
      <c r="D1330" s="9">
        <f>'1_Du_lieu'!Z408</f>
        <v>4.1956970564823886</v>
      </c>
      <c r="E1330" s="9">
        <f>'1_Du_lieu'!AA408</f>
        <v>4.93</v>
      </c>
      <c r="F1330" s="9">
        <f>'1_Du_lieu'!AB408</f>
        <v>29.84</v>
      </c>
      <c r="G1330" s="9">
        <f>'1_Du_lieu'!AC408</f>
        <v>16</v>
      </c>
      <c r="H1330" s="9">
        <f>'1_Du_lieu'!AE408</f>
        <v>0.47072405696842362</v>
      </c>
      <c r="I1330" s="9">
        <f>'1_Du_lieu'!AF408</f>
        <v>5.4800776344331545</v>
      </c>
      <c r="J1330" s="9">
        <f>'1_Du_lieu'!AG408</f>
        <v>7.9181918767465218</v>
      </c>
      <c r="K1330" s="9">
        <f>'1_Du_lieu'!AD408</f>
        <v>16.2</v>
      </c>
      <c r="L1330" s="5">
        <f t="shared" si="182"/>
        <v>0</v>
      </c>
      <c r="M1330" s="5">
        <f t="shared" si="183"/>
        <v>0</v>
      </c>
      <c r="N1330" s="5">
        <f t="shared" si="184"/>
        <v>1</v>
      </c>
      <c r="O1330" s="5">
        <f t="shared" si="185"/>
        <v>0</v>
      </c>
    </row>
    <row r="1331" spans="1:15" x14ac:dyDescent="0.25">
      <c r="A1331" t="s">
        <v>117</v>
      </c>
      <c r="B1331">
        <v>2023</v>
      </c>
      <c r="C1331" s="7">
        <f>'1_Du_lieu'!V409</f>
        <v>2.3223877202902252</v>
      </c>
      <c r="D1331" s="9">
        <f>'1_Du_lieu'!Z409</f>
        <v>3.9740583963475986</v>
      </c>
      <c r="E1331" s="9">
        <f>'1_Du_lieu'!AA409</f>
        <v>3.5369999999999999</v>
      </c>
      <c r="F1331" s="9">
        <f>'1_Du_lieu'!AB409</f>
        <v>32.51</v>
      </c>
      <c r="G1331" s="9">
        <f>'1_Du_lieu'!AC409</f>
        <v>17.600000000000001</v>
      </c>
      <c r="H1331" s="9">
        <f>'1_Du_lieu'!AE409</f>
        <v>2.6196049476791372</v>
      </c>
      <c r="I1331" s="9">
        <f>'1_Du_lieu'!AF409</f>
        <v>0.86221762372822897</v>
      </c>
      <c r="J1331" s="9">
        <f>'1_Du_lieu'!AG409</f>
        <v>6.0502050421305817</v>
      </c>
      <c r="K1331" s="9">
        <f>'1_Du_lieu'!AD409</f>
        <v>27</v>
      </c>
      <c r="L1331" s="5">
        <f t="shared" si="182"/>
        <v>0</v>
      </c>
      <c r="M1331" s="5">
        <f t="shared" si="183"/>
        <v>0</v>
      </c>
      <c r="N1331" s="5">
        <f t="shared" si="184"/>
        <v>1</v>
      </c>
      <c r="O1331" s="5">
        <f t="shared" si="185"/>
        <v>0</v>
      </c>
    </row>
    <row r="1332" spans="1:15" x14ac:dyDescent="0.25">
      <c r="A1332" t="s">
        <v>119</v>
      </c>
      <c r="B1332">
        <v>2023</v>
      </c>
      <c r="C1332" s="7">
        <f>'1_Du_lieu'!V411</f>
        <v>2.8678989020441064</v>
      </c>
      <c r="D1332" s="9">
        <f>'1_Du_lieu'!Z411</f>
        <v>4.5031374604229395</v>
      </c>
      <c r="E1332" s="9">
        <f>'1_Du_lieu'!AA411</f>
        <v>6.6269999999999998</v>
      </c>
      <c r="F1332" s="9">
        <f>'1_Du_lieu'!AB411</f>
        <v>18.37</v>
      </c>
      <c r="G1332" s="9">
        <f>'1_Du_lieu'!AC411</f>
        <v>15.1</v>
      </c>
      <c r="H1332" s="9">
        <f>'1_Du_lieu'!AE411</f>
        <v>1.3168967570367087</v>
      </c>
      <c r="I1332" s="9">
        <f>'1_Du_lieu'!AF411</f>
        <v>0.46128120855676641</v>
      </c>
      <c r="J1332" s="9">
        <f>'1_Du_lieu'!AG411</f>
        <v>8.9159558884647261</v>
      </c>
      <c r="K1332" s="9">
        <f>'1_Du_lieu'!AD411</f>
        <v>23.4</v>
      </c>
      <c r="L1332" s="5">
        <f t="shared" si="182"/>
        <v>0</v>
      </c>
      <c r="M1332" s="5">
        <f t="shared" si="183"/>
        <v>0</v>
      </c>
      <c r="N1332" s="5">
        <f t="shared" si="184"/>
        <v>1</v>
      </c>
      <c r="O1332" s="5">
        <f t="shared" si="185"/>
        <v>0</v>
      </c>
    </row>
    <row r="1333" spans="1:15" x14ac:dyDescent="0.25">
      <c r="A1333" t="s">
        <v>120</v>
      </c>
      <c r="B1333">
        <v>2023</v>
      </c>
      <c r="C1333" s="7">
        <f>'1_Du_lieu'!V412</f>
        <v>2.8903717578961645</v>
      </c>
      <c r="D1333" s="9">
        <f>'1_Du_lieu'!Z412</f>
        <v>4.423648309364701</v>
      </c>
      <c r="E1333" s="9">
        <f>'1_Du_lieu'!AA412</f>
        <v>4.1920000000000002</v>
      </c>
      <c r="F1333" s="9">
        <f>'1_Du_lieu'!AB412</f>
        <v>26.8</v>
      </c>
      <c r="G1333" s="9">
        <f>'1_Du_lieu'!AC412</f>
        <v>22.7</v>
      </c>
      <c r="H1333" s="9">
        <f>'1_Du_lieu'!AE412</f>
        <v>2.2227910783318956</v>
      </c>
      <c r="I1333" s="9">
        <f>'1_Du_lieu'!AF412</f>
        <v>1.5572281339216196</v>
      </c>
      <c r="J1333" s="9">
        <f>'1_Du_lieu'!AG412</f>
        <v>6.6293632534374485</v>
      </c>
      <c r="K1333" s="9">
        <f>'1_Du_lieu'!AD412</f>
        <v>17.899999999999999</v>
      </c>
      <c r="L1333" s="5">
        <f t="shared" si="182"/>
        <v>0</v>
      </c>
      <c r="M1333" s="5">
        <f t="shared" si="183"/>
        <v>0</v>
      </c>
      <c r="N1333" s="5">
        <f t="shared" si="184"/>
        <v>1</v>
      </c>
      <c r="O1333" s="5">
        <f t="shared" si="185"/>
        <v>0</v>
      </c>
    </row>
    <row r="1334" spans="1:15" x14ac:dyDescent="0.25">
      <c r="A1334" t="s">
        <v>121</v>
      </c>
      <c r="B1334">
        <v>2023</v>
      </c>
      <c r="C1334" s="7">
        <f>'1_Du_lieu'!V413</f>
        <v>2.9856819377004897</v>
      </c>
      <c r="D1334" s="9">
        <f>'1_Du_lieu'!Z413</f>
        <v>4.3502779363593014</v>
      </c>
      <c r="E1334" s="9">
        <f>'1_Du_lieu'!AA413</f>
        <v>5.7679999999999998</v>
      </c>
      <c r="F1334" s="9">
        <f>'1_Du_lieu'!AB413</f>
        <v>39.29</v>
      </c>
      <c r="G1334" s="9">
        <f>'1_Du_lieu'!AC413</f>
        <v>21.8</v>
      </c>
      <c r="H1334" s="9">
        <f>'1_Du_lieu'!AE413</f>
        <v>2.8758452436893234</v>
      </c>
      <c r="I1334" s="9">
        <f>'1_Du_lieu'!AF413</f>
        <v>0.60037523452157604</v>
      </c>
      <c r="J1334" s="9">
        <f>'1_Du_lieu'!AG413</f>
        <v>5.9584246930297819</v>
      </c>
      <c r="K1334" s="9">
        <f>'1_Du_lieu'!AD413</f>
        <v>35.4</v>
      </c>
      <c r="L1334" s="5">
        <f t="shared" si="182"/>
        <v>0</v>
      </c>
      <c r="M1334" s="5">
        <f t="shared" si="183"/>
        <v>0</v>
      </c>
      <c r="N1334" s="5">
        <f t="shared" si="184"/>
        <v>1</v>
      </c>
      <c r="O1334" s="5">
        <f t="shared" si="185"/>
        <v>0</v>
      </c>
    </row>
    <row r="1335" spans="1:15" x14ac:dyDescent="0.25">
      <c r="A1335" t="s">
        <v>122</v>
      </c>
      <c r="B1335">
        <v>2023</v>
      </c>
      <c r="C1335" s="7">
        <f>'1_Du_lieu'!V414</f>
        <v>2.4765384001174837</v>
      </c>
      <c r="D1335" s="9">
        <f>'1_Du_lieu'!Z414</f>
        <v>3.9318256327243257</v>
      </c>
      <c r="E1335" s="9">
        <f>'1_Du_lieu'!AA414</f>
        <v>2.9260000000000002</v>
      </c>
      <c r="F1335" s="9">
        <f>'1_Du_lieu'!AB414</f>
        <v>23.18</v>
      </c>
      <c r="G1335" s="9">
        <f>'1_Du_lieu'!AC414</f>
        <v>28.5</v>
      </c>
      <c r="H1335" s="9">
        <f>'1_Du_lieu'!AE414</f>
        <v>2.0304323970467162</v>
      </c>
      <c r="I1335" s="9">
        <f>'1_Du_lieu'!AF414</f>
        <v>0.99738187258446576</v>
      </c>
      <c r="J1335" s="9">
        <f>'1_Du_lieu'!AG414</f>
        <v>5.7061130899944832</v>
      </c>
      <c r="K1335" s="9">
        <f>'1_Du_lieu'!AD414</f>
        <v>12.6</v>
      </c>
      <c r="L1335" s="5">
        <f t="shared" ref="L1335:L1398" si="186">IF(B1335=2021,1,0)</f>
        <v>0</v>
      </c>
      <c r="M1335" s="5">
        <f t="shared" ref="M1335:M1398" si="187">IF(B1335=2022,1,0)</f>
        <v>0</v>
      </c>
      <c r="N1335" s="5">
        <f t="shared" ref="N1335:N1398" si="188">IF(B1335=2023,1,0)</f>
        <v>1</v>
      </c>
      <c r="O1335" s="5">
        <f t="shared" ref="O1335:O1398" si="189">IF(B1335=2024,1,0)</f>
        <v>0</v>
      </c>
    </row>
    <row r="1336" spans="1:15" x14ac:dyDescent="0.25">
      <c r="A1336" t="s">
        <v>123</v>
      </c>
      <c r="B1336">
        <v>2023</v>
      </c>
      <c r="C1336" s="7">
        <f>'1_Du_lieu'!V415</f>
        <v>2.954910279033736</v>
      </c>
      <c r="D1336" s="9">
        <f>'1_Du_lieu'!Z415</f>
        <v>3.8565102954978872</v>
      </c>
      <c r="E1336" s="9">
        <f>'1_Du_lieu'!AA415</f>
        <v>3.649</v>
      </c>
      <c r="F1336" s="9">
        <f>'1_Du_lieu'!AB415</f>
        <v>20.27</v>
      </c>
      <c r="G1336" s="9">
        <f>'1_Du_lieu'!AC415</f>
        <v>21.5</v>
      </c>
      <c r="H1336" s="9">
        <f>'1_Du_lieu'!AE415</f>
        <v>2.1293562822706686</v>
      </c>
      <c r="I1336" s="9">
        <f>'1_Du_lieu'!AF415</f>
        <v>1.2787042463636848</v>
      </c>
      <c r="J1336" s="9">
        <f>'1_Du_lieu'!AG415</f>
        <v>7.59231569860476</v>
      </c>
      <c r="K1336" s="9">
        <f>'1_Du_lieu'!AD415</f>
        <v>17.3</v>
      </c>
      <c r="L1336" s="5">
        <f t="shared" si="186"/>
        <v>0</v>
      </c>
      <c r="M1336" s="5">
        <f t="shared" si="187"/>
        <v>0</v>
      </c>
      <c r="N1336" s="5">
        <f t="shared" si="188"/>
        <v>1</v>
      </c>
      <c r="O1336" s="5">
        <f t="shared" si="189"/>
        <v>0</v>
      </c>
    </row>
    <row r="1337" spans="1:15" x14ac:dyDescent="0.25">
      <c r="A1337" t="s">
        <v>124</v>
      </c>
      <c r="B1337">
        <v>2023</v>
      </c>
      <c r="C1337" s="7">
        <f>'1_Du_lieu'!V416</f>
        <v>2.9755295662364718</v>
      </c>
      <c r="D1337" s="9">
        <f>'1_Du_lieu'!Z416</f>
        <v>3.9357395320454622</v>
      </c>
      <c r="E1337" s="9">
        <f>'1_Du_lieu'!AA416</f>
        <v>3.8460000000000001</v>
      </c>
      <c r="F1337" s="9">
        <f>'1_Du_lieu'!AB416</f>
        <v>15.51</v>
      </c>
      <c r="G1337" s="9">
        <f>'1_Du_lieu'!AC416</f>
        <v>25.3</v>
      </c>
      <c r="H1337" s="9">
        <f>'1_Du_lieu'!AE416</f>
        <v>3.77716274361469</v>
      </c>
      <c r="I1337" s="9">
        <f>'1_Du_lieu'!AF416</f>
        <v>3.1578947368421053</v>
      </c>
      <c r="J1337" s="9">
        <f>'1_Du_lieu'!AG416</f>
        <v>6.6243307967829974</v>
      </c>
      <c r="K1337" s="9">
        <f>'1_Du_lieu'!AD416</f>
        <v>16.899999999999999</v>
      </c>
      <c r="L1337" s="5">
        <f t="shared" si="186"/>
        <v>0</v>
      </c>
      <c r="M1337" s="5">
        <f t="shared" si="187"/>
        <v>0</v>
      </c>
      <c r="N1337" s="5">
        <f t="shared" si="188"/>
        <v>1</v>
      </c>
      <c r="O1337" s="5">
        <f t="shared" si="189"/>
        <v>0</v>
      </c>
    </row>
    <row r="1338" spans="1:15" x14ac:dyDescent="0.25">
      <c r="A1338" t="s">
        <v>125</v>
      </c>
      <c r="B1338">
        <v>2023</v>
      </c>
      <c r="C1338" s="7">
        <f>'1_Du_lieu'!V417</f>
        <v>2.8903717578961645</v>
      </c>
      <c r="D1338" s="9">
        <f>'1_Du_lieu'!Z417</f>
        <v>4.3795235044557632</v>
      </c>
      <c r="E1338" s="9">
        <f>'1_Du_lieu'!AA417</f>
        <v>5.1070000000000002</v>
      </c>
      <c r="F1338" s="9">
        <f>'1_Du_lieu'!AB417</f>
        <v>21.61</v>
      </c>
      <c r="G1338" s="9">
        <f>'1_Du_lieu'!AC417</f>
        <v>31.8</v>
      </c>
      <c r="H1338" s="9">
        <f>'1_Du_lieu'!AE417</f>
        <v>3.6335609281497008</v>
      </c>
      <c r="I1338" s="9">
        <f>'1_Du_lieu'!AF417</f>
        <v>3.4626038781163437</v>
      </c>
      <c r="J1338" s="9">
        <f>'1_Du_lieu'!AG417</f>
        <v>7.369411666740044</v>
      </c>
      <c r="K1338" s="9">
        <f>'1_Du_lieu'!AD417</f>
        <v>26.9</v>
      </c>
      <c r="L1338" s="5">
        <f t="shared" si="186"/>
        <v>0</v>
      </c>
      <c r="M1338" s="5">
        <f t="shared" si="187"/>
        <v>0</v>
      </c>
      <c r="N1338" s="5">
        <f t="shared" si="188"/>
        <v>1</v>
      </c>
      <c r="O1338" s="5">
        <f t="shared" si="189"/>
        <v>0</v>
      </c>
    </row>
    <row r="1339" spans="1:15" x14ac:dyDescent="0.25">
      <c r="A1339" t="s">
        <v>126</v>
      </c>
      <c r="B1339">
        <v>2023</v>
      </c>
      <c r="C1339" s="7">
        <f>'1_Du_lieu'!V418</f>
        <v>2.6173958328340792</v>
      </c>
      <c r="D1339" s="9">
        <f>'1_Du_lieu'!Z418</f>
        <v>4.3528552573736015</v>
      </c>
      <c r="E1339" s="9">
        <f>'1_Du_lieu'!AA418</f>
        <v>4.9790000000000001</v>
      </c>
      <c r="F1339" s="9">
        <f>'1_Du_lieu'!AB418</f>
        <v>35.46</v>
      </c>
      <c r="G1339" s="9">
        <f>'1_Du_lieu'!AC418</f>
        <v>17.7</v>
      </c>
      <c r="H1339" s="9">
        <f>'1_Du_lieu'!AE418</f>
        <v>2.4245795033472342</v>
      </c>
      <c r="I1339" s="9">
        <f>'1_Du_lieu'!AF418</f>
        <v>1.0021713713044931</v>
      </c>
      <c r="J1339" s="9">
        <f>'1_Du_lieu'!AG418</f>
        <v>7.9721556229800576</v>
      </c>
      <c r="K1339" s="9">
        <f>'1_Du_lieu'!AD418</f>
        <v>21.3</v>
      </c>
      <c r="L1339" s="5">
        <f t="shared" si="186"/>
        <v>0</v>
      </c>
      <c r="M1339" s="5">
        <f t="shared" si="187"/>
        <v>0</v>
      </c>
      <c r="N1339" s="5">
        <f t="shared" si="188"/>
        <v>1</v>
      </c>
      <c r="O1339" s="5">
        <f t="shared" si="189"/>
        <v>0</v>
      </c>
    </row>
    <row r="1340" spans="1:15" x14ac:dyDescent="0.25">
      <c r="A1340" t="s">
        <v>127</v>
      </c>
      <c r="B1340">
        <v>2023</v>
      </c>
      <c r="C1340" s="7">
        <f>'1_Du_lieu'!V419</f>
        <v>2.8791984572980396</v>
      </c>
      <c r="D1340" s="9">
        <f>'1_Du_lieu'!Z419</f>
        <v>4.0876555740713041</v>
      </c>
      <c r="E1340" s="9">
        <f>'1_Du_lieu'!AA419</f>
        <v>4.0229999999999997</v>
      </c>
      <c r="F1340" s="9">
        <f>'1_Du_lieu'!AB419</f>
        <v>19.350000000000001</v>
      </c>
      <c r="G1340" s="9">
        <f>'1_Du_lieu'!AC419</f>
        <v>33.200000000000003</v>
      </c>
      <c r="H1340" s="9">
        <f>'1_Du_lieu'!AE419</f>
        <v>3.0242620052652658</v>
      </c>
      <c r="I1340" s="9">
        <f>'1_Du_lieu'!AF419</f>
        <v>1.3184784758388819</v>
      </c>
      <c r="J1340" s="9">
        <f>'1_Du_lieu'!AG419</f>
        <v>7.6338051792177906</v>
      </c>
      <c r="K1340" s="9">
        <f>'1_Du_lieu'!AD419</f>
        <v>23.8</v>
      </c>
      <c r="L1340" s="5">
        <f t="shared" si="186"/>
        <v>0</v>
      </c>
      <c r="M1340" s="5">
        <f t="shared" si="187"/>
        <v>0</v>
      </c>
      <c r="N1340" s="5">
        <f t="shared" si="188"/>
        <v>1</v>
      </c>
      <c r="O1340" s="5">
        <f t="shared" si="189"/>
        <v>0</v>
      </c>
    </row>
    <row r="1341" spans="1:15" x14ac:dyDescent="0.25">
      <c r="A1341" t="s">
        <v>128</v>
      </c>
      <c r="B1341">
        <v>2023</v>
      </c>
      <c r="C1341" s="7">
        <f>'1_Du_lieu'!V420</f>
        <v>2.5416019934645457</v>
      </c>
      <c r="D1341" s="9">
        <f>'1_Du_lieu'!Z420</f>
        <v>4.0500443033255209</v>
      </c>
      <c r="E1341" s="9">
        <f>'1_Du_lieu'!AA420</f>
        <v>3.7690000000000001</v>
      </c>
      <c r="F1341" s="9">
        <f>'1_Du_lieu'!AB420</f>
        <v>32.71</v>
      </c>
      <c r="G1341" s="9">
        <f>'1_Du_lieu'!AC420</f>
        <v>21.7</v>
      </c>
      <c r="H1341" s="9">
        <f>'1_Du_lieu'!AE420</f>
        <v>2.5091280035892085</v>
      </c>
      <c r="I1341" s="9">
        <f>'1_Du_lieu'!AF420</f>
        <v>0.45630846452201684</v>
      </c>
      <c r="J1341" s="9">
        <f>'1_Du_lieu'!AG420</f>
        <v>7.7502702911929058</v>
      </c>
      <c r="K1341" s="9">
        <f>'1_Du_lieu'!AD420</f>
        <v>20.7</v>
      </c>
      <c r="L1341" s="5">
        <f t="shared" si="186"/>
        <v>0</v>
      </c>
      <c r="M1341" s="5">
        <f t="shared" si="187"/>
        <v>0</v>
      </c>
      <c r="N1341" s="5">
        <f t="shared" si="188"/>
        <v>1</v>
      </c>
      <c r="O1341" s="5">
        <f t="shared" si="189"/>
        <v>0</v>
      </c>
    </row>
    <row r="1342" spans="1:15" x14ac:dyDescent="0.25">
      <c r="A1342" t="s">
        <v>129</v>
      </c>
      <c r="B1342">
        <v>2023</v>
      </c>
      <c r="C1342" s="7">
        <f>'1_Du_lieu'!V421</f>
        <v>2.5494451709255714</v>
      </c>
      <c r="D1342" s="9">
        <f>'1_Du_lieu'!Z421</f>
        <v>3.9945242269398897</v>
      </c>
      <c r="E1342" s="9">
        <f>'1_Du_lieu'!AA421</f>
        <v>5.5030000000000001</v>
      </c>
      <c r="F1342" s="9">
        <f>'1_Du_lieu'!AB421</f>
        <v>23.16</v>
      </c>
      <c r="G1342" s="9">
        <f>'1_Du_lieu'!AC421</f>
        <v>27</v>
      </c>
      <c r="H1342" s="9">
        <f>'1_Du_lieu'!AE421</f>
        <v>3.3856450372572775</v>
      </c>
      <c r="I1342" s="9">
        <f>'1_Du_lieu'!AF421</f>
        <v>0.87536929642192796</v>
      </c>
      <c r="J1342" s="9">
        <f>'1_Du_lieu'!AG421</f>
        <v>7.1086532213490274</v>
      </c>
      <c r="K1342" s="9">
        <f>'1_Du_lieu'!AD421</f>
        <v>14.7</v>
      </c>
      <c r="L1342" s="5">
        <f t="shared" si="186"/>
        <v>0</v>
      </c>
      <c r="M1342" s="5">
        <f t="shared" si="187"/>
        <v>0</v>
      </c>
      <c r="N1342" s="5">
        <f t="shared" si="188"/>
        <v>1</v>
      </c>
      <c r="O1342" s="5">
        <f t="shared" si="189"/>
        <v>0</v>
      </c>
    </row>
    <row r="1343" spans="1:15" x14ac:dyDescent="0.25">
      <c r="A1343" t="s">
        <v>130</v>
      </c>
      <c r="B1343">
        <v>2023</v>
      </c>
      <c r="C1343" s="7">
        <f>'1_Du_lieu'!V422</f>
        <v>2.8094026953624978</v>
      </c>
      <c r="D1343" s="9">
        <f>'1_Du_lieu'!Z422</f>
        <v>4.3656431554233572</v>
      </c>
      <c r="E1343" s="9">
        <f>'1_Du_lieu'!AA422</f>
        <v>5.4340000000000002</v>
      </c>
      <c r="F1343" s="9">
        <f>'1_Du_lieu'!AB422</f>
        <v>26.81</v>
      </c>
      <c r="G1343" s="9">
        <f>'1_Du_lieu'!AC422</f>
        <v>26.7</v>
      </c>
      <c r="H1343" s="9">
        <f>'1_Du_lieu'!AE422</f>
        <v>2.3764015542257981</v>
      </c>
      <c r="I1343" s="9">
        <f>'1_Du_lieu'!AF422</f>
        <v>0.13163090693694879</v>
      </c>
      <c r="J1343" s="9">
        <f>'1_Du_lieu'!AG422</f>
        <v>8.3366540451843729</v>
      </c>
      <c r="K1343" s="9">
        <f>'1_Du_lieu'!AD422</f>
        <v>20.9</v>
      </c>
      <c r="L1343" s="5">
        <f t="shared" si="186"/>
        <v>0</v>
      </c>
      <c r="M1343" s="5">
        <f t="shared" si="187"/>
        <v>0</v>
      </c>
      <c r="N1343" s="5">
        <f t="shared" si="188"/>
        <v>1</v>
      </c>
      <c r="O1343" s="5">
        <f t="shared" si="189"/>
        <v>0</v>
      </c>
    </row>
    <row r="1344" spans="1:15" x14ac:dyDescent="0.25">
      <c r="A1344" t="s">
        <v>131</v>
      </c>
      <c r="B1344">
        <v>2023</v>
      </c>
      <c r="C1344" s="7">
        <f>'1_Du_lieu'!V423</f>
        <v>2.6026896854443837</v>
      </c>
      <c r="D1344" s="9">
        <f>'1_Du_lieu'!Z423</f>
        <v>4.604169685654508</v>
      </c>
      <c r="E1344" s="9">
        <f>'1_Du_lieu'!AA423</f>
        <v>4.45</v>
      </c>
      <c r="F1344" s="9">
        <f>'1_Du_lieu'!AB423</f>
        <v>21.85</v>
      </c>
      <c r="G1344" s="9">
        <f>'1_Du_lieu'!AC423</f>
        <v>25.2</v>
      </c>
      <c r="H1344" s="9">
        <f>'1_Du_lieu'!AE423</f>
        <v>2.3807288593498392</v>
      </c>
      <c r="I1344" s="9">
        <f>'1_Du_lieu'!AF423</f>
        <v>0.80282594733461798</v>
      </c>
      <c r="J1344" s="9">
        <f>'1_Du_lieu'!AG423</f>
        <v>7.4471100488621014</v>
      </c>
      <c r="K1344" s="9">
        <f>'1_Du_lieu'!AD423</f>
        <v>21.8</v>
      </c>
      <c r="L1344" s="5">
        <f t="shared" si="186"/>
        <v>0</v>
      </c>
      <c r="M1344" s="5">
        <f t="shared" si="187"/>
        <v>0</v>
      </c>
      <c r="N1344" s="5">
        <f t="shared" si="188"/>
        <v>1</v>
      </c>
      <c r="O1344" s="5">
        <f t="shared" si="189"/>
        <v>0</v>
      </c>
    </row>
    <row r="1345" spans="1:15" x14ac:dyDescent="0.25">
      <c r="A1345" t="s">
        <v>132</v>
      </c>
      <c r="B1345">
        <v>2023</v>
      </c>
      <c r="C1345" s="7">
        <f>'1_Du_lieu'!V424</f>
        <v>3.0252910757955354</v>
      </c>
      <c r="D1345" s="9">
        <f>'1_Du_lieu'!Z424</f>
        <v>5.2745368378826329</v>
      </c>
      <c r="E1345" s="9">
        <f>'1_Du_lieu'!AA424</f>
        <v>7.27</v>
      </c>
      <c r="F1345" s="9">
        <f>'1_Du_lieu'!AB424</f>
        <v>67.36</v>
      </c>
      <c r="G1345" s="9">
        <f>'1_Du_lieu'!AC424</f>
        <v>41.8</v>
      </c>
      <c r="H1345" s="9">
        <f>'1_Du_lieu'!AE424</f>
        <v>3.7925772410767871</v>
      </c>
      <c r="I1345" s="9">
        <f>'1_Du_lieu'!AF424</f>
        <v>2.4213075060532687</v>
      </c>
      <c r="J1345" s="9">
        <f>'1_Du_lieu'!AG424</f>
        <v>8.9179807099732908</v>
      </c>
      <c r="K1345" s="9">
        <f>'1_Du_lieu'!AD424</f>
        <v>21.6</v>
      </c>
      <c r="L1345" s="5">
        <f t="shared" si="186"/>
        <v>0</v>
      </c>
      <c r="M1345" s="5">
        <f t="shared" si="187"/>
        <v>0</v>
      </c>
      <c r="N1345" s="5">
        <f t="shared" si="188"/>
        <v>1</v>
      </c>
      <c r="O1345" s="5">
        <f t="shared" si="189"/>
        <v>0</v>
      </c>
    </row>
    <row r="1346" spans="1:15" x14ac:dyDescent="0.25">
      <c r="A1346" t="s">
        <v>133</v>
      </c>
      <c r="B1346">
        <v>2023</v>
      </c>
      <c r="C1346" s="7">
        <f>'1_Du_lieu'!V425</f>
        <v>2.6100697927420065</v>
      </c>
      <c r="D1346" s="9">
        <f>'1_Du_lieu'!Z425</f>
        <v>4.2076732475291037</v>
      </c>
      <c r="E1346" s="9">
        <f>'1_Du_lieu'!AA425</f>
        <v>5.0279999999999996</v>
      </c>
      <c r="F1346" s="9">
        <f>'1_Du_lieu'!AB425</f>
        <v>32.659999999999997</v>
      </c>
      <c r="G1346" s="9">
        <f>'1_Du_lieu'!AC425</f>
        <v>27.1</v>
      </c>
      <c r="H1346" s="9">
        <f>'1_Du_lieu'!AE425</f>
        <v>2.9230508924444827</v>
      </c>
      <c r="I1346" s="9">
        <f>'1_Du_lieu'!AF425</f>
        <v>6.145337225380243</v>
      </c>
      <c r="J1346" s="9">
        <f>'1_Du_lieu'!AG425</f>
        <v>8.2633326674399665</v>
      </c>
      <c r="K1346" s="9">
        <f>'1_Du_lieu'!AD425</f>
        <v>28.4</v>
      </c>
      <c r="L1346" s="5">
        <f t="shared" si="186"/>
        <v>0</v>
      </c>
      <c r="M1346" s="5">
        <f t="shared" si="187"/>
        <v>0</v>
      </c>
      <c r="N1346" s="5">
        <f t="shared" si="188"/>
        <v>1</v>
      </c>
      <c r="O1346" s="5">
        <f t="shared" si="189"/>
        <v>0</v>
      </c>
    </row>
    <row r="1347" spans="1:15" x14ac:dyDescent="0.25">
      <c r="A1347" t="s">
        <v>134</v>
      </c>
      <c r="B1347">
        <v>2023</v>
      </c>
      <c r="C1347" s="7">
        <f>'1_Du_lieu'!V426</f>
        <v>2.388762789235098</v>
      </c>
      <c r="D1347" s="9">
        <f>'1_Du_lieu'!Z426</f>
        <v>4.0127729085282891</v>
      </c>
      <c r="E1347" s="9">
        <f>'1_Du_lieu'!AA426</f>
        <v>2.4169999999999998</v>
      </c>
      <c r="F1347" s="9">
        <f>'1_Du_lieu'!AB426</f>
        <v>33.869999999999997</v>
      </c>
      <c r="G1347" s="9">
        <f>'1_Du_lieu'!AC426</f>
        <v>12</v>
      </c>
      <c r="H1347" s="9">
        <f>'1_Du_lieu'!AE426</f>
        <v>1.643401242131352</v>
      </c>
      <c r="I1347" s="9">
        <f>'1_Du_lieu'!AF426</f>
        <v>3.6734012355985972</v>
      </c>
      <c r="J1347" s="9">
        <f>'1_Du_lieu'!AG426</f>
        <v>5.653891705042736</v>
      </c>
      <c r="K1347" s="9">
        <f>'1_Du_lieu'!AD426</f>
        <v>15.8</v>
      </c>
      <c r="L1347" s="5">
        <f t="shared" si="186"/>
        <v>0</v>
      </c>
      <c r="M1347" s="5">
        <f t="shared" si="187"/>
        <v>0</v>
      </c>
      <c r="N1347" s="5">
        <f t="shared" si="188"/>
        <v>1</v>
      </c>
      <c r="O1347" s="5">
        <f t="shared" si="189"/>
        <v>0</v>
      </c>
    </row>
    <row r="1348" spans="1:15" x14ac:dyDescent="0.25">
      <c r="A1348" t="s">
        <v>136</v>
      </c>
      <c r="B1348">
        <v>2023</v>
      </c>
      <c r="C1348" s="7">
        <f>'1_Du_lieu'!V428</f>
        <v>4.4908810395859637</v>
      </c>
      <c r="D1348" s="9">
        <f>'1_Du_lieu'!Z428</f>
        <v>5.072043922224899</v>
      </c>
      <c r="E1348" s="9">
        <f>'1_Du_lieu'!AA428</f>
        <v>29.187999999999999</v>
      </c>
      <c r="F1348" s="9">
        <f>'1_Du_lieu'!AB428</f>
        <v>77.72</v>
      </c>
      <c r="G1348" s="9">
        <f>'1_Du_lieu'!AC428</f>
        <v>35.6</v>
      </c>
      <c r="H1348" s="9">
        <f>'1_Du_lieu'!AE428</f>
        <v>2.6717863427103232</v>
      </c>
      <c r="I1348" s="9">
        <f>'1_Du_lieu'!AF428</f>
        <v>3.0565406775509332</v>
      </c>
      <c r="J1348" s="9">
        <f>'1_Du_lieu'!AG428</f>
        <v>8.6980803866720127</v>
      </c>
      <c r="K1348" s="9">
        <f>'1_Du_lieu'!AD428</f>
        <v>54.4</v>
      </c>
      <c r="L1348" s="5">
        <f t="shared" si="186"/>
        <v>0</v>
      </c>
      <c r="M1348" s="5">
        <f t="shared" si="187"/>
        <v>0</v>
      </c>
      <c r="N1348" s="5">
        <f t="shared" si="188"/>
        <v>1</v>
      </c>
      <c r="O1348" s="5">
        <f t="shared" si="189"/>
        <v>0</v>
      </c>
    </row>
    <row r="1349" spans="1:15" x14ac:dyDescent="0.25">
      <c r="A1349" t="s">
        <v>137</v>
      </c>
      <c r="B1349">
        <v>2023</v>
      </c>
      <c r="C1349" s="7">
        <f>'1_Du_lieu'!V429</f>
        <v>2.917770732084279</v>
      </c>
      <c r="D1349" s="9">
        <f>'1_Du_lieu'!Z429</f>
        <v>4.2355547307736243</v>
      </c>
      <c r="E1349" s="9">
        <f>'1_Du_lieu'!AA429</f>
        <v>4.1630000000000003</v>
      </c>
      <c r="F1349" s="9">
        <f>'1_Du_lieu'!AB429</f>
        <v>27.67</v>
      </c>
      <c r="G1349" s="9">
        <f>'1_Du_lieu'!AC429</f>
        <v>26.4</v>
      </c>
      <c r="H1349" s="9">
        <f>'1_Du_lieu'!AE429</f>
        <v>2.7374847486813603</v>
      </c>
      <c r="I1349" s="9">
        <f>'1_Du_lieu'!AF429</f>
        <v>0.77913006098707716</v>
      </c>
      <c r="J1349" s="9">
        <f>'1_Du_lieu'!AG429</f>
        <v>8.2918221611116767</v>
      </c>
      <c r="K1349" s="9">
        <f>'1_Du_lieu'!AD429</f>
        <v>18</v>
      </c>
      <c r="L1349" s="5">
        <f t="shared" si="186"/>
        <v>0</v>
      </c>
      <c r="M1349" s="5">
        <f t="shared" si="187"/>
        <v>0</v>
      </c>
      <c r="N1349" s="5">
        <f t="shared" si="188"/>
        <v>1</v>
      </c>
      <c r="O1349" s="5">
        <f t="shared" si="189"/>
        <v>0</v>
      </c>
    </row>
    <row r="1350" spans="1:15" x14ac:dyDescent="0.25">
      <c r="A1350" t="s">
        <v>138</v>
      </c>
      <c r="B1350">
        <v>2023</v>
      </c>
      <c r="C1350" s="7">
        <f>'1_Du_lieu'!V430</f>
        <v>2.7343675094195836</v>
      </c>
      <c r="D1350" s="9">
        <f>'1_Du_lieu'!Z430</f>
        <v>4.0552571735140539</v>
      </c>
      <c r="E1350" s="9">
        <f>'1_Du_lieu'!AA430</f>
        <v>3.1579999999999999</v>
      </c>
      <c r="F1350" s="9">
        <f>'1_Du_lieu'!AB430</f>
        <v>11.76</v>
      </c>
      <c r="G1350" s="9">
        <f>'1_Du_lieu'!AC430</f>
        <v>19.600000000000001</v>
      </c>
      <c r="H1350" s="9">
        <f>'1_Du_lieu'!AE430</f>
        <v>1.7666759542316288</v>
      </c>
      <c r="I1350" s="9">
        <f>'1_Du_lieu'!AF430</f>
        <v>0.90497737556561098</v>
      </c>
      <c r="J1350" s="9">
        <f>'1_Du_lieu'!AG430</f>
        <v>6.9571167085198606</v>
      </c>
      <c r="K1350" s="9">
        <f>'1_Du_lieu'!AD430</f>
        <v>14.8</v>
      </c>
      <c r="L1350" s="5">
        <f t="shared" si="186"/>
        <v>0</v>
      </c>
      <c r="M1350" s="5">
        <f t="shared" si="187"/>
        <v>0</v>
      </c>
      <c r="N1350" s="5">
        <f t="shared" si="188"/>
        <v>1</v>
      </c>
      <c r="O1350" s="5">
        <f t="shared" si="189"/>
        <v>0</v>
      </c>
    </row>
    <row r="1351" spans="1:15" x14ac:dyDescent="0.25">
      <c r="A1351" t="s">
        <v>139</v>
      </c>
      <c r="B1351">
        <v>2023</v>
      </c>
      <c r="C1351" s="7">
        <f>'1_Du_lieu'!V431</f>
        <v>2.8390784635086144</v>
      </c>
      <c r="D1351" s="9">
        <f>'1_Du_lieu'!Z431</f>
        <v>4.6830567246451622</v>
      </c>
      <c r="E1351" s="9">
        <f>'1_Du_lieu'!AA431</f>
        <v>4.07</v>
      </c>
      <c r="F1351" s="9">
        <f>'1_Du_lieu'!AB431</f>
        <v>39.340000000000003</v>
      </c>
      <c r="G1351" s="9">
        <f>'1_Du_lieu'!AC431</f>
        <v>35.9</v>
      </c>
      <c r="H1351" s="9">
        <f>'1_Du_lieu'!AE431</f>
        <v>3.6128782814979066</v>
      </c>
      <c r="I1351" s="9">
        <f>'1_Du_lieu'!AF431</f>
        <v>1.721556886227545</v>
      </c>
      <c r="J1351" s="9">
        <f>'1_Du_lieu'!AG431</f>
        <v>8.9680394851202792</v>
      </c>
      <c r="K1351" s="9">
        <f>'1_Du_lieu'!AD431</f>
        <v>27.6</v>
      </c>
      <c r="L1351" s="5">
        <f t="shared" si="186"/>
        <v>0</v>
      </c>
      <c r="M1351" s="5">
        <f t="shared" si="187"/>
        <v>0</v>
      </c>
      <c r="N1351" s="5">
        <f t="shared" si="188"/>
        <v>1</v>
      </c>
      <c r="O1351" s="5">
        <f t="shared" si="189"/>
        <v>0</v>
      </c>
    </row>
    <row r="1352" spans="1:15" x14ac:dyDescent="0.25">
      <c r="A1352" t="s">
        <v>141</v>
      </c>
      <c r="B1352">
        <v>2023</v>
      </c>
      <c r="C1352" s="7">
        <f>'1_Du_lieu'!V433</f>
        <v>2.5176964726109912</v>
      </c>
      <c r="D1352" s="9">
        <f>'1_Du_lieu'!Z433</f>
        <v>4.1415461637063951</v>
      </c>
      <c r="E1352" s="9">
        <f>'1_Du_lieu'!AA433</f>
        <v>3.0979999999999999</v>
      </c>
      <c r="F1352" s="9">
        <f>'1_Du_lieu'!AB433</f>
        <v>15.23</v>
      </c>
      <c r="G1352" s="9">
        <f>'1_Du_lieu'!AC433</f>
        <v>13.3</v>
      </c>
      <c r="H1352" s="9">
        <f>'1_Du_lieu'!AE433</f>
        <v>0.44651114206029646</v>
      </c>
      <c r="I1352" s="9">
        <f>'1_Du_lieu'!AF433</f>
        <v>0.84024198969303154</v>
      </c>
      <c r="J1352" s="9">
        <f>'1_Du_lieu'!AG433</f>
        <v>7.3583849390446749</v>
      </c>
      <c r="K1352" s="9">
        <f>'1_Du_lieu'!AD433</f>
        <v>18.100000000000001</v>
      </c>
      <c r="L1352" s="5">
        <f t="shared" si="186"/>
        <v>0</v>
      </c>
      <c r="M1352" s="5">
        <f t="shared" si="187"/>
        <v>0</v>
      </c>
      <c r="N1352" s="5">
        <f t="shared" si="188"/>
        <v>1</v>
      </c>
      <c r="O1352" s="5">
        <f t="shared" si="189"/>
        <v>0</v>
      </c>
    </row>
    <row r="1353" spans="1:15" x14ac:dyDescent="0.25">
      <c r="A1353" t="s">
        <v>142</v>
      </c>
      <c r="B1353">
        <v>2023</v>
      </c>
      <c r="C1353" s="7">
        <f>'1_Du_lieu'!V434</f>
        <v>2.4159137783010487</v>
      </c>
      <c r="D1353" s="9">
        <f>'1_Du_lieu'!Z434</f>
        <v>4.2835865618606288</v>
      </c>
      <c r="E1353" s="9">
        <f>'1_Du_lieu'!AA434</f>
        <v>2.577</v>
      </c>
      <c r="F1353" s="9">
        <f>'1_Du_lieu'!AB434</f>
        <v>18.14</v>
      </c>
      <c r="G1353" s="9">
        <f>'1_Du_lieu'!AC434</f>
        <v>12.1</v>
      </c>
      <c r="H1353" s="9">
        <f>'1_Du_lieu'!AE434</f>
        <v>1.5680966359832049</v>
      </c>
      <c r="I1353" s="9">
        <f>'1_Du_lieu'!AF434</f>
        <v>0.88295889335818711</v>
      </c>
      <c r="J1353" s="9">
        <f>'1_Du_lieu'!AG434</f>
        <v>8.0483408991276697</v>
      </c>
      <c r="K1353" s="9">
        <f>'1_Du_lieu'!AD434</f>
        <v>14.4</v>
      </c>
      <c r="L1353" s="5">
        <f t="shared" si="186"/>
        <v>0</v>
      </c>
      <c r="M1353" s="5">
        <f t="shared" si="187"/>
        <v>0</v>
      </c>
      <c r="N1353" s="5">
        <f t="shared" si="188"/>
        <v>1</v>
      </c>
      <c r="O1353" s="5">
        <f t="shared" si="189"/>
        <v>0</v>
      </c>
    </row>
    <row r="1354" spans="1:15" x14ac:dyDescent="0.25">
      <c r="A1354" t="s">
        <v>143</v>
      </c>
      <c r="B1354">
        <v>2023</v>
      </c>
      <c r="C1354" s="7">
        <f>'1_Du_lieu'!V435</f>
        <v>2.5416019934645457</v>
      </c>
      <c r="D1354" s="9">
        <f>'1_Du_lieu'!Z435</f>
        <v>3.9180050771056933</v>
      </c>
      <c r="E1354" s="9">
        <f>'1_Du_lieu'!AA435</f>
        <v>2.1779999999999999</v>
      </c>
      <c r="F1354" s="9">
        <f>'1_Du_lieu'!AB435</f>
        <v>14.95</v>
      </c>
      <c r="G1354" s="9">
        <f>'1_Du_lieu'!AC435</f>
        <v>21.6</v>
      </c>
      <c r="H1354" s="9">
        <f>'1_Du_lieu'!AE435</f>
        <v>2.9575594103206555</v>
      </c>
      <c r="I1354" s="9">
        <f>'1_Du_lieu'!AF435</f>
        <v>0.74460163812360391</v>
      </c>
      <c r="J1354" s="9">
        <f>'1_Du_lieu'!AG435</f>
        <v>5.5610661724546055</v>
      </c>
      <c r="K1354" s="9">
        <f>'1_Du_lieu'!AD435</f>
        <v>11.2</v>
      </c>
      <c r="L1354" s="5">
        <f t="shared" si="186"/>
        <v>0</v>
      </c>
      <c r="M1354" s="5">
        <f t="shared" si="187"/>
        <v>0</v>
      </c>
      <c r="N1354" s="5">
        <f t="shared" si="188"/>
        <v>1</v>
      </c>
      <c r="O1354" s="5">
        <f t="shared" si="189"/>
        <v>0</v>
      </c>
    </row>
    <row r="1355" spans="1:15" x14ac:dyDescent="0.25">
      <c r="A1355" t="s">
        <v>144</v>
      </c>
      <c r="B1355">
        <v>2023</v>
      </c>
      <c r="C1355" s="7">
        <f>'1_Du_lieu'!V436</f>
        <v>2.6810215287142909</v>
      </c>
      <c r="D1355" s="9">
        <f>'1_Du_lieu'!Z436</f>
        <v>4.4636066216663046</v>
      </c>
      <c r="E1355" s="9">
        <f>'1_Du_lieu'!AA436</f>
        <v>4.1470000000000002</v>
      </c>
      <c r="F1355" s="9">
        <f>'1_Du_lieu'!AB436</f>
        <v>32.53</v>
      </c>
      <c r="G1355" s="9">
        <f>'1_Du_lieu'!AC436</f>
        <v>17.8</v>
      </c>
      <c r="H1355" s="9">
        <f>'1_Du_lieu'!AE436</f>
        <v>2.6343838610623203</v>
      </c>
      <c r="I1355" s="9">
        <f>'1_Du_lieu'!AF436</f>
        <v>1.177658142664872</v>
      </c>
      <c r="J1355" s="9">
        <f>'1_Du_lieu'!AG436</f>
        <v>8.9512716711684792</v>
      </c>
      <c r="K1355" s="9">
        <f>'1_Du_lieu'!AD436</f>
        <v>20.399999999999999</v>
      </c>
      <c r="L1355" s="5">
        <f t="shared" si="186"/>
        <v>0</v>
      </c>
      <c r="M1355" s="5">
        <f t="shared" si="187"/>
        <v>0</v>
      </c>
      <c r="N1355" s="5">
        <f t="shared" si="188"/>
        <v>1</v>
      </c>
      <c r="O1355" s="5">
        <f t="shared" si="189"/>
        <v>0</v>
      </c>
    </row>
    <row r="1356" spans="1:15" x14ac:dyDescent="0.25">
      <c r="A1356" t="s">
        <v>145</v>
      </c>
      <c r="B1356">
        <v>2023</v>
      </c>
      <c r="C1356" s="7">
        <f>'1_Du_lieu'!V437</f>
        <v>2.3702437414678603</v>
      </c>
      <c r="D1356" s="9">
        <f>'1_Du_lieu'!Z437</f>
        <v>4.2282925347318399</v>
      </c>
      <c r="E1356" s="9">
        <f>'1_Du_lieu'!AA437</f>
        <v>2.7959999999999998</v>
      </c>
      <c r="F1356" s="9">
        <f>'1_Du_lieu'!AB437</f>
        <v>22.74</v>
      </c>
      <c r="G1356" s="9">
        <f>'1_Du_lieu'!AC437</f>
        <v>14.5</v>
      </c>
      <c r="H1356" s="9">
        <f>'1_Du_lieu'!AE437</f>
        <v>0.70397481921200866</v>
      </c>
      <c r="I1356" s="9">
        <f>'1_Du_lieu'!AF437</f>
        <v>0.58320373250388802</v>
      </c>
      <c r="J1356" s="9">
        <f>'1_Du_lieu'!AG437</f>
        <v>6.890507385572584</v>
      </c>
      <c r="K1356" s="9">
        <f>'1_Du_lieu'!AD437</f>
        <v>22.2</v>
      </c>
      <c r="L1356" s="5">
        <f t="shared" si="186"/>
        <v>0</v>
      </c>
      <c r="M1356" s="5">
        <f t="shared" si="187"/>
        <v>0</v>
      </c>
      <c r="N1356" s="5">
        <f t="shared" si="188"/>
        <v>1</v>
      </c>
      <c r="O1356" s="5">
        <f t="shared" si="189"/>
        <v>0</v>
      </c>
    </row>
    <row r="1357" spans="1:15" x14ac:dyDescent="0.25">
      <c r="A1357" t="s">
        <v>146</v>
      </c>
      <c r="B1357">
        <v>2023</v>
      </c>
      <c r="C1357" s="7">
        <f>'1_Du_lieu'!V438</f>
        <v>2.9755295662364718</v>
      </c>
      <c r="D1357" s="9">
        <f>'1_Du_lieu'!Z438</f>
        <v>4.8528112089026889</v>
      </c>
      <c r="E1357" s="9">
        <f>'1_Du_lieu'!AA438</f>
        <v>7.5990000000000002</v>
      </c>
      <c r="F1357" s="9">
        <f>'1_Du_lieu'!AB438</f>
        <v>30.58</v>
      </c>
      <c r="G1357" s="9">
        <f>'1_Du_lieu'!AC438</f>
        <v>34.9</v>
      </c>
      <c r="H1357" s="9">
        <f>'1_Du_lieu'!AE438</f>
        <v>2.8517494702672472</v>
      </c>
      <c r="I1357" s="9">
        <f>'1_Du_lieu'!AF438</f>
        <v>0.75150300601202413</v>
      </c>
      <c r="J1357" s="9">
        <f>'1_Du_lieu'!AG438</f>
        <v>8.6360068069538105</v>
      </c>
      <c r="K1357" s="9">
        <f>'1_Du_lieu'!AD438</f>
        <v>34.9</v>
      </c>
      <c r="L1357" s="5">
        <f t="shared" si="186"/>
        <v>0</v>
      </c>
      <c r="M1357" s="5">
        <f t="shared" si="187"/>
        <v>0</v>
      </c>
      <c r="N1357" s="5">
        <f t="shared" si="188"/>
        <v>1</v>
      </c>
      <c r="O1357" s="5">
        <f t="shared" si="189"/>
        <v>0</v>
      </c>
    </row>
    <row r="1358" spans="1:15" x14ac:dyDescent="0.25">
      <c r="A1358" t="s">
        <v>147</v>
      </c>
      <c r="B1358">
        <v>2023</v>
      </c>
      <c r="C1358" s="7">
        <f>'1_Du_lieu'!V439</f>
        <v>2.5877640352277083</v>
      </c>
      <c r="D1358" s="9">
        <f>'1_Du_lieu'!Z439</f>
        <v>3.8607297110405954</v>
      </c>
      <c r="E1358" s="9">
        <f>'1_Du_lieu'!AA439</f>
        <v>2.3839999999999999</v>
      </c>
      <c r="F1358" s="9">
        <f>'1_Du_lieu'!AB439</f>
        <v>20.85</v>
      </c>
      <c r="G1358" s="9">
        <f>'1_Du_lieu'!AC439</f>
        <v>22.9</v>
      </c>
      <c r="H1358" s="9">
        <f>'1_Du_lieu'!AE439</f>
        <v>2.4947338729350159</v>
      </c>
      <c r="I1358" s="9">
        <f>'1_Du_lieu'!AF439</f>
        <v>0.35410764872521244</v>
      </c>
      <c r="J1358" s="9">
        <f>'1_Du_lieu'!AG439</f>
        <v>6.2921245408500202</v>
      </c>
      <c r="K1358" s="9">
        <f>'1_Du_lieu'!AD439</f>
        <v>14.2</v>
      </c>
      <c r="L1358" s="5">
        <f t="shared" si="186"/>
        <v>0</v>
      </c>
      <c r="M1358" s="5">
        <f t="shared" si="187"/>
        <v>0</v>
      </c>
      <c r="N1358" s="5">
        <f t="shared" si="188"/>
        <v>1</v>
      </c>
      <c r="O1358" s="5">
        <f t="shared" si="189"/>
        <v>0</v>
      </c>
    </row>
    <row r="1359" spans="1:15" x14ac:dyDescent="0.25">
      <c r="A1359" t="s">
        <v>149</v>
      </c>
      <c r="B1359">
        <v>2023</v>
      </c>
      <c r="C1359" s="7">
        <f>'1_Du_lieu'!V441</f>
        <v>3.6763006719070761</v>
      </c>
      <c r="D1359" s="9">
        <f>'1_Du_lieu'!Z441</f>
        <v>4.6337576428400036</v>
      </c>
      <c r="E1359" s="9">
        <f>'1_Du_lieu'!AA441</f>
        <v>20.832000000000001</v>
      </c>
      <c r="F1359" s="9">
        <f>'1_Du_lieu'!AB441</f>
        <v>87.45</v>
      </c>
      <c r="G1359" s="9">
        <f>'1_Du_lieu'!AC441</f>
        <v>48.5</v>
      </c>
      <c r="H1359" s="9">
        <f>'1_Du_lieu'!AE441</f>
        <v>3.2637573604553918</v>
      </c>
      <c r="I1359" s="9">
        <f>'1_Du_lieu'!AF441</f>
        <v>6.6382560236026871</v>
      </c>
      <c r="J1359" s="9">
        <f>'1_Du_lieu'!AG441</f>
        <v>8.5247843058620507</v>
      </c>
      <c r="K1359" s="9">
        <f>'1_Du_lieu'!AD441</f>
        <v>53.1</v>
      </c>
      <c r="L1359" s="5">
        <f t="shared" si="186"/>
        <v>0</v>
      </c>
      <c r="M1359" s="5">
        <f t="shared" si="187"/>
        <v>0</v>
      </c>
      <c r="N1359" s="5">
        <f t="shared" si="188"/>
        <v>1</v>
      </c>
      <c r="O1359" s="5">
        <f t="shared" si="189"/>
        <v>0</v>
      </c>
    </row>
    <row r="1360" spans="1:15" x14ac:dyDescent="0.25">
      <c r="A1360" t="s">
        <v>150</v>
      </c>
      <c r="B1360">
        <v>2023</v>
      </c>
      <c r="C1360" s="7">
        <f>'1_Du_lieu'!V442</f>
        <v>2.9338568698359038</v>
      </c>
      <c r="D1360" s="9">
        <f>'1_Du_lieu'!Z442</f>
        <v>4.0377742107337067</v>
      </c>
      <c r="E1360" s="9">
        <f>'1_Du_lieu'!AA442</f>
        <v>3.843</v>
      </c>
      <c r="F1360" s="9">
        <f>'1_Du_lieu'!AB442</f>
        <v>24.93</v>
      </c>
      <c r="G1360" s="9">
        <f>'1_Du_lieu'!AC442</f>
        <v>18</v>
      </c>
      <c r="H1360" s="9">
        <f>'1_Du_lieu'!AE442</f>
        <v>2.5445823186536418</v>
      </c>
      <c r="I1360" s="9">
        <f>'1_Du_lieu'!AF442</f>
        <v>0.57339449541284393</v>
      </c>
      <c r="J1360" s="9">
        <f>'1_Du_lieu'!AG442</f>
        <v>5.824819469699035</v>
      </c>
      <c r="K1360" s="9">
        <f>'1_Du_lieu'!AD442</f>
        <v>30.1</v>
      </c>
      <c r="L1360" s="5">
        <f t="shared" si="186"/>
        <v>0</v>
      </c>
      <c r="M1360" s="5">
        <f t="shared" si="187"/>
        <v>0</v>
      </c>
      <c r="N1360" s="5">
        <f t="shared" si="188"/>
        <v>1</v>
      </c>
      <c r="O1360" s="5">
        <f t="shared" si="189"/>
        <v>0</v>
      </c>
    </row>
    <row r="1361" spans="1:15" x14ac:dyDescent="0.25">
      <c r="A1361" t="s">
        <v>151</v>
      </c>
      <c r="B1361">
        <v>2023</v>
      </c>
      <c r="C1361" s="7">
        <f>'1_Du_lieu'!V443</f>
        <v>2.3608540011180215</v>
      </c>
      <c r="D1361" s="9">
        <f>'1_Du_lieu'!Z443</f>
        <v>4.0993321037331398</v>
      </c>
      <c r="E1361" s="9">
        <f>'1_Du_lieu'!AA443</f>
        <v>3.8260000000000001</v>
      </c>
      <c r="F1361" s="9">
        <f>'1_Du_lieu'!AB443</f>
        <v>16.760000000000002</v>
      </c>
      <c r="G1361" s="9">
        <f>'1_Du_lieu'!AC443</f>
        <v>14.7</v>
      </c>
      <c r="H1361" s="9">
        <f>'1_Du_lieu'!AE443</f>
        <v>1.0702283601634406</v>
      </c>
      <c r="I1361" s="9">
        <f>'1_Du_lieu'!AF443</f>
        <v>0.44736057262153295</v>
      </c>
      <c r="J1361" s="9">
        <f>'1_Du_lieu'!AG443</f>
        <v>6.1444002033786953</v>
      </c>
      <c r="K1361" s="9">
        <f>'1_Du_lieu'!AD443</f>
        <v>21.2</v>
      </c>
      <c r="L1361" s="5">
        <f t="shared" si="186"/>
        <v>0</v>
      </c>
      <c r="M1361" s="5">
        <f t="shared" si="187"/>
        <v>0</v>
      </c>
      <c r="N1361" s="5">
        <f t="shared" si="188"/>
        <v>1</v>
      </c>
      <c r="O1361" s="5">
        <f t="shared" si="189"/>
        <v>0</v>
      </c>
    </row>
    <row r="1362" spans="1:15" x14ac:dyDescent="0.25">
      <c r="A1362" t="s">
        <v>152</v>
      </c>
      <c r="B1362">
        <v>2023</v>
      </c>
      <c r="C1362" s="7">
        <f>'1_Du_lieu'!V444</f>
        <v>3.2542429687054919</v>
      </c>
      <c r="D1362" s="9">
        <f>'1_Du_lieu'!Z444</f>
        <v>4.8613615913485013</v>
      </c>
      <c r="E1362" s="9">
        <f>'1_Du_lieu'!AA444</f>
        <v>7.9390000000000001</v>
      </c>
      <c r="F1362" s="9">
        <f>'1_Du_lieu'!AB444</f>
        <v>45.16</v>
      </c>
      <c r="G1362" s="9">
        <f>'1_Du_lieu'!AC444</f>
        <v>22.3</v>
      </c>
      <c r="H1362" s="9">
        <f>'1_Du_lieu'!AE444</f>
        <v>2.7502634504879695</v>
      </c>
      <c r="I1362" s="9">
        <f>'1_Du_lieu'!AF444</f>
        <v>0.55285951225505248</v>
      </c>
      <c r="J1362" s="9">
        <f>'1_Du_lieu'!AG444</f>
        <v>9.2943046111532688</v>
      </c>
      <c r="K1362" s="9">
        <f>'1_Du_lieu'!AD444</f>
        <v>26.5</v>
      </c>
      <c r="L1362" s="5">
        <f t="shared" si="186"/>
        <v>0</v>
      </c>
      <c r="M1362" s="5">
        <f t="shared" si="187"/>
        <v>0</v>
      </c>
      <c r="N1362" s="5">
        <f t="shared" si="188"/>
        <v>1</v>
      </c>
      <c r="O1362" s="5">
        <f t="shared" si="189"/>
        <v>0</v>
      </c>
    </row>
    <row r="1363" spans="1:15" x14ac:dyDescent="0.25">
      <c r="A1363" t="s">
        <v>153</v>
      </c>
      <c r="B1363">
        <v>2023</v>
      </c>
      <c r="C1363" s="7">
        <f>'1_Du_lieu'!V445</f>
        <v>2.7536607123542622</v>
      </c>
      <c r="D1363" s="9">
        <f>'1_Du_lieu'!Z445</f>
        <v>4.1303549997451334</v>
      </c>
      <c r="E1363" s="9">
        <f>'1_Du_lieu'!AA445</f>
        <v>2.4900000000000002</v>
      </c>
      <c r="F1363" s="9">
        <f>'1_Du_lieu'!AB445</f>
        <v>20.239999999999998</v>
      </c>
      <c r="G1363" s="9">
        <f>'1_Du_lieu'!AC445</f>
        <v>14.4</v>
      </c>
      <c r="H1363" s="9">
        <f>'1_Du_lieu'!AE445</f>
        <v>0.70929530997063683</v>
      </c>
      <c r="I1363" s="9">
        <f>'1_Du_lieu'!AF445</f>
        <v>0.62492188476440447</v>
      </c>
      <c r="J1363" s="9">
        <f>'1_Du_lieu'!AG445</f>
        <v>4.9815497132011588</v>
      </c>
      <c r="K1363" s="9">
        <f>'1_Du_lieu'!AD445</f>
        <v>14.7</v>
      </c>
      <c r="L1363" s="5">
        <f t="shared" si="186"/>
        <v>0</v>
      </c>
      <c r="M1363" s="5">
        <f t="shared" si="187"/>
        <v>0</v>
      </c>
      <c r="N1363" s="5">
        <f t="shared" si="188"/>
        <v>1</v>
      </c>
      <c r="O1363" s="5">
        <f t="shared" si="189"/>
        <v>0</v>
      </c>
    </row>
    <row r="1364" spans="1:15" x14ac:dyDescent="0.25">
      <c r="A1364" t="s">
        <v>85</v>
      </c>
      <c r="B1364">
        <v>2024</v>
      </c>
      <c r="C1364" s="7">
        <f>'1_Du_lieu'!V446</f>
        <v>2.7725887222397811</v>
      </c>
      <c r="D1364" s="9">
        <f>'1_Du_lieu'!Z446</f>
        <v>4.0724397268340509</v>
      </c>
      <c r="E1364" s="9">
        <f>'1_Du_lieu'!AA446</f>
        <v>2.7010000000000001</v>
      </c>
      <c r="F1364" s="9">
        <f>'1_Du_lieu'!AB446</f>
        <v>37</v>
      </c>
      <c r="G1364" s="9">
        <f>'1_Du_lieu'!AC446</f>
        <v>15.5</v>
      </c>
      <c r="H1364" s="9">
        <f>'1_Du_lieu'!AE446</f>
        <v>1.8285635406587724</v>
      </c>
      <c r="I1364" s="9">
        <f>'1_Du_lieu'!AF446</f>
        <v>0.52457640455332322</v>
      </c>
      <c r="J1364" s="9">
        <f>'1_Du_lieu'!AG446</f>
        <v>4.9572345173691401</v>
      </c>
      <c r="K1364" s="9">
        <f>'1_Du_lieu'!AD446</f>
        <v>18</v>
      </c>
      <c r="L1364" s="5">
        <f t="shared" si="186"/>
        <v>0</v>
      </c>
      <c r="M1364" s="5">
        <f t="shared" si="187"/>
        <v>0</v>
      </c>
      <c r="N1364" s="5">
        <f t="shared" si="188"/>
        <v>0</v>
      </c>
      <c r="O1364" s="5">
        <f t="shared" si="189"/>
        <v>1</v>
      </c>
    </row>
    <row r="1365" spans="1:15" x14ac:dyDescent="0.25">
      <c r="A1365" t="s">
        <v>87</v>
      </c>
      <c r="B1365">
        <v>2024</v>
      </c>
      <c r="C1365" s="7">
        <f>'1_Du_lieu'!V447</f>
        <v>3.3322045101752038</v>
      </c>
      <c r="D1365" s="9">
        <f>'1_Du_lieu'!Z447</f>
        <v>5.8260001073804499</v>
      </c>
      <c r="E1365" s="9">
        <f>'1_Du_lieu'!AA447</f>
        <v>10.393000000000001</v>
      </c>
      <c r="F1365" s="9">
        <f>'1_Du_lieu'!AB447</f>
        <v>60.92</v>
      </c>
      <c r="G1365" s="9">
        <f>'1_Du_lieu'!AC447</f>
        <v>28.8</v>
      </c>
      <c r="H1365" s="9">
        <f>'1_Du_lieu'!AE447</f>
        <v>2.1258931339212706</v>
      </c>
      <c r="I1365" s="9">
        <f>'1_Du_lieu'!AF447</f>
        <v>1.6</v>
      </c>
      <c r="J1365" s="9">
        <f>'1_Du_lieu'!AG447</f>
        <v>10.286049030204001</v>
      </c>
      <c r="K1365" s="9">
        <f>'1_Du_lieu'!AD447</f>
        <v>29.2</v>
      </c>
      <c r="L1365" s="5">
        <f t="shared" si="186"/>
        <v>0</v>
      </c>
      <c r="M1365" s="5">
        <f t="shared" si="187"/>
        <v>0</v>
      </c>
      <c r="N1365" s="5">
        <f t="shared" si="188"/>
        <v>0</v>
      </c>
      <c r="O1365" s="5">
        <f t="shared" si="189"/>
        <v>1</v>
      </c>
    </row>
    <row r="1366" spans="1:15" x14ac:dyDescent="0.25">
      <c r="A1366" t="s">
        <v>89</v>
      </c>
      <c r="B1366">
        <v>2024</v>
      </c>
      <c r="C1366" s="7">
        <f>'1_Du_lieu'!V448</f>
        <v>3.9318256327243257</v>
      </c>
      <c r="D1366" s="9">
        <f>'1_Du_lieu'!Z448</f>
        <v>5.1143945283871082</v>
      </c>
      <c r="E1366" s="9">
        <f>'1_Du_lieu'!AA448</f>
        <v>15.327</v>
      </c>
      <c r="F1366" s="9">
        <f>'1_Du_lieu'!AB448</f>
        <v>84.22</v>
      </c>
      <c r="G1366" s="9">
        <f>'1_Du_lieu'!AC448</f>
        <v>23.3</v>
      </c>
      <c r="H1366" s="9">
        <f>'1_Du_lieu'!AE448</f>
        <v>3.3145658741693884</v>
      </c>
      <c r="I1366" s="9">
        <f>'1_Du_lieu'!AF448</f>
        <v>0.77920238010908838</v>
      </c>
      <c r="J1366" s="9">
        <f>'1_Du_lieu'!AG448</f>
        <v>9.5690771887933312</v>
      </c>
      <c r="K1366" s="9">
        <f>'1_Du_lieu'!AD448</f>
        <v>25.5</v>
      </c>
      <c r="L1366" s="5">
        <f t="shared" si="186"/>
        <v>0</v>
      </c>
      <c r="M1366" s="5">
        <f t="shared" si="187"/>
        <v>0</v>
      </c>
      <c r="N1366" s="5">
        <f t="shared" si="188"/>
        <v>0</v>
      </c>
      <c r="O1366" s="5">
        <f t="shared" si="189"/>
        <v>1</v>
      </c>
    </row>
    <row r="1367" spans="1:15" x14ac:dyDescent="0.25">
      <c r="A1367" t="s">
        <v>90</v>
      </c>
      <c r="B1367">
        <v>2024</v>
      </c>
      <c r="C1367" s="7">
        <f>'1_Du_lieu'!V449</f>
        <v>2.7725887222397811</v>
      </c>
      <c r="D1367" s="9">
        <f>'1_Du_lieu'!Z449</f>
        <v>4.5496574760578321</v>
      </c>
      <c r="E1367" s="9">
        <f>'1_Du_lieu'!AA449</f>
        <v>6.6909999999999998</v>
      </c>
      <c r="F1367" s="9">
        <f>'1_Du_lieu'!AB449</f>
        <v>29.4</v>
      </c>
      <c r="G1367" s="9">
        <f>'1_Du_lieu'!AC449</f>
        <v>20</v>
      </c>
      <c r="H1367" s="9">
        <f>'1_Du_lieu'!AE449</f>
        <v>1.234631418039809</v>
      </c>
      <c r="I1367" s="9">
        <f>'1_Du_lieu'!AF449</f>
        <v>0.95648015303682454</v>
      </c>
      <c r="J1367" s="9">
        <f>'1_Du_lieu'!AG449</f>
        <v>8.4073560037313317</v>
      </c>
      <c r="K1367" s="9">
        <f>'1_Du_lieu'!AD449</f>
        <v>22.6</v>
      </c>
      <c r="L1367" s="5">
        <f t="shared" si="186"/>
        <v>0</v>
      </c>
      <c r="M1367" s="5">
        <f t="shared" si="187"/>
        <v>0</v>
      </c>
      <c r="N1367" s="5">
        <f t="shared" si="188"/>
        <v>0</v>
      </c>
      <c r="O1367" s="5">
        <f t="shared" si="189"/>
        <v>1</v>
      </c>
    </row>
    <row r="1368" spans="1:15" x14ac:dyDescent="0.25">
      <c r="A1368" t="s">
        <v>91</v>
      </c>
      <c r="B1368">
        <v>2024</v>
      </c>
      <c r="C1368" s="7">
        <f>'1_Du_lieu'!V450</f>
        <v>2.9957322735539909</v>
      </c>
      <c r="D1368" s="9">
        <f>'1_Du_lieu'!Z450</f>
        <v>4.4091553020621346</v>
      </c>
      <c r="E1368" s="9">
        <f>'1_Du_lieu'!AA450</f>
        <v>4.7080000000000002</v>
      </c>
      <c r="F1368" s="9">
        <f>'1_Du_lieu'!AB450</f>
        <v>38.6</v>
      </c>
      <c r="G1368" s="9">
        <f>'1_Du_lieu'!AC450</f>
        <v>19.5</v>
      </c>
      <c r="H1368" s="9">
        <f>'1_Du_lieu'!AE450</f>
        <v>1.6732463053197808</v>
      </c>
      <c r="I1368" s="9">
        <f>'1_Du_lieu'!AF450</f>
        <v>0.39720368605020656</v>
      </c>
      <c r="J1368" s="9">
        <f>'1_Du_lieu'!AG450</f>
        <v>8.0261701949464257</v>
      </c>
      <c r="K1368" s="9">
        <f>'1_Du_lieu'!AD450</f>
        <v>19.899999999999999</v>
      </c>
      <c r="L1368" s="5">
        <f t="shared" si="186"/>
        <v>0</v>
      </c>
      <c r="M1368" s="5">
        <f t="shared" si="187"/>
        <v>0</v>
      </c>
      <c r="N1368" s="5">
        <f t="shared" si="188"/>
        <v>0</v>
      </c>
      <c r="O1368" s="5">
        <f t="shared" si="189"/>
        <v>1</v>
      </c>
    </row>
    <row r="1369" spans="1:15" x14ac:dyDescent="0.25">
      <c r="A1369" t="s">
        <v>93</v>
      </c>
      <c r="B1369">
        <v>2024</v>
      </c>
      <c r="C1369" s="7">
        <f>'1_Du_lieu'!V451</f>
        <v>3.044522437723423</v>
      </c>
      <c r="D1369" s="9">
        <f>'1_Du_lieu'!Z451</f>
        <v>4.3579900568456402</v>
      </c>
      <c r="E1369" s="9">
        <f>'1_Du_lieu'!AA451</f>
        <v>5.3680000000000003</v>
      </c>
      <c r="F1369" s="9">
        <f>'1_Du_lieu'!AB451</f>
        <v>41.22</v>
      </c>
      <c r="G1369" s="9">
        <f>'1_Du_lieu'!AC451</f>
        <v>25.6</v>
      </c>
      <c r="H1369" s="9">
        <f>'1_Du_lieu'!AE451</f>
        <v>3.0736524047525142</v>
      </c>
      <c r="I1369" s="9">
        <f>'1_Du_lieu'!AF451</f>
        <v>0.79665405297749459</v>
      </c>
      <c r="J1369" s="9">
        <f>'1_Du_lieu'!AG451</f>
        <v>6.7289874003874797</v>
      </c>
      <c r="K1369" s="9">
        <f>'1_Du_lieu'!AD451</f>
        <v>20.7</v>
      </c>
      <c r="L1369" s="5">
        <f t="shared" si="186"/>
        <v>0</v>
      </c>
      <c r="M1369" s="5">
        <f t="shared" si="187"/>
        <v>0</v>
      </c>
      <c r="N1369" s="5">
        <f t="shared" si="188"/>
        <v>0</v>
      </c>
      <c r="O1369" s="5">
        <f t="shared" si="189"/>
        <v>1</v>
      </c>
    </row>
    <row r="1370" spans="1:15" x14ac:dyDescent="0.25">
      <c r="A1370" t="s">
        <v>94</v>
      </c>
      <c r="B1370">
        <v>2024</v>
      </c>
      <c r="C1370" s="7">
        <f>'1_Du_lieu'!V452</f>
        <v>2.6390573296152584</v>
      </c>
      <c r="D1370" s="9">
        <f>'1_Du_lieu'!Z452</f>
        <v>4.1666652238017265</v>
      </c>
      <c r="E1370" s="9">
        <f>'1_Du_lieu'!AA452</f>
        <v>2.5099999999999998</v>
      </c>
      <c r="F1370" s="9">
        <f>'1_Du_lieu'!AB452</f>
        <v>27.76</v>
      </c>
      <c r="G1370" s="9">
        <f>'1_Du_lieu'!AC452</f>
        <v>13.1</v>
      </c>
      <c r="H1370" s="9">
        <f>'1_Du_lieu'!AE452</f>
        <v>1.3538899662437562</v>
      </c>
      <c r="I1370" s="9">
        <f>'1_Du_lieu'!AF452</f>
        <v>1.4051015996541287</v>
      </c>
      <c r="J1370" s="9">
        <f>'1_Du_lieu'!AG452</f>
        <v>8.5282715986232382</v>
      </c>
      <c r="K1370" s="9">
        <f>'1_Du_lieu'!AD452</f>
        <v>14.1</v>
      </c>
      <c r="L1370" s="5">
        <f t="shared" si="186"/>
        <v>0</v>
      </c>
      <c r="M1370" s="5">
        <f t="shared" si="187"/>
        <v>0</v>
      </c>
      <c r="N1370" s="5">
        <f t="shared" si="188"/>
        <v>0</v>
      </c>
      <c r="O1370" s="5">
        <f t="shared" si="189"/>
        <v>1</v>
      </c>
    </row>
    <row r="1371" spans="1:15" x14ac:dyDescent="0.25">
      <c r="A1371" t="s">
        <v>95</v>
      </c>
      <c r="B1371">
        <v>2024</v>
      </c>
      <c r="C1371" s="7">
        <f>'1_Du_lieu'!V453</f>
        <v>3.0910424533583161</v>
      </c>
      <c r="D1371" s="9">
        <f>'1_Du_lieu'!Z453</f>
        <v>4.5664293576716606</v>
      </c>
      <c r="E1371" s="9">
        <f>'1_Du_lieu'!AA453</f>
        <v>4.53</v>
      </c>
      <c r="F1371" s="9">
        <f>'1_Du_lieu'!AB453</f>
        <v>19.73</v>
      </c>
      <c r="G1371" s="9">
        <f>'1_Du_lieu'!AC453</f>
        <v>32.6</v>
      </c>
      <c r="H1371" s="9">
        <f>'1_Du_lieu'!AE453</f>
        <v>2.9524628072988284</v>
      </c>
      <c r="I1371" s="9">
        <f>'1_Du_lieu'!AF453</f>
        <v>0.52010193998023613</v>
      </c>
      <c r="J1371" s="9">
        <f>'1_Du_lieu'!AG453</f>
        <v>8.7743902828552987</v>
      </c>
      <c r="K1371" s="9">
        <f>'1_Du_lieu'!AD453</f>
        <v>23.5</v>
      </c>
      <c r="L1371" s="5">
        <f t="shared" si="186"/>
        <v>0</v>
      </c>
      <c r="M1371" s="5">
        <f t="shared" si="187"/>
        <v>0</v>
      </c>
      <c r="N1371" s="5">
        <f t="shared" si="188"/>
        <v>0</v>
      </c>
      <c r="O1371" s="5">
        <f t="shared" si="189"/>
        <v>1</v>
      </c>
    </row>
    <row r="1372" spans="1:15" x14ac:dyDescent="0.25">
      <c r="A1372" t="s">
        <v>97</v>
      </c>
      <c r="B1372">
        <v>2024</v>
      </c>
      <c r="C1372" s="7">
        <f>'1_Du_lieu'!V454</f>
        <v>2.3978952727983707</v>
      </c>
      <c r="D1372" s="9">
        <f>'1_Du_lieu'!Z454</f>
        <v>3.949318790171843</v>
      </c>
      <c r="E1372" s="9">
        <f>'1_Du_lieu'!AA454</f>
        <v>2.282</v>
      </c>
      <c r="F1372" s="9">
        <f>'1_Du_lieu'!AB454</f>
        <v>24.07</v>
      </c>
      <c r="G1372" s="9">
        <f>'1_Du_lieu'!AC454</f>
        <v>28</v>
      </c>
      <c r="H1372" s="9">
        <f>'1_Du_lieu'!AE454</f>
        <v>2.698716321347455</v>
      </c>
      <c r="I1372" s="9">
        <f>'1_Du_lieu'!AF454</f>
        <v>0.91883614088820831</v>
      </c>
      <c r="J1372" s="9">
        <f>'1_Du_lieu'!AG454</f>
        <v>4.6434288981051814</v>
      </c>
      <c r="K1372" s="9">
        <f>'1_Du_lieu'!AD454</f>
        <v>16.8</v>
      </c>
      <c r="L1372" s="5">
        <f t="shared" si="186"/>
        <v>0</v>
      </c>
      <c r="M1372" s="5">
        <f t="shared" si="187"/>
        <v>0</v>
      </c>
      <c r="N1372" s="5">
        <f t="shared" si="188"/>
        <v>0</v>
      </c>
      <c r="O1372" s="5">
        <f t="shared" si="189"/>
        <v>1</v>
      </c>
    </row>
    <row r="1373" spans="1:15" x14ac:dyDescent="0.25">
      <c r="A1373" t="s">
        <v>98</v>
      </c>
      <c r="B1373">
        <v>2024</v>
      </c>
      <c r="C1373" s="7">
        <f>'1_Du_lieu'!V455</f>
        <v>3.4011973816621555</v>
      </c>
      <c r="D1373" s="9">
        <f>'1_Du_lieu'!Z455</f>
        <v>5.054333149361975</v>
      </c>
      <c r="E1373" s="9">
        <f>'1_Du_lieu'!AA455</f>
        <v>10.885999999999999</v>
      </c>
      <c r="F1373" s="9">
        <f>'1_Du_lieu'!AB455</f>
        <v>50.79</v>
      </c>
      <c r="G1373" s="9">
        <f>'1_Du_lieu'!AC455</f>
        <v>34.4</v>
      </c>
      <c r="H1373" s="9">
        <f>'1_Du_lieu'!AE455</f>
        <v>2.8655055877825726</v>
      </c>
      <c r="I1373" s="9">
        <f>'1_Du_lieu'!AF455</f>
        <v>1.8452616317384998</v>
      </c>
      <c r="J1373" s="9">
        <f>'1_Du_lieu'!AG455</f>
        <v>9.7029062975185063</v>
      </c>
      <c r="K1373" s="9">
        <f>'1_Du_lieu'!AD455</f>
        <v>31.3</v>
      </c>
      <c r="L1373" s="5">
        <f t="shared" si="186"/>
        <v>0</v>
      </c>
      <c r="M1373" s="5">
        <f t="shared" si="187"/>
        <v>0</v>
      </c>
      <c r="N1373" s="5">
        <f t="shared" si="188"/>
        <v>0</v>
      </c>
      <c r="O1373" s="5">
        <f t="shared" si="189"/>
        <v>1</v>
      </c>
    </row>
    <row r="1374" spans="1:15" x14ac:dyDescent="0.25">
      <c r="A1374" t="s">
        <v>100</v>
      </c>
      <c r="B1374">
        <v>2024</v>
      </c>
      <c r="C1374" s="7">
        <f>'1_Du_lieu'!V456</f>
        <v>2.9444389791664403</v>
      </c>
      <c r="D1374" s="9">
        <f>'1_Du_lieu'!Z456</f>
        <v>3.9473901492654373</v>
      </c>
      <c r="E1374" s="9">
        <f>'1_Du_lieu'!AA456</f>
        <v>2.9569999999999999</v>
      </c>
      <c r="F1374" s="9">
        <f>'1_Du_lieu'!AB456</f>
        <v>13.11</v>
      </c>
      <c r="G1374" s="9">
        <f>'1_Du_lieu'!AC456</f>
        <v>12.7</v>
      </c>
      <c r="H1374" s="9">
        <f>'1_Du_lieu'!AE456</f>
        <v>1.3894065761845245</v>
      </c>
      <c r="I1374" s="9">
        <f>'1_Du_lieu'!AF456</f>
        <v>0.46178711613945972</v>
      </c>
      <c r="J1374" s="9">
        <f>'1_Du_lieu'!AG456</f>
        <v>7.1163941440934648</v>
      </c>
      <c r="K1374" s="9">
        <f>'1_Du_lieu'!AD456</f>
        <v>13.9</v>
      </c>
      <c r="L1374" s="5">
        <f t="shared" si="186"/>
        <v>0</v>
      </c>
      <c r="M1374" s="5">
        <f t="shared" si="187"/>
        <v>0</v>
      </c>
      <c r="N1374" s="5">
        <f t="shared" si="188"/>
        <v>0</v>
      </c>
      <c r="O1374" s="5">
        <f t="shared" si="189"/>
        <v>1</v>
      </c>
    </row>
    <row r="1375" spans="1:15" x14ac:dyDescent="0.25">
      <c r="A1375" t="s">
        <v>102</v>
      </c>
      <c r="B1375">
        <v>2024</v>
      </c>
      <c r="C1375" s="7">
        <f>'1_Du_lieu'!V458</f>
        <v>2.7725887222397811</v>
      </c>
      <c r="D1375" s="9">
        <f>'1_Du_lieu'!Z458</f>
        <v>4.165113633110308</v>
      </c>
      <c r="E1375" s="9">
        <f>'1_Du_lieu'!AA458</f>
        <v>3.2210000000000001</v>
      </c>
      <c r="F1375" s="9">
        <f>'1_Du_lieu'!AB458</f>
        <v>23.06</v>
      </c>
      <c r="G1375" s="9">
        <f>'1_Du_lieu'!AC458</f>
        <v>15.1</v>
      </c>
      <c r="H1375" s="9">
        <f>'1_Du_lieu'!AE458</f>
        <v>4.0815368690784087E-2</v>
      </c>
      <c r="I1375" s="9">
        <f>'1_Du_lieu'!AF458</f>
        <v>0.57975815802550934</v>
      </c>
      <c r="J1375" s="9">
        <f>'1_Du_lieu'!AG458</f>
        <v>4.8605872978525966</v>
      </c>
      <c r="K1375" s="9">
        <f>'1_Du_lieu'!AD458</f>
        <v>16.3</v>
      </c>
      <c r="L1375" s="5">
        <f t="shared" si="186"/>
        <v>0</v>
      </c>
      <c r="M1375" s="5">
        <f t="shared" si="187"/>
        <v>0</v>
      </c>
      <c r="N1375" s="5">
        <f t="shared" si="188"/>
        <v>0</v>
      </c>
      <c r="O1375" s="5">
        <f t="shared" si="189"/>
        <v>1</v>
      </c>
    </row>
    <row r="1376" spans="1:15" x14ac:dyDescent="0.25">
      <c r="A1376" t="s">
        <v>103</v>
      </c>
      <c r="B1376">
        <v>2024</v>
      </c>
      <c r="C1376" s="7">
        <f>'1_Du_lieu'!V459</f>
        <v>3.3322045101752038</v>
      </c>
      <c r="D1376" s="9">
        <f>'1_Du_lieu'!Z459</f>
        <v>4.5464811896394117</v>
      </c>
      <c r="E1376" s="9">
        <f>'1_Du_lieu'!AA459</f>
        <v>8.3379999999999992</v>
      </c>
      <c r="F1376" s="9">
        <f>'1_Du_lieu'!AB459</f>
        <v>70.52</v>
      </c>
      <c r="G1376" s="9">
        <f>'1_Du_lieu'!AC459</f>
        <v>23.3</v>
      </c>
      <c r="H1376" s="9">
        <f>'1_Du_lieu'!AE459</f>
        <v>1.0432512147827513</v>
      </c>
      <c r="I1376" s="9">
        <f>'1_Du_lieu'!AF459</f>
        <v>1.4298196838509809</v>
      </c>
      <c r="J1376" s="9">
        <f>'1_Du_lieu'!AG459</f>
        <v>7.5003636341634694</v>
      </c>
      <c r="K1376" s="9">
        <f>'1_Du_lieu'!AD459</f>
        <v>31</v>
      </c>
      <c r="L1376" s="5">
        <f t="shared" si="186"/>
        <v>0</v>
      </c>
      <c r="M1376" s="5">
        <f t="shared" si="187"/>
        <v>0</v>
      </c>
      <c r="N1376" s="5">
        <f t="shared" si="188"/>
        <v>0</v>
      </c>
      <c r="O1376" s="5">
        <f t="shared" si="189"/>
        <v>1</v>
      </c>
    </row>
    <row r="1377" spans="1:15" x14ac:dyDescent="0.25">
      <c r="A1377" t="s">
        <v>104</v>
      </c>
      <c r="B1377">
        <v>2024</v>
      </c>
      <c r="C1377" s="7">
        <f>'1_Du_lieu'!V460</f>
        <v>2.7080502011022101</v>
      </c>
      <c r="D1377" s="9">
        <f>'1_Du_lieu'!Z460</f>
        <v>4.0569887756783318</v>
      </c>
      <c r="E1377" s="9">
        <f>'1_Du_lieu'!AA460</f>
        <v>3.3820000000000001</v>
      </c>
      <c r="F1377" s="9">
        <f>'1_Du_lieu'!AB460</f>
        <v>29.44</v>
      </c>
      <c r="G1377" s="9">
        <f>'1_Du_lieu'!AC460</f>
        <v>15.3</v>
      </c>
      <c r="H1377" s="9">
        <f>'1_Du_lieu'!AE460</f>
        <v>2.4558519854784486</v>
      </c>
      <c r="I1377" s="9">
        <f>'1_Du_lieu'!AF460</f>
        <v>1.1772724456286014</v>
      </c>
      <c r="J1377" s="9">
        <f>'1_Du_lieu'!AG460</f>
        <v>4.0707346965829672</v>
      </c>
      <c r="K1377" s="9">
        <f>'1_Du_lieu'!AD460</f>
        <v>15.9</v>
      </c>
      <c r="L1377" s="5">
        <f t="shared" si="186"/>
        <v>0</v>
      </c>
      <c r="M1377" s="5">
        <f t="shared" si="187"/>
        <v>0</v>
      </c>
      <c r="N1377" s="5">
        <f t="shared" si="188"/>
        <v>0</v>
      </c>
      <c r="O1377" s="5">
        <f t="shared" si="189"/>
        <v>1</v>
      </c>
    </row>
    <row r="1378" spans="1:15" x14ac:dyDescent="0.25">
      <c r="A1378" t="s">
        <v>107</v>
      </c>
      <c r="B1378">
        <v>2024</v>
      </c>
      <c r="C1378" s="7">
        <f>'1_Du_lieu'!V462</f>
        <v>3.1354942159291497</v>
      </c>
      <c r="D1378" s="9">
        <f>'1_Du_lieu'!Z462</f>
        <v>4.5622626849768144</v>
      </c>
      <c r="E1378" s="9">
        <f>'1_Du_lieu'!AA462</f>
        <v>6.1210000000000004</v>
      </c>
      <c r="F1378" s="9">
        <f>'1_Du_lieu'!AB462</f>
        <v>28.2</v>
      </c>
      <c r="G1378" s="9">
        <f>'1_Du_lieu'!AC462</f>
        <v>29.5</v>
      </c>
      <c r="H1378" s="9">
        <f>'1_Du_lieu'!AE462</f>
        <v>2.9797971999507391</v>
      </c>
      <c r="I1378" s="9">
        <f>'1_Du_lieu'!AF462</f>
        <v>1.2416751326334801</v>
      </c>
      <c r="J1378" s="9">
        <f>'1_Du_lieu'!AG462</f>
        <v>8.828757792331265</v>
      </c>
      <c r="K1378" s="9">
        <f>'1_Du_lieu'!AD462</f>
        <v>18</v>
      </c>
      <c r="L1378" s="5">
        <f t="shared" si="186"/>
        <v>0</v>
      </c>
      <c r="M1378" s="5">
        <f t="shared" si="187"/>
        <v>0</v>
      </c>
      <c r="N1378" s="5">
        <f t="shared" si="188"/>
        <v>0</v>
      </c>
      <c r="O1378" s="5">
        <f t="shared" si="189"/>
        <v>1</v>
      </c>
    </row>
    <row r="1379" spans="1:15" x14ac:dyDescent="0.25">
      <c r="A1379" t="s">
        <v>108</v>
      </c>
      <c r="B1379">
        <v>2024</v>
      </c>
      <c r="C1379" s="7">
        <f>'1_Du_lieu'!V463</f>
        <v>4.4308167988433134</v>
      </c>
      <c r="D1379" s="9">
        <f>'1_Du_lieu'!Z463</f>
        <v>5.0086332914255829</v>
      </c>
      <c r="E1379" s="9">
        <f>'1_Du_lieu'!AA463</f>
        <v>22.382000000000001</v>
      </c>
      <c r="F1379" s="9">
        <f>'1_Du_lieu'!AB463</f>
        <v>49.06</v>
      </c>
      <c r="G1379" s="9">
        <f>'1_Du_lieu'!AC463</f>
        <v>50.8</v>
      </c>
      <c r="H1379" s="9">
        <f>'1_Du_lieu'!AE463</f>
        <v>3.1935935495764549</v>
      </c>
      <c r="I1379" s="9">
        <f>'1_Du_lieu'!AF463</f>
        <v>1.8516146312491992</v>
      </c>
      <c r="J1379" s="9">
        <f>'1_Du_lieu'!AG463</f>
        <v>8.4766211656511903</v>
      </c>
      <c r="K1379" s="9">
        <f>'1_Du_lieu'!AD463</f>
        <v>52.2</v>
      </c>
      <c r="L1379" s="5">
        <f t="shared" si="186"/>
        <v>0</v>
      </c>
      <c r="M1379" s="5">
        <f t="shared" si="187"/>
        <v>0</v>
      </c>
      <c r="N1379" s="5">
        <f t="shared" si="188"/>
        <v>0</v>
      </c>
      <c r="O1379" s="5">
        <f t="shared" si="189"/>
        <v>1</v>
      </c>
    </row>
    <row r="1380" spans="1:15" x14ac:dyDescent="0.25">
      <c r="A1380" t="s">
        <v>109</v>
      </c>
      <c r="B1380">
        <v>2024</v>
      </c>
      <c r="C1380" s="7">
        <f>'1_Du_lieu'!V464</f>
        <v>2.8903717578961645</v>
      </c>
      <c r="D1380" s="9">
        <f>'1_Du_lieu'!Z464</f>
        <v>4.3372907408324899</v>
      </c>
      <c r="E1380" s="9">
        <f>'1_Du_lieu'!AA464</f>
        <v>4.3719999999999999</v>
      </c>
      <c r="F1380" s="9">
        <f>'1_Du_lieu'!AB464</f>
        <v>22.51</v>
      </c>
      <c r="G1380" s="9">
        <f>'1_Du_lieu'!AC464</f>
        <v>31.6</v>
      </c>
      <c r="H1380" s="9">
        <f>'1_Du_lieu'!AE464</f>
        <v>3.5347750450300257</v>
      </c>
      <c r="I1380" s="9">
        <f>'1_Du_lieu'!AF464</f>
        <v>0.37772909269471933</v>
      </c>
      <c r="J1380" s="9">
        <f>'1_Du_lieu'!AG464</f>
        <v>9.1196495066916796</v>
      </c>
      <c r="K1380" s="9">
        <f>'1_Du_lieu'!AD464</f>
        <v>16.3</v>
      </c>
      <c r="L1380" s="5">
        <f t="shared" si="186"/>
        <v>0</v>
      </c>
      <c r="M1380" s="5">
        <f t="shared" si="187"/>
        <v>0</v>
      </c>
      <c r="N1380" s="5">
        <f t="shared" si="188"/>
        <v>0</v>
      </c>
      <c r="O1380" s="5">
        <f t="shared" si="189"/>
        <v>1</v>
      </c>
    </row>
    <row r="1381" spans="1:15" x14ac:dyDescent="0.25">
      <c r="A1381" t="s">
        <v>110</v>
      </c>
      <c r="B1381">
        <v>2024</v>
      </c>
      <c r="C1381" s="7">
        <f>'1_Du_lieu'!V465</f>
        <v>2.6390573296152584</v>
      </c>
      <c r="D1381" s="9">
        <f>'1_Du_lieu'!Z465</f>
        <v>4.2456340097683265</v>
      </c>
      <c r="E1381" s="9">
        <f>'1_Du_lieu'!AA465</f>
        <v>3.375</v>
      </c>
      <c r="F1381" s="9">
        <f>'1_Du_lieu'!AB465</f>
        <v>25.68</v>
      </c>
      <c r="G1381" s="9">
        <f>'1_Du_lieu'!AC465</f>
        <v>23.8</v>
      </c>
      <c r="H1381" s="9">
        <f>'1_Du_lieu'!AE465</f>
        <v>2.2822317178119582</v>
      </c>
      <c r="I1381" s="9">
        <f>'1_Du_lieu'!AF465</f>
        <v>1.0221465076660987</v>
      </c>
      <c r="J1381" s="9">
        <f>'1_Du_lieu'!AG465</f>
        <v>6.7878449823095792</v>
      </c>
      <c r="K1381" s="9">
        <f>'1_Du_lieu'!AD465</f>
        <v>18.399999999999999</v>
      </c>
      <c r="L1381" s="5">
        <f t="shared" si="186"/>
        <v>0</v>
      </c>
      <c r="M1381" s="5">
        <f t="shared" si="187"/>
        <v>0</v>
      </c>
      <c r="N1381" s="5">
        <f t="shared" si="188"/>
        <v>0</v>
      </c>
      <c r="O1381" s="5">
        <f t="shared" si="189"/>
        <v>1</v>
      </c>
    </row>
    <row r="1382" spans="1:15" x14ac:dyDescent="0.25">
      <c r="A1382" t="s">
        <v>111</v>
      </c>
      <c r="B1382">
        <v>2024</v>
      </c>
      <c r="C1382" s="7">
        <f>'1_Du_lieu'!V466</f>
        <v>3.2958368660043291</v>
      </c>
      <c r="D1382" s="9">
        <f>'1_Du_lieu'!Z466</f>
        <v>4.6995708614095761</v>
      </c>
      <c r="E1382" s="9">
        <f>'1_Du_lieu'!AA466</f>
        <v>7.4969999999999999</v>
      </c>
      <c r="F1382" s="9">
        <f>'1_Du_lieu'!AB466</f>
        <v>16.989999999999998</v>
      </c>
      <c r="G1382" s="9">
        <f>'1_Du_lieu'!AC466</f>
        <v>28.2</v>
      </c>
      <c r="H1382" s="9">
        <f>'1_Du_lieu'!AE466</f>
        <v>3.3154290302726985</v>
      </c>
      <c r="I1382" s="9">
        <f>'1_Du_lieu'!AF466</f>
        <v>1.8447348193697155</v>
      </c>
      <c r="J1382" s="9">
        <f>'1_Du_lieu'!AG466</f>
        <v>8.6638702992607257</v>
      </c>
      <c r="K1382" s="9">
        <f>'1_Du_lieu'!AD466</f>
        <v>27.3</v>
      </c>
      <c r="L1382" s="5">
        <f t="shared" si="186"/>
        <v>0</v>
      </c>
      <c r="M1382" s="5">
        <f t="shared" si="187"/>
        <v>0</v>
      </c>
      <c r="N1382" s="5">
        <f t="shared" si="188"/>
        <v>0</v>
      </c>
      <c r="O1382" s="5">
        <f t="shared" si="189"/>
        <v>1</v>
      </c>
    </row>
    <row r="1383" spans="1:15" x14ac:dyDescent="0.25">
      <c r="A1383" t="s">
        <v>112</v>
      </c>
      <c r="B1383">
        <v>2024</v>
      </c>
      <c r="C1383" s="7">
        <f>'1_Du_lieu'!V467</f>
        <v>3.044522437723423</v>
      </c>
      <c r="D1383" s="9">
        <f>'1_Du_lieu'!Z467</f>
        <v>4.5528237056158822</v>
      </c>
      <c r="E1383" s="9">
        <f>'1_Du_lieu'!AA467</f>
        <v>5.7359999999999998</v>
      </c>
      <c r="F1383" s="9">
        <f>'1_Du_lieu'!AB467</f>
        <v>31.68</v>
      </c>
      <c r="G1383" s="9">
        <f>'1_Du_lieu'!AC467</f>
        <v>29.2</v>
      </c>
      <c r="H1383" s="9">
        <f>'1_Du_lieu'!AE467</f>
        <v>3.2946589515718152</v>
      </c>
      <c r="I1383" s="9">
        <f>'1_Du_lieu'!AF467</f>
        <v>0.56211354693648108</v>
      </c>
      <c r="J1383" s="9">
        <f>'1_Du_lieu'!AG467</f>
        <v>8.579303767479141</v>
      </c>
      <c r="K1383" s="9">
        <f>'1_Du_lieu'!AD467</f>
        <v>27.2</v>
      </c>
      <c r="L1383" s="5">
        <f t="shared" si="186"/>
        <v>0</v>
      </c>
      <c r="M1383" s="5">
        <f t="shared" si="187"/>
        <v>0</v>
      </c>
      <c r="N1383" s="5">
        <f t="shared" si="188"/>
        <v>0</v>
      </c>
      <c r="O1383" s="5">
        <f t="shared" si="189"/>
        <v>1</v>
      </c>
    </row>
    <row r="1384" spans="1:15" x14ac:dyDescent="0.25">
      <c r="A1384" t="s">
        <v>113</v>
      </c>
      <c r="B1384">
        <v>2024</v>
      </c>
      <c r="C1384" s="7">
        <f>'1_Du_lieu'!V468</f>
        <v>3.5835189384561099</v>
      </c>
      <c r="D1384" s="9">
        <f>'1_Du_lieu'!Z468</f>
        <v>5.2208962195794522</v>
      </c>
      <c r="E1384" s="9">
        <f>'1_Du_lieu'!AA468</f>
        <v>9.9939999999999998</v>
      </c>
      <c r="F1384" s="9">
        <f>'1_Du_lieu'!AB468</f>
        <v>45.63</v>
      </c>
      <c r="G1384" s="9">
        <f>'1_Du_lieu'!AC468</f>
        <v>36.5</v>
      </c>
      <c r="H1384" s="9">
        <f>'1_Du_lieu'!AE468</f>
        <v>4.1304894126587515</v>
      </c>
      <c r="I1384" s="9">
        <f>'1_Du_lieu'!AF468</f>
        <v>1.8527315914489311</v>
      </c>
      <c r="J1384" s="9">
        <f>'1_Du_lieu'!AG468</f>
        <v>9.5257567677856638</v>
      </c>
      <c r="K1384" s="9">
        <f>'1_Du_lieu'!AD468</f>
        <v>28.3</v>
      </c>
      <c r="L1384" s="5">
        <f t="shared" si="186"/>
        <v>0</v>
      </c>
      <c r="M1384" s="5">
        <f t="shared" si="187"/>
        <v>0</v>
      </c>
      <c r="N1384" s="5">
        <f t="shared" si="188"/>
        <v>0</v>
      </c>
      <c r="O1384" s="5">
        <f t="shared" si="189"/>
        <v>1</v>
      </c>
    </row>
    <row r="1385" spans="1:15" x14ac:dyDescent="0.25">
      <c r="A1385" t="s">
        <v>114</v>
      </c>
      <c r="B1385">
        <v>2024</v>
      </c>
      <c r="C1385" s="7">
        <f>'1_Du_lieu'!V469</f>
        <v>2.7080502011022101</v>
      </c>
      <c r="D1385" s="9">
        <f>'1_Du_lieu'!Z469</f>
        <v>4.3757570216602861</v>
      </c>
      <c r="E1385" s="9">
        <f>'1_Du_lieu'!AA469</f>
        <v>3.7349999999999999</v>
      </c>
      <c r="F1385" s="9">
        <f>'1_Du_lieu'!AB469</f>
        <v>28.11</v>
      </c>
      <c r="G1385" s="9">
        <f>'1_Du_lieu'!AC469</f>
        <v>13.7</v>
      </c>
      <c r="H1385" s="9">
        <f>'1_Du_lieu'!AE469</f>
        <v>1.4593842792877025</v>
      </c>
      <c r="I1385" s="9">
        <f>'1_Du_lieu'!AF469</f>
        <v>0.68653027598517091</v>
      </c>
      <c r="J1385" s="9">
        <f>'1_Du_lieu'!AG469</f>
        <v>6.9696966805223202</v>
      </c>
      <c r="K1385" s="9">
        <f>'1_Du_lieu'!AD469</f>
        <v>14.8</v>
      </c>
      <c r="L1385" s="5">
        <f t="shared" si="186"/>
        <v>0</v>
      </c>
      <c r="M1385" s="5">
        <f t="shared" si="187"/>
        <v>0</v>
      </c>
      <c r="N1385" s="5">
        <f t="shared" si="188"/>
        <v>0</v>
      </c>
      <c r="O1385" s="5">
        <f t="shared" si="189"/>
        <v>1</v>
      </c>
    </row>
    <row r="1386" spans="1:15" x14ac:dyDescent="0.25">
      <c r="A1386" t="s">
        <v>115</v>
      </c>
      <c r="B1386">
        <v>2024</v>
      </c>
      <c r="C1386" s="7">
        <f>'1_Du_lieu'!V470</f>
        <v>3.2188758248682006</v>
      </c>
      <c r="D1386" s="9">
        <f>'1_Du_lieu'!Z470</f>
        <v>4.4830025520138834</v>
      </c>
      <c r="E1386" s="9">
        <f>'1_Du_lieu'!AA470</f>
        <v>9.0820000000000007</v>
      </c>
      <c r="F1386" s="9">
        <f>'1_Du_lieu'!AB470</f>
        <v>42.39</v>
      </c>
      <c r="G1386" s="9">
        <f>'1_Du_lieu'!AC470</f>
        <v>25.3</v>
      </c>
      <c r="H1386" s="9">
        <f>'1_Du_lieu'!AE470</f>
        <v>3.0975907097764734</v>
      </c>
      <c r="I1386" s="9">
        <f>'1_Du_lieu'!AF470</f>
        <v>1.8245280025384738</v>
      </c>
      <c r="J1386" s="9">
        <f>'1_Du_lieu'!AG470</f>
        <v>8.1603468042105192</v>
      </c>
      <c r="K1386" s="9">
        <f>'1_Du_lieu'!AD470</f>
        <v>31.1</v>
      </c>
      <c r="L1386" s="5">
        <f t="shared" si="186"/>
        <v>0</v>
      </c>
      <c r="M1386" s="5">
        <f t="shared" si="187"/>
        <v>0</v>
      </c>
      <c r="N1386" s="5">
        <f t="shared" si="188"/>
        <v>0</v>
      </c>
      <c r="O1386" s="5">
        <f t="shared" si="189"/>
        <v>1</v>
      </c>
    </row>
    <row r="1387" spans="1:15" x14ac:dyDescent="0.25">
      <c r="A1387" t="s">
        <v>116</v>
      </c>
      <c r="B1387">
        <v>2024</v>
      </c>
      <c r="C1387" s="7">
        <f>'1_Du_lieu'!V471</f>
        <v>2.8332133440562162</v>
      </c>
      <c r="D1387" s="9">
        <f>'1_Du_lieu'!Z471</f>
        <v>4.2835865618606288</v>
      </c>
      <c r="E1387" s="9">
        <f>'1_Du_lieu'!AA471</f>
        <v>5.0250000000000004</v>
      </c>
      <c r="F1387" s="9">
        <f>'1_Du_lieu'!AB471</f>
        <v>30.12</v>
      </c>
      <c r="G1387" s="9">
        <f>'1_Du_lieu'!AC471</f>
        <v>16.8</v>
      </c>
      <c r="H1387" s="9">
        <f>'1_Du_lieu'!AE471</f>
        <v>0.57791387397611804</v>
      </c>
      <c r="I1387" s="9">
        <f>'1_Du_lieu'!AF471</f>
        <v>5.4691505725517011</v>
      </c>
      <c r="J1387" s="9">
        <f>'1_Du_lieu'!AG471</f>
        <v>7.9163334449462655</v>
      </c>
      <c r="K1387" s="9">
        <f>'1_Du_lieu'!AD471</f>
        <v>16.3</v>
      </c>
      <c r="L1387" s="5">
        <f t="shared" si="186"/>
        <v>0</v>
      </c>
      <c r="M1387" s="5">
        <f t="shared" si="187"/>
        <v>0</v>
      </c>
      <c r="N1387" s="5">
        <f t="shared" si="188"/>
        <v>0</v>
      </c>
      <c r="O1387" s="5">
        <f t="shared" si="189"/>
        <v>1</v>
      </c>
    </row>
    <row r="1388" spans="1:15" x14ac:dyDescent="0.25">
      <c r="A1388" t="s">
        <v>117</v>
      </c>
      <c r="B1388">
        <v>2024</v>
      </c>
      <c r="C1388" s="7">
        <f>'1_Du_lieu'!V472</f>
        <v>2.5649493574615367</v>
      </c>
      <c r="D1388" s="9">
        <f>'1_Du_lieu'!Z472</f>
        <v>4.0775374439057197</v>
      </c>
      <c r="E1388" s="9">
        <f>'1_Du_lieu'!AA472</f>
        <v>3.6360000000000001</v>
      </c>
      <c r="F1388" s="9">
        <f>'1_Du_lieu'!AB472</f>
        <v>32.44</v>
      </c>
      <c r="G1388" s="9">
        <f>'1_Du_lieu'!AC472</f>
        <v>17.8</v>
      </c>
      <c r="H1388" s="9">
        <f>'1_Du_lieu'!AE472</f>
        <v>2.665450879720793</v>
      </c>
      <c r="I1388" s="9">
        <f>'1_Du_lieu'!AF472</f>
        <v>0.84559445290038915</v>
      </c>
      <c r="J1388" s="9">
        <f>'1_Du_lieu'!AG472</f>
        <v>6.0224786006371511</v>
      </c>
      <c r="K1388" s="9">
        <f>'1_Du_lieu'!AD472</f>
        <v>23.1</v>
      </c>
      <c r="L1388" s="5">
        <f t="shared" si="186"/>
        <v>0</v>
      </c>
      <c r="M1388" s="5">
        <f t="shared" si="187"/>
        <v>0</v>
      </c>
      <c r="N1388" s="5">
        <f t="shared" si="188"/>
        <v>0</v>
      </c>
      <c r="O1388" s="5">
        <f t="shared" si="189"/>
        <v>1</v>
      </c>
    </row>
    <row r="1389" spans="1:15" x14ac:dyDescent="0.25">
      <c r="A1389" t="s">
        <v>119</v>
      </c>
      <c r="B1389">
        <v>2024</v>
      </c>
      <c r="C1389" s="7">
        <f>'1_Du_lieu'!V474</f>
        <v>3.0910424533583161</v>
      </c>
      <c r="D1389" s="9">
        <f>'1_Du_lieu'!Z474</f>
        <v>4.5390303834835466</v>
      </c>
      <c r="E1389" s="9">
        <f>'1_Du_lieu'!AA474</f>
        <v>7.0049999999999999</v>
      </c>
      <c r="F1389" s="9">
        <f>'1_Du_lieu'!AB474</f>
        <v>18.399999999999999</v>
      </c>
      <c r="G1389" s="9">
        <f>'1_Du_lieu'!AC474</f>
        <v>15.9</v>
      </c>
      <c r="H1389" s="9">
        <f>'1_Du_lieu'!AE474</f>
        <v>1.5310142902595101</v>
      </c>
      <c r="I1389" s="9">
        <f>'1_Du_lieu'!AF474</f>
        <v>0.45887346564184922</v>
      </c>
      <c r="J1389" s="9">
        <f>'1_Du_lieu'!AG474</f>
        <v>8.96078867488567</v>
      </c>
      <c r="K1389" s="9">
        <f>'1_Du_lieu'!AD474</f>
        <v>21.6</v>
      </c>
      <c r="L1389" s="5">
        <f t="shared" si="186"/>
        <v>0</v>
      </c>
      <c r="M1389" s="5">
        <f t="shared" si="187"/>
        <v>0</v>
      </c>
      <c r="N1389" s="5">
        <f t="shared" si="188"/>
        <v>0</v>
      </c>
      <c r="O1389" s="5">
        <f t="shared" si="189"/>
        <v>1</v>
      </c>
    </row>
    <row r="1390" spans="1:15" x14ac:dyDescent="0.25">
      <c r="A1390" t="s">
        <v>120</v>
      </c>
      <c r="B1390">
        <v>2024</v>
      </c>
      <c r="C1390" s="7">
        <f>'1_Du_lieu'!V475</f>
        <v>2.9957322735539909</v>
      </c>
      <c r="D1390" s="9">
        <f>'1_Du_lieu'!Z475</f>
        <v>4.4461744544976334</v>
      </c>
      <c r="E1390" s="9">
        <f>'1_Du_lieu'!AA475</f>
        <v>4.6020000000000003</v>
      </c>
      <c r="F1390" s="9">
        <f>'1_Du_lieu'!AB475</f>
        <v>27.05</v>
      </c>
      <c r="G1390" s="9">
        <f>'1_Du_lieu'!AC475</f>
        <v>22.8</v>
      </c>
      <c r="H1390" s="9">
        <f>'1_Du_lieu'!AE475</f>
        <v>2.3051078729742289</v>
      </c>
      <c r="I1390" s="9">
        <f>'1_Du_lieu'!AF475</f>
        <v>1.1539941018079241</v>
      </c>
      <c r="J1390" s="9">
        <f>'1_Du_lieu'!AG475</f>
        <v>6.7356612423436184</v>
      </c>
      <c r="K1390" s="9">
        <f>'1_Du_lieu'!AD475</f>
        <v>14.7</v>
      </c>
      <c r="L1390" s="5">
        <f t="shared" si="186"/>
        <v>0</v>
      </c>
      <c r="M1390" s="5">
        <f t="shared" si="187"/>
        <v>0</v>
      </c>
      <c r="N1390" s="5">
        <f t="shared" si="188"/>
        <v>0</v>
      </c>
      <c r="O1390" s="5">
        <f t="shared" si="189"/>
        <v>1</v>
      </c>
    </row>
    <row r="1391" spans="1:15" x14ac:dyDescent="0.25">
      <c r="A1391" t="s">
        <v>121</v>
      </c>
      <c r="B1391">
        <v>2024</v>
      </c>
      <c r="C1391" s="7">
        <f>'1_Du_lieu'!V476</f>
        <v>3.2580965380214821</v>
      </c>
      <c r="D1391" s="9">
        <f>'1_Du_lieu'!Z476</f>
        <v>4.4426512564903167</v>
      </c>
      <c r="E1391" s="9">
        <f>'1_Du_lieu'!AA476</f>
        <v>6.1319999999999997</v>
      </c>
      <c r="F1391" s="9">
        <f>'1_Du_lieu'!AB476</f>
        <v>39.380000000000003</v>
      </c>
      <c r="G1391" s="9">
        <f>'1_Du_lieu'!AC476</f>
        <v>22.7</v>
      </c>
      <c r="H1391" s="9">
        <f>'1_Du_lieu'!AE476</f>
        <v>3.0583893790985237</v>
      </c>
      <c r="I1391" s="9">
        <f>'1_Du_lieu'!AF476</f>
        <v>0.59479553903345728</v>
      </c>
      <c r="J1391" s="9">
        <f>'1_Du_lieu'!AG476</f>
        <v>6.0287603318516787</v>
      </c>
      <c r="K1391" s="9">
        <f>'1_Du_lieu'!AD476</f>
        <v>33.200000000000003</v>
      </c>
      <c r="L1391" s="5">
        <f t="shared" si="186"/>
        <v>0</v>
      </c>
      <c r="M1391" s="5">
        <f t="shared" si="187"/>
        <v>0</v>
      </c>
      <c r="N1391" s="5">
        <f t="shared" si="188"/>
        <v>0</v>
      </c>
      <c r="O1391" s="5">
        <f t="shared" si="189"/>
        <v>1</v>
      </c>
    </row>
    <row r="1392" spans="1:15" x14ac:dyDescent="0.25">
      <c r="A1392" t="s">
        <v>122</v>
      </c>
      <c r="B1392">
        <v>2024</v>
      </c>
      <c r="C1392" s="7">
        <f>'1_Du_lieu'!V477</f>
        <v>2.5649493574615367</v>
      </c>
      <c r="D1392" s="9">
        <f>'1_Du_lieu'!Z477</f>
        <v>4.0569887756783318</v>
      </c>
      <c r="E1392" s="9">
        <f>'1_Du_lieu'!AA477</f>
        <v>3.3919999999999999</v>
      </c>
      <c r="F1392" s="9">
        <f>'1_Du_lieu'!AB477</f>
        <v>23.18</v>
      </c>
      <c r="G1392" s="9">
        <f>'1_Du_lieu'!AC477</f>
        <v>27.6</v>
      </c>
      <c r="H1392" s="9">
        <f>'1_Du_lieu'!AE477</f>
        <v>2.1331566502704176</v>
      </c>
      <c r="I1392" s="9">
        <f>'1_Du_lieu'!AF477</f>
        <v>0.99095751269664323</v>
      </c>
      <c r="J1392" s="9">
        <f>'1_Du_lieu'!AG477</f>
        <v>6.4597479476082977</v>
      </c>
      <c r="K1392" s="9">
        <f>'1_Du_lieu'!AD477</f>
        <v>15.7</v>
      </c>
      <c r="L1392" s="5">
        <f t="shared" si="186"/>
        <v>0</v>
      </c>
      <c r="M1392" s="5">
        <f t="shared" si="187"/>
        <v>0</v>
      </c>
      <c r="N1392" s="5">
        <f t="shared" si="188"/>
        <v>0</v>
      </c>
      <c r="O1392" s="5">
        <f t="shared" si="189"/>
        <v>1</v>
      </c>
    </row>
    <row r="1393" spans="1:15" x14ac:dyDescent="0.25">
      <c r="A1393" t="s">
        <v>123</v>
      </c>
      <c r="B1393">
        <v>2024</v>
      </c>
      <c r="C1393" s="7">
        <f>'1_Du_lieu'!V478</f>
        <v>3.2580965380214821</v>
      </c>
      <c r="D1393" s="9">
        <f>'1_Du_lieu'!Z478</f>
        <v>3.9435216724875173</v>
      </c>
      <c r="E1393" s="9">
        <f>'1_Du_lieu'!AA478</f>
        <v>3.7719999999999998</v>
      </c>
      <c r="F1393" s="9">
        <f>'1_Du_lieu'!AB478</f>
        <v>20.420000000000002</v>
      </c>
      <c r="G1393" s="9">
        <f>'1_Du_lieu'!AC478</f>
        <v>21.7</v>
      </c>
      <c r="H1393" s="9">
        <f>'1_Du_lieu'!AE478</f>
        <v>2.2432298019540498</v>
      </c>
      <c r="I1393" s="9">
        <f>'1_Du_lieu'!AF478</f>
        <v>1.1128186105664777</v>
      </c>
      <c r="J1393" s="9">
        <f>'1_Du_lieu'!AG478</f>
        <v>7.6741993886035393</v>
      </c>
      <c r="K1393" s="9">
        <f>'1_Du_lieu'!AD478</f>
        <v>20.5</v>
      </c>
      <c r="L1393" s="5">
        <f t="shared" si="186"/>
        <v>0</v>
      </c>
      <c r="M1393" s="5">
        <f t="shared" si="187"/>
        <v>0</v>
      </c>
      <c r="N1393" s="5">
        <f t="shared" si="188"/>
        <v>0</v>
      </c>
      <c r="O1393" s="5">
        <f t="shared" si="189"/>
        <v>1</v>
      </c>
    </row>
    <row r="1394" spans="1:15" x14ac:dyDescent="0.25">
      <c r="A1394" t="s">
        <v>124</v>
      </c>
      <c r="B1394">
        <v>2024</v>
      </c>
      <c r="C1394" s="7">
        <f>'1_Du_lieu'!V479</f>
        <v>3.0910424533583161</v>
      </c>
      <c r="D1394" s="9">
        <f>'1_Du_lieu'!Z479</f>
        <v>4.0055133485154846</v>
      </c>
      <c r="E1394" s="9">
        <f>'1_Du_lieu'!AA479</f>
        <v>3.9649999999999999</v>
      </c>
      <c r="F1394" s="9">
        <f>'1_Du_lieu'!AB479</f>
        <v>15.69</v>
      </c>
      <c r="G1394" s="9">
        <f>'1_Du_lieu'!AC479</f>
        <v>25.7</v>
      </c>
      <c r="H1394" s="9">
        <f>'1_Du_lieu'!AE479</f>
        <v>3.8512133359859355</v>
      </c>
      <c r="I1394" s="9">
        <f>'1_Du_lieu'!AF479</f>
        <v>2.9633933759442184</v>
      </c>
      <c r="J1394" s="9">
        <f>'1_Du_lieu'!AG479</f>
        <v>7.1087350175946247</v>
      </c>
      <c r="K1394" s="9">
        <f>'1_Du_lieu'!AD479</f>
        <v>18.100000000000001</v>
      </c>
      <c r="L1394" s="5">
        <f t="shared" si="186"/>
        <v>0</v>
      </c>
      <c r="M1394" s="5">
        <f t="shared" si="187"/>
        <v>0</v>
      </c>
      <c r="N1394" s="5">
        <f t="shared" si="188"/>
        <v>0</v>
      </c>
      <c r="O1394" s="5">
        <f t="shared" si="189"/>
        <v>1</v>
      </c>
    </row>
    <row r="1395" spans="1:15" x14ac:dyDescent="0.25">
      <c r="A1395" t="s">
        <v>125</v>
      </c>
      <c r="B1395">
        <v>2024</v>
      </c>
      <c r="C1395" s="7">
        <f>'1_Du_lieu'!V480</f>
        <v>3.1780538303479458</v>
      </c>
      <c r="D1395" s="9">
        <f>'1_Du_lieu'!Z480</f>
        <v>4.4212473478271628</v>
      </c>
      <c r="E1395" s="9">
        <f>'1_Du_lieu'!AA480</f>
        <v>5.4859999999999998</v>
      </c>
      <c r="F1395" s="9">
        <f>'1_Du_lieu'!AB480</f>
        <v>21.69</v>
      </c>
      <c r="G1395" s="9">
        <f>'1_Du_lieu'!AC480</f>
        <v>33.6</v>
      </c>
      <c r="H1395" s="9">
        <f>'1_Du_lieu'!AE480</f>
        <v>3.9371821635260744</v>
      </c>
      <c r="I1395" s="9">
        <f>'1_Du_lieu'!AF480</f>
        <v>3.4411562284927735</v>
      </c>
      <c r="J1395" s="9">
        <f>'1_Du_lieu'!AG480</f>
        <v>7.4516481064523239</v>
      </c>
      <c r="K1395" s="9">
        <f>'1_Du_lieu'!AD480</f>
        <v>24.5</v>
      </c>
      <c r="L1395" s="5">
        <f t="shared" si="186"/>
        <v>0</v>
      </c>
      <c r="M1395" s="5">
        <f t="shared" si="187"/>
        <v>0</v>
      </c>
      <c r="N1395" s="5">
        <f t="shared" si="188"/>
        <v>0</v>
      </c>
      <c r="O1395" s="5">
        <f t="shared" si="189"/>
        <v>1</v>
      </c>
    </row>
    <row r="1396" spans="1:15" x14ac:dyDescent="0.25">
      <c r="A1396" t="s">
        <v>126</v>
      </c>
      <c r="B1396">
        <v>2024</v>
      </c>
      <c r="C1396" s="7">
        <f>'1_Du_lieu'!V481</f>
        <v>2.8332133440562162</v>
      </c>
      <c r="D1396" s="9">
        <f>'1_Du_lieu'!Z481</f>
        <v>4.4485163759427149</v>
      </c>
      <c r="E1396" s="9">
        <f>'1_Du_lieu'!AA481</f>
        <v>5.16</v>
      </c>
      <c r="F1396" s="9">
        <f>'1_Du_lieu'!AB481</f>
        <v>35.5</v>
      </c>
      <c r="G1396" s="9">
        <f>'1_Du_lieu'!AC481</f>
        <v>18.600000000000001</v>
      </c>
      <c r="H1396" s="9">
        <f>'1_Du_lieu'!AE481</f>
        <v>2.6536588840470872</v>
      </c>
      <c r="I1396" s="9">
        <f>'1_Du_lieu'!AF481</f>
        <v>0.99800399201596801</v>
      </c>
      <c r="J1396" s="9">
        <f>'1_Du_lieu'!AG481</f>
        <v>7.9624505105837899</v>
      </c>
      <c r="K1396" s="9">
        <f>'1_Du_lieu'!AD481</f>
        <v>18.399999999999999</v>
      </c>
      <c r="L1396" s="5">
        <f t="shared" si="186"/>
        <v>0</v>
      </c>
      <c r="M1396" s="5">
        <f t="shared" si="187"/>
        <v>0</v>
      </c>
      <c r="N1396" s="5">
        <f t="shared" si="188"/>
        <v>0</v>
      </c>
      <c r="O1396" s="5">
        <f t="shared" si="189"/>
        <v>1</v>
      </c>
    </row>
    <row r="1397" spans="1:15" x14ac:dyDescent="0.25">
      <c r="A1397" t="s">
        <v>127</v>
      </c>
      <c r="B1397">
        <v>2024</v>
      </c>
      <c r="C1397" s="7">
        <f>'1_Du_lieu'!V482</f>
        <v>3.044522437723423</v>
      </c>
      <c r="D1397" s="9">
        <f>'1_Du_lieu'!Z482</f>
        <v>4.1759245492145238</v>
      </c>
      <c r="E1397" s="9">
        <f>'1_Du_lieu'!AA482</f>
        <v>4.2779999999999996</v>
      </c>
      <c r="F1397" s="9">
        <f>'1_Du_lieu'!AB482</f>
        <v>19.420000000000002</v>
      </c>
      <c r="G1397" s="9">
        <f>'1_Du_lieu'!AC482</f>
        <v>34.1</v>
      </c>
      <c r="H1397" s="9">
        <f>'1_Du_lieu'!AE482</f>
        <v>3.1316354267149693</v>
      </c>
      <c r="I1397" s="9">
        <f>'1_Du_lieu'!AF482</f>
        <v>1.3065064018813692</v>
      </c>
      <c r="J1397" s="9">
        <f>'1_Du_lieu'!AG482</f>
        <v>7.6855193052619608</v>
      </c>
      <c r="K1397" s="9">
        <f>'1_Du_lieu'!AD482</f>
        <v>24.1</v>
      </c>
      <c r="L1397" s="5">
        <f t="shared" si="186"/>
        <v>0</v>
      </c>
      <c r="M1397" s="5">
        <f t="shared" si="187"/>
        <v>0</v>
      </c>
      <c r="N1397" s="5">
        <f t="shared" si="188"/>
        <v>0</v>
      </c>
      <c r="O1397" s="5">
        <f t="shared" si="189"/>
        <v>1</v>
      </c>
    </row>
    <row r="1398" spans="1:15" x14ac:dyDescent="0.25">
      <c r="A1398" t="s">
        <v>128</v>
      </c>
      <c r="B1398">
        <v>2024</v>
      </c>
      <c r="C1398" s="7">
        <f>'1_Du_lieu'!V483</f>
        <v>2.7725887222397811</v>
      </c>
      <c r="D1398" s="9">
        <f>'1_Du_lieu'!Z483</f>
        <v>4.1447207695471677</v>
      </c>
      <c r="E1398" s="9">
        <f>'1_Du_lieu'!AA483</f>
        <v>3.871</v>
      </c>
      <c r="F1398" s="9">
        <f>'1_Du_lieu'!AB483</f>
        <v>32.71</v>
      </c>
      <c r="G1398" s="9">
        <f>'1_Du_lieu'!AC483</f>
        <v>23.1</v>
      </c>
      <c r="H1398" s="9">
        <f>'1_Du_lieu'!AE483</f>
        <v>2.5767721638564964</v>
      </c>
      <c r="I1398" s="9">
        <f>'1_Du_lieu'!AF483</f>
        <v>0.45573658425430102</v>
      </c>
      <c r="J1398" s="9">
        <f>'1_Du_lieu'!AG483</f>
        <v>7.7508299485250332</v>
      </c>
      <c r="K1398" s="9">
        <f>'1_Du_lieu'!AD483</f>
        <v>21</v>
      </c>
      <c r="L1398" s="5">
        <f t="shared" si="186"/>
        <v>0</v>
      </c>
      <c r="M1398" s="5">
        <f t="shared" si="187"/>
        <v>0</v>
      </c>
      <c r="N1398" s="5">
        <f t="shared" si="188"/>
        <v>0</v>
      </c>
      <c r="O1398" s="5">
        <f t="shared" si="189"/>
        <v>1</v>
      </c>
    </row>
    <row r="1399" spans="1:15" x14ac:dyDescent="0.25">
      <c r="A1399" t="s">
        <v>129</v>
      </c>
      <c r="B1399">
        <v>2024</v>
      </c>
      <c r="C1399" s="7">
        <f>'1_Du_lieu'!V484</f>
        <v>2.8332133440562162</v>
      </c>
      <c r="D1399" s="9">
        <f>'1_Du_lieu'!Z484</f>
        <v>4.0826093060036799</v>
      </c>
      <c r="E1399" s="9">
        <f>'1_Du_lieu'!AA484</f>
        <v>5.6340000000000003</v>
      </c>
      <c r="F1399" s="9">
        <f>'1_Du_lieu'!AB484</f>
        <v>23.39</v>
      </c>
      <c r="G1399" s="9">
        <f>'1_Du_lieu'!AC484</f>
        <v>27.7</v>
      </c>
      <c r="H1399" s="9">
        <f>'1_Du_lieu'!AE484</f>
        <v>3.484044469482082</v>
      </c>
      <c r="I1399" s="9">
        <f>'1_Du_lieu'!AF484</f>
        <v>0.87079568956133657</v>
      </c>
      <c r="J1399" s="9">
        <f>'1_Du_lieu'!AG484</f>
        <v>7.1034042959869534</v>
      </c>
      <c r="K1399" s="9">
        <f>'1_Du_lieu'!AD484</f>
        <v>20.5</v>
      </c>
      <c r="L1399" s="5">
        <f t="shared" ref="L1399:L1420" si="190">IF(B1399=2021,1,0)</f>
        <v>0</v>
      </c>
      <c r="M1399" s="5">
        <f t="shared" ref="M1399:M1420" si="191">IF(B1399=2022,1,0)</f>
        <v>0</v>
      </c>
      <c r="N1399" s="5">
        <f t="shared" ref="N1399:N1420" si="192">IF(B1399=2023,1,0)</f>
        <v>0</v>
      </c>
      <c r="O1399" s="5">
        <f t="shared" ref="O1399:O1420" si="193">IF(B1399=2024,1,0)</f>
        <v>1</v>
      </c>
    </row>
    <row r="1400" spans="1:15" x14ac:dyDescent="0.25">
      <c r="A1400" t="s">
        <v>130</v>
      </c>
      <c r="B1400">
        <v>2024</v>
      </c>
      <c r="C1400" s="7">
        <f>'1_Du_lieu'!V485</f>
        <v>2.9957322735539909</v>
      </c>
      <c r="D1400" s="9">
        <f>'1_Du_lieu'!Z485</f>
        <v>4.3320482648676402</v>
      </c>
      <c r="E1400" s="9">
        <f>'1_Du_lieu'!AA485</f>
        <v>5.4539999999999997</v>
      </c>
      <c r="F1400" s="9">
        <f>'1_Du_lieu'!AB485</f>
        <v>30.74</v>
      </c>
      <c r="G1400" s="9">
        <f>'1_Du_lieu'!AC485</f>
        <v>27.5</v>
      </c>
      <c r="H1400" s="9">
        <f>'1_Du_lieu'!AE485</f>
        <v>2.6152570004470386</v>
      </c>
      <c r="I1400" s="9">
        <f>'1_Du_lieu'!AF485</f>
        <v>0.19657951641438962</v>
      </c>
      <c r="J1400" s="9">
        <f>'1_Du_lieu'!AG485</f>
        <v>8.3387361577244334</v>
      </c>
      <c r="K1400" s="9">
        <f>'1_Du_lieu'!AD485</f>
        <v>15.6</v>
      </c>
      <c r="L1400" s="5">
        <f t="shared" si="190"/>
        <v>0</v>
      </c>
      <c r="M1400" s="5">
        <f t="shared" si="191"/>
        <v>0</v>
      </c>
      <c r="N1400" s="5">
        <f t="shared" si="192"/>
        <v>0</v>
      </c>
      <c r="O1400" s="5">
        <f t="shared" si="193"/>
        <v>1</v>
      </c>
    </row>
    <row r="1401" spans="1:15" x14ac:dyDescent="0.25">
      <c r="A1401" t="s">
        <v>131</v>
      </c>
      <c r="B1401">
        <v>2024</v>
      </c>
      <c r="C1401" s="7">
        <f>'1_Du_lieu'!V486</f>
        <v>2.8332133440562162</v>
      </c>
      <c r="D1401" s="9">
        <f>'1_Du_lieu'!Z486</f>
        <v>4.6141299273595635</v>
      </c>
      <c r="E1401" s="9">
        <f>'1_Du_lieu'!AA486</f>
        <v>4.5919999999999996</v>
      </c>
      <c r="F1401" s="9">
        <f>'1_Du_lieu'!AB486</f>
        <v>21.87</v>
      </c>
      <c r="G1401" s="9">
        <f>'1_Du_lieu'!AC486</f>
        <v>26.1</v>
      </c>
      <c r="H1401" s="9">
        <f>'1_Du_lieu'!AE486</f>
        <v>2.5484130705097932</v>
      </c>
      <c r="I1401" s="9">
        <f>'1_Du_lieu'!AF486</f>
        <v>0.72109606602035092</v>
      </c>
      <c r="J1401" s="9">
        <f>'1_Du_lieu'!AG486</f>
        <v>7.5147452630909077</v>
      </c>
      <c r="K1401" s="9">
        <f>'1_Du_lieu'!AD486</f>
        <v>21.7</v>
      </c>
      <c r="L1401" s="5">
        <f t="shared" si="190"/>
        <v>0</v>
      </c>
      <c r="M1401" s="5">
        <f t="shared" si="191"/>
        <v>0</v>
      </c>
      <c r="N1401" s="5">
        <f t="shared" si="192"/>
        <v>0</v>
      </c>
      <c r="O1401" s="5">
        <f t="shared" si="193"/>
        <v>1</v>
      </c>
    </row>
    <row r="1402" spans="1:15" x14ac:dyDescent="0.25">
      <c r="A1402" t="s">
        <v>132</v>
      </c>
      <c r="B1402">
        <v>2024</v>
      </c>
      <c r="C1402" s="7">
        <f>'1_Du_lieu'!V487</f>
        <v>3.2580965380214821</v>
      </c>
      <c r="D1402" s="9">
        <f>'1_Du_lieu'!Z487</f>
        <v>5.3622306922916891</v>
      </c>
      <c r="E1402" s="9">
        <f>'1_Du_lieu'!AA487</f>
        <v>7.4489999999999998</v>
      </c>
      <c r="F1402" s="9">
        <f>'1_Du_lieu'!AB487</f>
        <v>67.36</v>
      </c>
      <c r="G1402" s="9">
        <f>'1_Du_lieu'!AC487</f>
        <v>41.9</v>
      </c>
      <c r="H1402" s="9">
        <f>'1_Du_lieu'!AE487</f>
        <v>3.9967676005152759</v>
      </c>
      <c r="I1402" s="9">
        <f>'1_Du_lieu'!AF487</f>
        <v>2.3892267593397043</v>
      </c>
      <c r="J1402" s="9">
        <f>'1_Du_lieu'!AG487</f>
        <v>9.1526265097857102</v>
      </c>
      <c r="K1402" s="9">
        <f>'1_Du_lieu'!AD487</f>
        <v>17</v>
      </c>
      <c r="L1402" s="5">
        <f t="shared" si="190"/>
        <v>0</v>
      </c>
      <c r="M1402" s="5">
        <f t="shared" si="191"/>
        <v>0</v>
      </c>
      <c r="N1402" s="5">
        <f t="shared" si="192"/>
        <v>0</v>
      </c>
      <c r="O1402" s="5">
        <f t="shared" si="193"/>
        <v>1</v>
      </c>
    </row>
    <row r="1403" spans="1:15" x14ac:dyDescent="0.25">
      <c r="A1403" t="s">
        <v>133</v>
      </c>
      <c r="B1403">
        <v>2024</v>
      </c>
      <c r="C1403" s="7">
        <f>'1_Du_lieu'!V488</f>
        <v>2.8332133440562162</v>
      </c>
      <c r="D1403" s="9">
        <f>'1_Du_lieu'!Z488</f>
        <v>4.2612704335380815</v>
      </c>
      <c r="E1403" s="9">
        <f>'1_Du_lieu'!AA488</f>
        <v>5.1349999999999998</v>
      </c>
      <c r="F1403" s="9">
        <f>'1_Du_lieu'!AB488</f>
        <v>32.76</v>
      </c>
      <c r="G1403" s="9">
        <f>'1_Du_lieu'!AC488</f>
        <v>28</v>
      </c>
      <c r="H1403" s="9">
        <f>'1_Du_lieu'!AE488</f>
        <v>3.0069198408392999</v>
      </c>
      <c r="I1403" s="9">
        <f>'1_Du_lieu'!AF488</f>
        <v>6.1143381228981957</v>
      </c>
      <c r="J1403" s="9">
        <f>'1_Du_lieu'!AG488</f>
        <v>8.2586037931677296</v>
      </c>
      <c r="K1403" s="9">
        <f>'1_Du_lieu'!AD488</f>
        <v>28</v>
      </c>
      <c r="L1403" s="5">
        <f t="shared" si="190"/>
        <v>0</v>
      </c>
      <c r="M1403" s="5">
        <f t="shared" si="191"/>
        <v>0</v>
      </c>
      <c r="N1403" s="5">
        <f t="shared" si="192"/>
        <v>0</v>
      </c>
      <c r="O1403" s="5">
        <f t="shared" si="193"/>
        <v>1</v>
      </c>
    </row>
    <row r="1404" spans="1:15" x14ac:dyDescent="0.25">
      <c r="A1404" t="s">
        <v>134</v>
      </c>
      <c r="B1404">
        <v>2024</v>
      </c>
      <c r="C1404" s="7">
        <f>'1_Du_lieu'!V489</f>
        <v>2.6390573296152584</v>
      </c>
      <c r="D1404" s="9">
        <f>'1_Du_lieu'!Z489</f>
        <v>4.0926765051214034</v>
      </c>
      <c r="E1404" s="9">
        <f>'1_Du_lieu'!AA489</f>
        <v>2.387</v>
      </c>
      <c r="F1404" s="9">
        <f>'1_Du_lieu'!AB489</f>
        <v>33.869999999999997</v>
      </c>
      <c r="G1404" s="9">
        <f>'1_Du_lieu'!AC489</f>
        <v>12.2</v>
      </c>
      <c r="H1404" s="9">
        <f>'1_Du_lieu'!AE489</f>
        <v>1.7353662339180389</v>
      </c>
      <c r="I1404" s="9">
        <f>'1_Du_lieu'!AF489</f>
        <v>3.9205872539205879</v>
      </c>
      <c r="J1404" s="9">
        <f>'1_Du_lieu'!AG489</f>
        <v>5.8897086381535946</v>
      </c>
      <c r="K1404" s="9">
        <f>'1_Du_lieu'!AD489</f>
        <v>15</v>
      </c>
      <c r="L1404" s="5">
        <f t="shared" si="190"/>
        <v>0</v>
      </c>
      <c r="M1404" s="5">
        <f t="shared" si="191"/>
        <v>0</v>
      </c>
      <c r="N1404" s="5">
        <f t="shared" si="192"/>
        <v>0</v>
      </c>
      <c r="O1404" s="5">
        <f t="shared" si="193"/>
        <v>1</v>
      </c>
    </row>
    <row r="1405" spans="1:15" x14ac:dyDescent="0.25">
      <c r="A1405" t="s">
        <v>136</v>
      </c>
      <c r="B1405">
        <v>2024</v>
      </c>
      <c r="C1405" s="7">
        <f>'1_Du_lieu'!V491</f>
        <v>4.4659081186545837</v>
      </c>
      <c r="D1405" s="9">
        <f>'1_Du_lieu'!Z491</f>
        <v>5.1293068238137547</v>
      </c>
      <c r="E1405" s="9">
        <f>'1_Du_lieu'!AA491</f>
        <v>28.876000000000001</v>
      </c>
      <c r="F1405" s="9">
        <f>'1_Du_lieu'!AB491</f>
        <v>77.66</v>
      </c>
      <c r="G1405" s="9">
        <f>'1_Du_lieu'!AC491</f>
        <v>36</v>
      </c>
      <c r="H1405" s="9">
        <f>'1_Du_lieu'!AE491</f>
        <v>2.5606313407704517</v>
      </c>
      <c r="I1405" s="9">
        <f>'1_Du_lieu'!AF491</f>
        <v>3.330971692027874</v>
      </c>
      <c r="J1405" s="9">
        <f>'1_Du_lieu'!AG491</f>
        <v>8.7140256210606033</v>
      </c>
      <c r="K1405" s="9">
        <f>'1_Du_lieu'!AD491</f>
        <v>52.4</v>
      </c>
      <c r="L1405" s="5">
        <f t="shared" si="190"/>
        <v>0</v>
      </c>
      <c r="M1405" s="5">
        <f t="shared" si="191"/>
        <v>0</v>
      </c>
      <c r="N1405" s="5">
        <f t="shared" si="192"/>
        <v>0</v>
      </c>
      <c r="O1405" s="5">
        <f t="shared" si="193"/>
        <v>1</v>
      </c>
    </row>
    <row r="1406" spans="1:15" x14ac:dyDescent="0.25">
      <c r="A1406" t="s">
        <v>137</v>
      </c>
      <c r="B1406">
        <v>2024</v>
      </c>
      <c r="C1406" s="7">
        <f>'1_Du_lieu'!V492</f>
        <v>3.1354942159291497</v>
      </c>
      <c r="D1406" s="9">
        <f>'1_Du_lieu'!Z492</f>
        <v>4.28496492183075</v>
      </c>
      <c r="E1406" s="9">
        <f>'1_Du_lieu'!AA492</f>
        <v>4.4429999999999996</v>
      </c>
      <c r="F1406" s="9">
        <f>'1_Du_lieu'!AB492</f>
        <v>27.71</v>
      </c>
      <c r="G1406" s="9">
        <f>'1_Du_lieu'!AC492</f>
        <v>27.6</v>
      </c>
      <c r="H1406" s="9">
        <f>'1_Du_lieu'!AE492</f>
        <v>2.8583173541466627</v>
      </c>
      <c r="I1406" s="9">
        <f>'1_Du_lieu'!AF492</f>
        <v>0.77550474662388025</v>
      </c>
      <c r="J1406" s="9">
        <f>'1_Du_lieu'!AG492</f>
        <v>8.302959826231783</v>
      </c>
      <c r="K1406" s="9">
        <f>'1_Du_lieu'!AD492</f>
        <v>16.2</v>
      </c>
      <c r="L1406" s="5">
        <f t="shared" si="190"/>
        <v>0</v>
      </c>
      <c r="M1406" s="5">
        <f t="shared" si="191"/>
        <v>0</v>
      </c>
      <c r="N1406" s="5">
        <f t="shared" si="192"/>
        <v>0</v>
      </c>
      <c r="O1406" s="5">
        <f t="shared" si="193"/>
        <v>1</v>
      </c>
    </row>
    <row r="1407" spans="1:15" x14ac:dyDescent="0.25">
      <c r="A1407" t="s">
        <v>138</v>
      </c>
      <c r="B1407">
        <v>2024</v>
      </c>
      <c r="C1407" s="7">
        <f>'1_Du_lieu'!V493</f>
        <v>3.0910424533583161</v>
      </c>
      <c r="D1407" s="9">
        <f>'1_Du_lieu'!Z493</f>
        <v>4.1367652781060524</v>
      </c>
      <c r="E1407" s="9">
        <f>'1_Du_lieu'!AA493</f>
        <v>3.44</v>
      </c>
      <c r="F1407" s="9">
        <f>'1_Du_lieu'!AB493</f>
        <v>11.78</v>
      </c>
      <c r="G1407" s="9">
        <f>'1_Du_lieu'!AC493</f>
        <v>22.9</v>
      </c>
      <c r="H1407" s="9">
        <f>'1_Du_lieu'!AE493</f>
        <v>1.9910358300052735</v>
      </c>
      <c r="I1407" s="9">
        <f>'1_Du_lieu'!AF493</f>
        <v>0.90315040110503109</v>
      </c>
      <c r="J1407" s="9">
        <f>'1_Du_lieu'!AG493</f>
        <v>7.8277192562225881</v>
      </c>
      <c r="K1407" s="9">
        <f>'1_Du_lieu'!AD493</f>
        <v>22</v>
      </c>
      <c r="L1407" s="5">
        <f t="shared" si="190"/>
        <v>0</v>
      </c>
      <c r="M1407" s="5">
        <f t="shared" si="191"/>
        <v>0</v>
      </c>
      <c r="N1407" s="5">
        <f t="shared" si="192"/>
        <v>0</v>
      </c>
      <c r="O1407" s="5">
        <f t="shared" si="193"/>
        <v>1</v>
      </c>
    </row>
    <row r="1408" spans="1:15" x14ac:dyDescent="0.25">
      <c r="A1408" t="s">
        <v>139</v>
      </c>
      <c r="B1408">
        <v>2024</v>
      </c>
      <c r="C1408" s="7">
        <f>'1_Du_lieu'!V494</f>
        <v>2.9957322735539909</v>
      </c>
      <c r="D1408" s="9">
        <f>'1_Du_lieu'!Z494</f>
        <v>4.7041101338429954</v>
      </c>
      <c r="E1408" s="9">
        <f>'1_Du_lieu'!AA494</f>
        <v>4.2539999999999996</v>
      </c>
      <c r="F1408" s="9">
        <f>'1_Du_lieu'!AB494</f>
        <v>40.65</v>
      </c>
      <c r="G1408" s="9">
        <f>'1_Du_lieu'!AC494</f>
        <v>36.6</v>
      </c>
      <c r="H1408" s="9">
        <f>'1_Du_lieu'!AE494</f>
        <v>3.7041660015095488</v>
      </c>
      <c r="I1408" s="9">
        <f>'1_Du_lieu'!AF494</f>
        <v>1.2589794860401393</v>
      </c>
      <c r="J1408" s="9">
        <f>'1_Du_lieu'!AG494</f>
        <v>8.9949045397301752</v>
      </c>
      <c r="K1408" s="9">
        <f>'1_Du_lieu'!AD494</f>
        <v>28.2</v>
      </c>
      <c r="L1408" s="5">
        <f t="shared" si="190"/>
        <v>0</v>
      </c>
      <c r="M1408" s="5">
        <f t="shared" si="191"/>
        <v>0</v>
      </c>
      <c r="N1408" s="5">
        <f t="shared" si="192"/>
        <v>0</v>
      </c>
      <c r="O1408" s="5">
        <f t="shared" si="193"/>
        <v>1</v>
      </c>
    </row>
    <row r="1409" spans="1:15" x14ac:dyDescent="0.25">
      <c r="A1409" t="s">
        <v>141</v>
      </c>
      <c r="B1409">
        <v>2024</v>
      </c>
      <c r="C1409" s="7">
        <f>'1_Du_lieu'!V496</f>
        <v>2.8332133440562162</v>
      </c>
      <c r="D1409" s="9">
        <f>'1_Du_lieu'!Z496</f>
        <v>4.2355547307736243</v>
      </c>
      <c r="E1409" s="9">
        <f>'1_Du_lieu'!AA496</f>
        <v>3.2749999999999999</v>
      </c>
      <c r="F1409" s="9">
        <f>'1_Du_lieu'!AB496</f>
        <v>15.28</v>
      </c>
      <c r="G1409" s="9">
        <f>'1_Du_lieu'!AC496</f>
        <v>14.2</v>
      </c>
      <c r="H1409" s="9">
        <f>'1_Du_lieu'!AE496</f>
        <v>0.53717991903893936</v>
      </c>
      <c r="I1409" s="9">
        <f>'1_Du_lieu'!AF496</f>
        <v>0.94934941642932924</v>
      </c>
      <c r="J1409" s="9">
        <f>'1_Du_lieu'!AG496</f>
        <v>7.3317804126112112</v>
      </c>
      <c r="K1409" s="9">
        <f>'1_Du_lieu'!AD496</f>
        <v>14.7</v>
      </c>
      <c r="L1409" s="5">
        <f t="shared" si="190"/>
        <v>0</v>
      </c>
      <c r="M1409" s="5">
        <f t="shared" si="191"/>
        <v>0</v>
      </c>
      <c r="N1409" s="5">
        <f t="shared" si="192"/>
        <v>0</v>
      </c>
      <c r="O1409" s="5">
        <f t="shared" si="193"/>
        <v>1</v>
      </c>
    </row>
    <row r="1410" spans="1:15" x14ac:dyDescent="0.25">
      <c r="A1410" t="s">
        <v>142</v>
      </c>
      <c r="B1410">
        <v>2024</v>
      </c>
      <c r="C1410" s="7">
        <f>'1_Du_lieu'!V497</f>
        <v>2.6390573296152584</v>
      </c>
      <c r="D1410" s="9">
        <f>'1_Du_lieu'!Z497</f>
        <v>4.4115854369154262</v>
      </c>
      <c r="E1410" s="9">
        <f>'1_Du_lieu'!AA497</f>
        <v>2.7429999999999999</v>
      </c>
      <c r="F1410" s="9">
        <f>'1_Du_lieu'!AB497</f>
        <v>18.329999999999998</v>
      </c>
      <c r="G1410" s="9">
        <f>'1_Du_lieu'!AC497</f>
        <v>16.8</v>
      </c>
      <c r="H1410" s="9">
        <f>'1_Du_lieu'!AE497</f>
        <v>1.8352487534496564</v>
      </c>
      <c r="I1410" s="9">
        <f>'1_Du_lieu'!AF497</f>
        <v>0.8824394548485146</v>
      </c>
      <c r="J1410" s="9">
        <f>'1_Du_lieu'!AG497</f>
        <v>8.0516595568419529</v>
      </c>
      <c r="K1410" s="9">
        <f>'1_Du_lieu'!AD497</f>
        <v>7.4</v>
      </c>
      <c r="L1410" s="5">
        <f t="shared" si="190"/>
        <v>0</v>
      </c>
      <c r="M1410" s="5">
        <f t="shared" si="191"/>
        <v>0</v>
      </c>
      <c r="N1410" s="5">
        <f t="shared" si="192"/>
        <v>0</v>
      </c>
      <c r="O1410" s="5">
        <f t="shared" si="193"/>
        <v>1</v>
      </c>
    </row>
    <row r="1411" spans="1:15" x14ac:dyDescent="0.25">
      <c r="A1411" t="s">
        <v>143</v>
      </c>
      <c r="B1411">
        <v>2024</v>
      </c>
      <c r="C1411" s="7">
        <f>'1_Du_lieu'!V498</f>
        <v>2.5649493574615367</v>
      </c>
      <c r="D1411" s="9">
        <f>'1_Du_lieu'!Z498</f>
        <v>3.9852734671677386</v>
      </c>
      <c r="E1411" s="9">
        <f>'1_Du_lieu'!AA498</f>
        <v>2.3149999999999999</v>
      </c>
      <c r="F1411" s="9">
        <f>'1_Du_lieu'!AB498</f>
        <v>15.12</v>
      </c>
      <c r="G1411" s="9">
        <f>'1_Du_lieu'!AC498</f>
        <v>21.8</v>
      </c>
      <c r="H1411" s="9">
        <f>'1_Du_lieu'!AE498</f>
        <v>3.3430375540206008</v>
      </c>
      <c r="I1411" s="9">
        <f>'1_Du_lieu'!AF498</f>
        <v>0.73873430189608469</v>
      </c>
      <c r="J1411" s="9">
        <f>'1_Du_lieu'!AG498</f>
        <v>5.6517871795378207</v>
      </c>
      <c r="K1411" s="9">
        <f>'1_Du_lieu'!AD498</f>
        <v>12.6</v>
      </c>
      <c r="L1411" s="5">
        <f t="shared" si="190"/>
        <v>0</v>
      </c>
      <c r="M1411" s="5">
        <f t="shared" si="191"/>
        <v>0</v>
      </c>
      <c r="N1411" s="5">
        <f t="shared" si="192"/>
        <v>0</v>
      </c>
      <c r="O1411" s="5">
        <f t="shared" si="193"/>
        <v>1</v>
      </c>
    </row>
    <row r="1412" spans="1:15" x14ac:dyDescent="0.25">
      <c r="A1412" t="s">
        <v>144</v>
      </c>
      <c r="B1412">
        <v>2024</v>
      </c>
      <c r="C1412" s="7">
        <f>'1_Du_lieu'!V499</f>
        <v>2.9444389791664403</v>
      </c>
      <c r="D1412" s="9">
        <f>'1_Du_lieu'!Z499</f>
        <v>4.5347477216915459</v>
      </c>
      <c r="E1412" s="9">
        <f>'1_Du_lieu'!AA499</f>
        <v>4.3029999999999999</v>
      </c>
      <c r="F1412" s="9">
        <f>'1_Du_lieu'!AB499</f>
        <v>32.57</v>
      </c>
      <c r="G1412" s="9">
        <f>'1_Du_lieu'!AC499</f>
        <v>18.2</v>
      </c>
      <c r="H1412" s="9">
        <f>'1_Du_lieu'!AE499</f>
        <v>2.7450291859298734</v>
      </c>
      <c r="I1412" s="9">
        <f>'1_Du_lieu'!AF499</f>
        <v>1.2553351744915893</v>
      </c>
      <c r="J1412" s="9">
        <f>'1_Du_lieu'!AG499</f>
        <v>9.0023070834663255</v>
      </c>
      <c r="K1412" s="9">
        <f>'1_Du_lieu'!AD499</f>
        <v>17.3</v>
      </c>
      <c r="L1412" s="5">
        <f t="shared" si="190"/>
        <v>0</v>
      </c>
      <c r="M1412" s="5">
        <f t="shared" si="191"/>
        <v>0</v>
      </c>
      <c r="N1412" s="5">
        <f t="shared" si="192"/>
        <v>0</v>
      </c>
      <c r="O1412" s="5">
        <f t="shared" si="193"/>
        <v>1</v>
      </c>
    </row>
    <row r="1413" spans="1:15" x14ac:dyDescent="0.25">
      <c r="A1413" t="s">
        <v>145</v>
      </c>
      <c r="B1413">
        <v>2024</v>
      </c>
      <c r="C1413" s="7">
        <f>'1_Du_lieu'!V500</f>
        <v>2.6390573296152584</v>
      </c>
      <c r="D1413" s="9">
        <f>'1_Du_lieu'!Z500</f>
        <v>4.2931954209672663</v>
      </c>
      <c r="E1413" s="9">
        <f>'1_Du_lieu'!AA500</f>
        <v>2.968</v>
      </c>
      <c r="F1413" s="9">
        <f>'1_Du_lieu'!AB500</f>
        <v>22.87</v>
      </c>
      <c r="G1413" s="9">
        <f>'1_Du_lieu'!AC500</f>
        <v>15.9</v>
      </c>
      <c r="H1413" s="9">
        <f>'1_Du_lieu'!AE500</f>
        <v>0.6333113889492803</v>
      </c>
      <c r="I1413" s="9">
        <f>'1_Du_lieu'!AF500</f>
        <v>0.67987567987567987</v>
      </c>
      <c r="J1413" s="9">
        <f>'1_Du_lieu'!AG500</f>
        <v>6.9693206346402921</v>
      </c>
      <c r="K1413" s="9">
        <f>'1_Du_lieu'!AD500</f>
        <v>20.8</v>
      </c>
      <c r="L1413" s="5">
        <f t="shared" si="190"/>
        <v>0</v>
      </c>
      <c r="M1413" s="5">
        <f t="shared" si="191"/>
        <v>0</v>
      </c>
      <c r="N1413" s="5">
        <f t="shared" si="192"/>
        <v>0</v>
      </c>
      <c r="O1413" s="5">
        <f t="shared" si="193"/>
        <v>1</v>
      </c>
    </row>
    <row r="1414" spans="1:15" x14ac:dyDescent="0.25">
      <c r="A1414" t="s">
        <v>146</v>
      </c>
      <c r="B1414">
        <v>2024</v>
      </c>
      <c r="C1414" s="7">
        <f>'1_Du_lieu'!V501</f>
        <v>3.1780538303479458</v>
      </c>
      <c r="D1414" s="9">
        <f>'1_Du_lieu'!Z501</f>
        <v>4.8652240913223981</v>
      </c>
      <c r="E1414" s="9">
        <f>'1_Du_lieu'!AA501</f>
        <v>8.0709999999999997</v>
      </c>
      <c r="F1414" s="9">
        <f>'1_Du_lieu'!AB501</f>
        <v>33.93</v>
      </c>
      <c r="G1414" s="9">
        <f>'1_Du_lieu'!AC501</f>
        <v>35.799999999999997</v>
      </c>
      <c r="H1414" s="9">
        <f>'1_Du_lieu'!AE501</f>
        <v>3.0987317940675676</v>
      </c>
      <c r="I1414" s="9">
        <f>'1_Du_lieu'!AF501</f>
        <v>0.7430033847931975</v>
      </c>
      <c r="J1414" s="9">
        <f>'1_Du_lieu'!AG501</f>
        <v>8.6696739061991703</v>
      </c>
      <c r="K1414" s="9">
        <f>'1_Du_lieu'!AD501</f>
        <v>33.9</v>
      </c>
      <c r="L1414" s="5">
        <f t="shared" si="190"/>
        <v>0</v>
      </c>
      <c r="M1414" s="5">
        <f t="shared" si="191"/>
        <v>0</v>
      </c>
      <c r="N1414" s="5">
        <f t="shared" si="192"/>
        <v>0</v>
      </c>
      <c r="O1414" s="5">
        <f t="shared" si="193"/>
        <v>1</v>
      </c>
    </row>
    <row r="1415" spans="1:15" x14ac:dyDescent="0.25">
      <c r="A1415" t="s">
        <v>147</v>
      </c>
      <c r="B1415">
        <v>2024</v>
      </c>
      <c r="C1415" s="7">
        <f>'1_Du_lieu'!V502</f>
        <v>2.6390573296152584</v>
      </c>
      <c r="D1415" s="9">
        <f>'1_Du_lieu'!Z502</f>
        <v>3.9140210080908191</v>
      </c>
      <c r="E1415" s="9">
        <f>'1_Du_lieu'!AA502</f>
        <v>2.56</v>
      </c>
      <c r="F1415" s="9">
        <f>'1_Du_lieu'!AB502</f>
        <v>20.95</v>
      </c>
      <c r="G1415" s="9">
        <f>'1_Du_lieu'!AC502</f>
        <v>23.2</v>
      </c>
      <c r="H1415" s="9">
        <f>'1_Du_lieu'!AE502</f>
        <v>2.758077157298735</v>
      </c>
      <c r="I1415" s="9">
        <f>'1_Du_lieu'!AF502</f>
        <v>0.23378141437755698</v>
      </c>
      <c r="J1415" s="9">
        <f>'1_Du_lieu'!AG502</f>
        <v>5.7104270173748697</v>
      </c>
      <c r="K1415" s="9">
        <f>'1_Du_lieu'!AD502</f>
        <v>18.2</v>
      </c>
      <c r="L1415" s="5">
        <f t="shared" si="190"/>
        <v>0</v>
      </c>
      <c r="M1415" s="5">
        <f t="shared" si="191"/>
        <v>0</v>
      </c>
      <c r="N1415" s="5">
        <f t="shared" si="192"/>
        <v>0</v>
      </c>
      <c r="O1415" s="5">
        <f t="shared" si="193"/>
        <v>1</v>
      </c>
    </row>
    <row r="1416" spans="1:15" x14ac:dyDescent="0.25">
      <c r="A1416" t="s">
        <v>149</v>
      </c>
      <c r="B1416">
        <v>2024</v>
      </c>
      <c r="C1416" s="7">
        <f>'1_Du_lieu'!V504</f>
        <v>3.8501476017100584</v>
      </c>
      <c r="D1416" s="9">
        <f>'1_Du_lieu'!Z504</f>
        <v>4.6849051540069446</v>
      </c>
      <c r="E1416" s="9">
        <f>'1_Du_lieu'!AA504</f>
        <v>20.716999999999999</v>
      </c>
      <c r="F1416" s="9">
        <f>'1_Du_lieu'!AB504</f>
        <v>87.64</v>
      </c>
      <c r="G1416" s="9">
        <f>'1_Du_lieu'!AC504</f>
        <v>49.7</v>
      </c>
      <c r="H1416" s="9">
        <f>'1_Du_lieu'!AE504</f>
        <v>3.6083664972247567</v>
      </c>
      <c r="I1416" s="9">
        <f>'1_Du_lieu'!AF504</f>
        <v>6.4246707356247992</v>
      </c>
      <c r="J1416" s="9">
        <f>'1_Du_lieu'!AG504</f>
        <v>8.5604250798082386</v>
      </c>
      <c r="K1416" s="9">
        <f>'1_Du_lieu'!AD504</f>
        <v>53.4</v>
      </c>
      <c r="L1416" s="5">
        <f t="shared" si="190"/>
        <v>0</v>
      </c>
      <c r="M1416" s="5">
        <f t="shared" si="191"/>
        <v>0</v>
      </c>
      <c r="N1416" s="5">
        <f t="shared" si="192"/>
        <v>0</v>
      </c>
      <c r="O1416" s="5">
        <f t="shared" si="193"/>
        <v>1</v>
      </c>
    </row>
    <row r="1417" spans="1:15" x14ac:dyDescent="0.25">
      <c r="A1417" t="s">
        <v>150</v>
      </c>
      <c r="B1417">
        <v>2024</v>
      </c>
      <c r="C1417" s="7">
        <f>'1_Du_lieu'!V505</f>
        <v>3.1354942159291497</v>
      </c>
      <c r="D1417" s="9">
        <f>'1_Du_lieu'!Z505</f>
        <v>4.1026433650367959</v>
      </c>
      <c r="E1417" s="9">
        <f>'1_Du_lieu'!AA505</f>
        <v>4.016</v>
      </c>
      <c r="F1417" s="9">
        <f>'1_Du_lieu'!AB505</f>
        <v>26.01</v>
      </c>
      <c r="G1417" s="9">
        <f>'1_Du_lieu'!AC505</f>
        <v>18.3</v>
      </c>
      <c r="H1417" s="9">
        <f>'1_Du_lieu'!AE505</f>
        <v>2.5524177094632949</v>
      </c>
      <c r="I1417" s="9">
        <f>'1_Du_lieu'!AF505</f>
        <v>0.56950556562257315</v>
      </c>
      <c r="J1417" s="9">
        <f>'1_Du_lieu'!AG505</f>
        <v>5.9050893313612365</v>
      </c>
      <c r="K1417" s="9">
        <f>'1_Du_lieu'!AD505</f>
        <v>18.7</v>
      </c>
      <c r="L1417" s="5">
        <f t="shared" si="190"/>
        <v>0</v>
      </c>
      <c r="M1417" s="5">
        <f t="shared" si="191"/>
        <v>0</v>
      </c>
      <c r="N1417" s="5">
        <f t="shared" si="192"/>
        <v>0</v>
      </c>
      <c r="O1417" s="5">
        <f t="shared" si="193"/>
        <v>1</v>
      </c>
    </row>
    <row r="1418" spans="1:15" x14ac:dyDescent="0.25">
      <c r="A1418" t="s">
        <v>151</v>
      </c>
      <c r="B1418">
        <v>2024</v>
      </c>
      <c r="C1418" s="7">
        <f>'1_Du_lieu'!V506</f>
        <v>2.5649493574615367</v>
      </c>
      <c r="D1418" s="9">
        <f>'1_Du_lieu'!Z506</f>
        <v>4.180522258463153</v>
      </c>
      <c r="E1418" s="9">
        <f>'1_Du_lieu'!AA506</f>
        <v>3.883</v>
      </c>
      <c r="F1418" s="9">
        <f>'1_Du_lieu'!AB506</f>
        <v>16.940000000000001</v>
      </c>
      <c r="G1418" s="9">
        <f>'1_Du_lieu'!AC506</f>
        <v>16.7</v>
      </c>
      <c r="H1418" s="9">
        <f>'1_Du_lieu'!AE506</f>
        <v>1.2401345948674423</v>
      </c>
      <c r="I1418" s="9">
        <f>'1_Du_lieu'!AF506</f>
        <v>0.43994720633523976</v>
      </c>
      <c r="J1418" s="9">
        <f>'1_Du_lieu'!AG506</f>
        <v>6.1277421654005302</v>
      </c>
      <c r="K1418" s="9">
        <f>'1_Du_lieu'!AD506</f>
        <v>21.1</v>
      </c>
      <c r="L1418" s="5">
        <f t="shared" si="190"/>
        <v>0</v>
      </c>
      <c r="M1418" s="5">
        <f t="shared" si="191"/>
        <v>0</v>
      </c>
      <c r="N1418" s="5">
        <f t="shared" si="192"/>
        <v>0</v>
      </c>
      <c r="O1418" s="5">
        <f t="shared" si="193"/>
        <v>1</v>
      </c>
    </row>
    <row r="1419" spans="1:15" x14ac:dyDescent="0.25">
      <c r="A1419" t="s">
        <v>152</v>
      </c>
      <c r="B1419">
        <v>2024</v>
      </c>
      <c r="C1419" s="7">
        <f>'1_Du_lieu'!V507</f>
        <v>3.4011973816621555</v>
      </c>
      <c r="D1419" s="9">
        <f>'1_Du_lieu'!Z507</f>
        <v>4.8895969657191998</v>
      </c>
      <c r="E1419" s="9">
        <f>'1_Du_lieu'!AA507</f>
        <v>8.048</v>
      </c>
      <c r="F1419" s="9">
        <f>'1_Du_lieu'!AB507</f>
        <v>45.26</v>
      </c>
      <c r="G1419" s="9">
        <f>'1_Du_lieu'!AC507</f>
        <v>22.8</v>
      </c>
      <c r="H1419" s="9">
        <f>'1_Du_lieu'!AE507</f>
        <v>2.9083693785797728</v>
      </c>
      <c r="I1419" s="9">
        <f>'1_Du_lieu'!AF507</f>
        <v>0.5436588238847444</v>
      </c>
      <c r="J1419" s="9">
        <f>'1_Du_lieu'!AG507</f>
        <v>9.2919295755159954</v>
      </c>
      <c r="K1419" s="9">
        <f>'1_Du_lieu'!AD507</f>
        <v>28.4</v>
      </c>
      <c r="L1419" s="5">
        <f t="shared" si="190"/>
        <v>0</v>
      </c>
      <c r="M1419" s="5">
        <f t="shared" si="191"/>
        <v>0</v>
      </c>
      <c r="N1419" s="5">
        <f t="shared" si="192"/>
        <v>0</v>
      </c>
      <c r="O1419" s="5">
        <f t="shared" si="193"/>
        <v>1</v>
      </c>
    </row>
    <row r="1420" spans="1:15" x14ac:dyDescent="0.25">
      <c r="A1420" t="s">
        <v>153</v>
      </c>
      <c r="B1420">
        <v>2024</v>
      </c>
      <c r="C1420" s="7">
        <f>'1_Du_lieu'!V508</f>
        <v>2.9444389791664403</v>
      </c>
      <c r="D1420" s="9">
        <f>'1_Du_lieu'!Z508</f>
        <v>4.2312037449392976</v>
      </c>
      <c r="E1420" s="9">
        <f>'1_Du_lieu'!AA508</f>
        <v>2.605</v>
      </c>
      <c r="F1420" s="9">
        <f>'1_Du_lieu'!AB508</f>
        <v>20.36</v>
      </c>
      <c r="G1420" s="9">
        <f>'1_Du_lieu'!AC508</f>
        <v>14.6</v>
      </c>
      <c r="H1420" s="9">
        <f>'1_Du_lieu'!AE508</f>
        <v>0.85303955406626408</v>
      </c>
      <c r="I1420" s="9">
        <f>'1_Du_lieu'!AF508</f>
        <v>0.68741407324084491</v>
      </c>
      <c r="J1420" s="9">
        <f>'1_Du_lieu'!AG508</f>
        <v>4.9815497132011588</v>
      </c>
      <c r="K1420" s="9">
        <f>'1_Du_lieu'!AD508</f>
        <v>14.6</v>
      </c>
      <c r="L1420" s="5">
        <f t="shared" si="190"/>
        <v>0</v>
      </c>
      <c r="M1420" s="5">
        <f t="shared" si="191"/>
        <v>0</v>
      </c>
      <c r="N1420" s="5">
        <f t="shared" si="192"/>
        <v>0</v>
      </c>
      <c r="O1420" s="5">
        <f t="shared" si="193"/>
        <v>1</v>
      </c>
    </row>
    <row r="1422" spans="1:15" x14ac:dyDescent="0.25">
      <c r="A1422" s="14" t="s">
        <v>428</v>
      </c>
    </row>
    <row r="1423" spans="1:15" ht="32.1" customHeight="1" x14ac:dyDescent="0.25">
      <c r="A1423" s="3" t="s">
        <v>155</v>
      </c>
      <c r="B1423" s="3" t="s">
        <v>389</v>
      </c>
      <c r="C1423" s="3" t="s">
        <v>390</v>
      </c>
      <c r="D1423" s="3" t="s">
        <v>391</v>
      </c>
      <c r="E1423" s="3" t="s">
        <v>392</v>
      </c>
      <c r="F1423" s="3" t="s">
        <v>393</v>
      </c>
      <c r="G1423" s="3" t="s">
        <v>394</v>
      </c>
    </row>
    <row r="1424" spans="1:15" x14ac:dyDescent="0.25">
      <c r="A1424" t="s">
        <v>77</v>
      </c>
      <c r="B1424" s="12">
        <f>INDEX(LINEST($C$1143:$C$1420,$D$1143:$O$1420,TRUE,TRUE),1,12)</f>
        <v>6.1919213044247134E-2</v>
      </c>
      <c r="C1424" s="7">
        <f>INDEX(LINEST($C$1143:$C$1420,$D$1143:$O$1420,TRUE,TRUE),2,12)</f>
        <v>5.4830869640179282E-2</v>
      </c>
      <c r="D1424" s="18">
        <v>9.3036351843758094E-2</v>
      </c>
      <c r="E1424" s="18">
        <v>0.50570654650812408</v>
      </c>
      <c r="F1424" s="5" t="str">
        <f t="shared" ref="F1424:F1436" si="194">IF(E1424="","",IF(E1424&lt;0.01,"***",IF(E1424&lt;0.05,"**",IF(E1424&lt;0.1,"*",""))))</f>
        <v/>
      </c>
      <c r="G1424" s="18">
        <v>6.1919213044245899E-2</v>
      </c>
    </row>
    <row r="1425" spans="1:7" x14ac:dyDescent="0.25">
      <c r="A1425" t="s">
        <v>78</v>
      </c>
      <c r="B1425" s="12">
        <f>INDEX(LINEST($C$1143:$C$1420,$D$1143:$O$1420,TRUE,TRUE),1,11)</f>
        <v>7.2859341215691806E-2</v>
      </c>
      <c r="C1425" s="7">
        <f>INDEX(LINEST($C$1143:$C$1420,$D$1143:$O$1420,TRUE,TRUE),2,11)</f>
        <v>5.59779915883276E-3</v>
      </c>
      <c r="D1425" s="18">
        <v>7.8849940497450009E-3</v>
      </c>
      <c r="E1425" s="18">
        <v>2.4591469968529801E-20</v>
      </c>
      <c r="F1425" s="5" t="str">
        <f t="shared" si="194"/>
        <v>***</v>
      </c>
      <c r="G1425" s="18">
        <v>7.28593412156925E-2</v>
      </c>
    </row>
    <row r="1426" spans="1:7" x14ac:dyDescent="0.25">
      <c r="A1426" t="s">
        <v>79</v>
      </c>
      <c r="B1426" s="12">
        <f>INDEX(LINEST($C$1143:$C$1420,$D$1143:$O$1420,TRUE,TRUE),1,10)</f>
        <v>-1.9300523311449129E-3</v>
      </c>
      <c r="C1426" s="7">
        <f>INDEX(LINEST($C$1143:$C$1420,$D$1143:$O$1420,TRUE,TRUE),2,10)</f>
        <v>1.1593650728452714E-3</v>
      </c>
      <c r="D1426" s="18">
        <v>2.3350636780374002E-3</v>
      </c>
      <c r="E1426" s="18">
        <v>0.40849084421893361</v>
      </c>
      <c r="F1426" s="5" t="str">
        <f t="shared" si="194"/>
        <v/>
      </c>
      <c r="G1426" s="18">
        <v>-1.9300523311449999E-3</v>
      </c>
    </row>
    <row r="1427" spans="1:7" x14ac:dyDescent="0.25">
      <c r="A1427" t="s">
        <v>80</v>
      </c>
      <c r="B1427" s="12">
        <f>INDEX(LINEST($C$1143:$C$1420,$D$1143:$O$1420,TRUE,TRUE),1,9)</f>
        <v>1.4773337047904052E-3</v>
      </c>
      <c r="C1427" s="7">
        <f>INDEX(LINEST($C$1143:$C$1420,$D$1143:$O$1420,TRUE,TRUE),2,9)</f>
        <v>2.7478832976584821E-3</v>
      </c>
      <c r="D1427" s="18">
        <v>4.4232368251225004E-3</v>
      </c>
      <c r="E1427" s="18">
        <v>0.73838423219138516</v>
      </c>
      <c r="F1427" s="5" t="str">
        <f t="shared" si="194"/>
        <v/>
      </c>
      <c r="G1427" s="18">
        <v>1.4773337047900999E-3</v>
      </c>
    </row>
    <row r="1428" spans="1:7" x14ac:dyDescent="0.25">
      <c r="A1428" t="s">
        <v>82</v>
      </c>
      <c r="B1428" s="12">
        <f>INDEX(LINEST($C$1143:$C$1420,$D$1143:$O$1420,TRUE,TRUE),1,8)</f>
        <v>3.7337406148445107E-2</v>
      </c>
      <c r="C1428" s="7">
        <f>INDEX(LINEST($C$1143:$C$1420,$D$1143:$O$1420,TRUE,TRUE),2,8)</f>
        <v>1.6976197702724356E-2</v>
      </c>
      <c r="D1428" s="18">
        <v>3.1276455364720998E-2</v>
      </c>
      <c r="E1428" s="18">
        <v>0.2325615442638356</v>
      </c>
      <c r="F1428" s="5" t="str">
        <f t="shared" si="194"/>
        <v/>
      </c>
      <c r="G1428" s="18">
        <v>3.7337406148445301E-2</v>
      </c>
    </row>
    <row r="1429" spans="1:7" x14ac:dyDescent="0.25">
      <c r="A1429" t="s">
        <v>83</v>
      </c>
      <c r="B1429" s="12">
        <f>INDEX(LINEST($C$1143:$C$1420,$D$1143:$O$1420,TRUE,TRUE),1,7)</f>
        <v>-3.6055276144641671E-2</v>
      </c>
      <c r="C1429" s="7">
        <f>INDEX(LINEST($C$1143:$C$1420,$D$1143:$O$1420,TRUE,TRUE),2,7)</f>
        <v>1.1466176829229874E-2</v>
      </c>
      <c r="D1429" s="18">
        <v>1.8137734150935801E-2</v>
      </c>
      <c r="E1429" s="18">
        <v>4.6827176085905801E-2</v>
      </c>
      <c r="F1429" s="5" t="str">
        <f t="shared" si="194"/>
        <v>**</v>
      </c>
      <c r="G1429" s="18">
        <v>-3.6055276144641803E-2</v>
      </c>
    </row>
    <row r="1430" spans="1:7" x14ac:dyDescent="0.25">
      <c r="A1430" t="s">
        <v>84</v>
      </c>
      <c r="B1430" s="12">
        <f>INDEX(LINEST($C$1143:$C$1420,$D$1143:$O$1420,TRUE,TRUE),1,6)</f>
        <v>1.2836629921516482E-2</v>
      </c>
      <c r="C1430" s="7">
        <f>INDEX(LINEST($C$1143:$C$1420,$D$1143:$O$1420,TRUE,TRUE),2,6)</f>
        <v>1.1466518136896083E-2</v>
      </c>
      <c r="D1430" s="18">
        <v>1.8011519546111899E-2</v>
      </c>
      <c r="E1430" s="18">
        <v>0.47603760388703897</v>
      </c>
      <c r="F1430" s="5" t="str">
        <f t="shared" si="194"/>
        <v/>
      </c>
      <c r="G1430" s="18">
        <v>1.28366299215153E-2</v>
      </c>
    </row>
    <row r="1431" spans="1:7" x14ac:dyDescent="0.25">
      <c r="A1431" t="s">
        <v>81</v>
      </c>
      <c r="B1431" s="12">
        <f>INDEX(LINEST($C$1143:$C$1420,$D$1143:$O$1420,TRUE,TRUE),1,5)</f>
        <v>2.6746610936133407E-3</v>
      </c>
      <c r="C1431" s="7">
        <f>INDEX(LINEST($C$1143:$C$1420,$D$1143:$O$1420,TRUE,TRUE),2,5)</f>
        <v>2.7106457533589167E-3</v>
      </c>
      <c r="D1431" s="18">
        <v>3.6058636987714001E-3</v>
      </c>
      <c r="E1431" s="18">
        <v>0.45823685419891808</v>
      </c>
      <c r="F1431" s="5" t="str">
        <f t="shared" si="194"/>
        <v/>
      </c>
      <c r="G1431" s="18">
        <v>2.6746610936134998E-3</v>
      </c>
    </row>
    <row r="1432" spans="1:7" x14ac:dyDescent="0.25">
      <c r="A1432" t="s">
        <v>396</v>
      </c>
      <c r="B1432" s="12">
        <f>INDEX(LINEST($C$1143:$C$1420,$D$1143:$O$1420,TRUE,TRUE),1,4)</f>
        <v>-1.8066976478588963</v>
      </c>
      <c r="C1432" s="7">
        <f>INDEX(LINEST($C$1143:$C$1420,$D$1143:$O$1420,TRUE,TRUE),2,4)</f>
        <v>3.6474767535007557E-2</v>
      </c>
      <c r="D1432" s="18">
        <v>4.3544107102127902E-2</v>
      </c>
      <c r="E1432" s="18">
        <v>0</v>
      </c>
      <c r="F1432" s="5" t="str">
        <f t="shared" si="194"/>
        <v>***</v>
      </c>
      <c r="G1432" s="18">
        <v>-1.806697647858899</v>
      </c>
    </row>
    <row r="1433" spans="1:7" x14ac:dyDescent="0.25">
      <c r="A1433" t="s">
        <v>397</v>
      </c>
      <c r="B1433" s="12">
        <f>INDEX(LINEST($C$1143:$C$1420,$D$1143:$O$1420,TRUE,TRUE),1,3)</f>
        <v>-0.85568177981859084</v>
      </c>
      <c r="C1433" s="7">
        <f>INDEX(LINEST($C$1143:$C$1420,$D$1143:$O$1420,TRUE,TRUE),2,3)</f>
        <v>3.7696728704397484E-2</v>
      </c>
      <c r="D1433" s="18">
        <v>3.2729871164555398E-2</v>
      </c>
      <c r="E1433" s="18">
        <v>1.160561825063663E-150</v>
      </c>
      <c r="F1433" s="5" t="str">
        <f t="shared" si="194"/>
        <v>***</v>
      </c>
      <c r="G1433" s="18">
        <v>-0.85568177981859272</v>
      </c>
    </row>
    <row r="1434" spans="1:7" x14ac:dyDescent="0.25">
      <c r="A1434" t="s">
        <v>398</v>
      </c>
      <c r="B1434" s="12">
        <f>INDEX(LINEST($C$1143:$C$1420,$D$1143:$O$1420,TRUE,TRUE),1,2)</f>
        <v>-0.9276917726193461</v>
      </c>
      <c r="C1434" s="7">
        <f>INDEX(LINEST($C$1143:$C$1420,$D$1143:$O$1420,TRUE,TRUE),2,2)</f>
        <v>3.7148932947885058E-2</v>
      </c>
      <c r="D1434" s="18">
        <v>2.9768908130423901E-2</v>
      </c>
      <c r="E1434" s="18">
        <v>3.3697692639052453E-213</v>
      </c>
      <c r="F1434" s="5" t="str">
        <f t="shared" si="194"/>
        <v>***</v>
      </c>
      <c r="G1434" s="18">
        <v>-0.92769177261934799</v>
      </c>
    </row>
    <row r="1435" spans="1:7" x14ac:dyDescent="0.25">
      <c r="A1435" t="s">
        <v>399</v>
      </c>
      <c r="B1435" s="12">
        <f>INDEX(LINEST($C$1143:$C$1420,$D$1143:$O$1420,TRUE,TRUE),1,1)</f>
        <v>-0.74993833616752492</v>
      </c>
      <c r="C1435" s="7">
        <f>INDEX(LINEST($C$1143:$C$1420,$D$1143:$O$1420,TRUE,TRUE),2,1)</f>
        <v>3.7623655257747267E-2</v>
      </c>
      <c r="D1435" s="18">
        <v>2.8793900479314499E-2</v>
      </c>
      <c r="E1435" s="18">
        <v>1.5311131414937591E-149</v>
      </c>
      <c r="F1435" s="5" t="str">
        <f t="shared" si="194"/>
        <v>***</v>
      </c>
      <c r="G1435" s="18">
        <v>-0.74993833616752581</v>
      </c>
    </row>
    <row r="1436" spans="1:7" x14ac:dyDescent="0.25">
      <c r="A1436" t="s">
        <v>400</v>
      </c>
      <c r="B1436" s="12">
        <f>INDEX(LINEST($C$1143:$C$1420,$D$1143:$O$1420,TRUE,TRUE),1,13)</f>
        <v>2.8916166783047608</v>
      </c>
      <c r="C1436" s="7">
        <f>INDEX(LINEST($C$1143:$C$1420,$D$1143:$O$1420,TRUE,TRUE),2,13)</f>
        <v>0.16774749185835286</v>
      </c>
      <c r="D1436" s="18">
        <v>0.27530546794540728</v>
      </c>
      <c r="E1436" s="18">
        <v>8.340967199080136E-26</v>
      </c>
      <c r="F1436" s="5" t="str">
        <f t="shared" si="194"/>
        <v>***</v>
      </c>
      <c r="G1436" s="18">
        <v>2.8916166783047821</v>
      </c>
    </row>
    <row r="1437" spans="1:7" x14ac:dyDescent="0.25">
      <c r="A1437" s="10" t="s">
        <v>157</v>
      </c>
      <c r="B1437" s="20">
        <f>COUNT($C$1143:$C$1420)</f>
        <v>278</v>
      </c>
    </row>
    <row r="1438" spans="1:7" x14ac:dyDescent="0.25">
      <c r="A1438" s="10" t="s">
        <v>341</v>
      </c>
      <c r="B1438" s="12">
        <f>INDEX(LINEST($C$1143:$C$1420,$D$1143:$O$1420,TRUE,TRUE),3,1)</f>
        <v>0.93173377793721668</v>
      </c>
    </row>
    <row r="1439" spans="1:7" x14ac:dyDescent="0.25">
      <c r="A1439" s="10" t="s">
        <v>401</v>
      </c>
      <c r="B1439" s="12">
        <f>1-(1-B1438)*(B1437-1)/(B1437-12-1)</f>
        <v>0.92864247731550575</v>
      </c>
    </row>
    <row r="1441" spans="1:14" x14ac:dyDescent="0.25">
      <c r="A1441" s="14" t="s">
        <v>429</v>
      </c>
    </row>
    <row r="1442" spans="1:14" ht="32.1" customHeight="1" x14ac:dyDescent="0.25">
      <c r="A1442" s="3" t="s">
        <v>52</v>
      </c>
      <c r="B1442" s="3" t="s">
        <v>53</v>
      </c>
      <c r="C1442" s="3" t="s">
        <v>379</v>
      </c>
      <c r="D1442" s="3" t="s">
        <v>74</v>
      </c>
      <c r="E1442" s="3" t="s">
        <v>326</v>
      </c>
      <c r="F1442" s="3" t="s">
        <v>176</v>
      </c>
      <c r="G1442" s="3" t="s">
        <v>327</v>
      </c>
      <c r="H1442" s="3" t="s">
        <v>380</v>
      </c>
      <c r="I1442" s="3" t="s">
        <v>183</v>
      </c>
      <c r="J1442" s="3" t="s">
        <v>381</v>
      </c>
      <c r="K1442" s="3" t="s">
        <v>179</v>
      </c>
      <c r="L1442" s="3" t="s">
        <v>384</v>
      </c>
      <c r="M1442" s="3" t="s">
        <v>385</v>
      </c>
      <c r="N1442" s="3" t="s">
        <v>386</v>
      </c>
    </row>
    <row r="1443" spans="1:14" x14ac:dyDescent="0.25">
      <c r="A1443" t="s">
        <v>85</v>
      </c>
      <c r="B1443">
        <v>2021</v>
      </c>
      <c r="C1443" s="7">
        <f>'1_Du_lieu'!V257</f>
        <v>1.6937790608678513</v>
      </c>
      <c r="D1443" s="9">
        <f>'1_Du_lieu'!W257</f>
        <v>3.8649313978942956</v>
      </c>
      <c r="E1443" s="9">
        <f>'1_Du_lieu'!L257</f>
        <v>2.5430000000000001</v>
      </c>
      <c r="F1443" s="9">
        <f>'1_Du_lieu'!M257</f>
        <v>33.83</v>
      </c>
      <c r="G1443" s="9">
        <f>'1_Du_lieu'!N257</f>
        <v>13.4</v>
      </c>
      <c r="H1443" s="9">
        <f>'1_Du_lieu'!X257</f>
        <v>1.4629474402226359</v>
      </c>
      <c r="I1443" s="9">
        <f>'1_Du_lieu'!T257</f>
        <v>0.47132757266300079</v>
      </c>
      <c r="J1443" s="9">
        <f>'1_Du_lieu'!Y257</f>
        <v>5.0388987593691148</v>
      </c>
      <c r="K1443" s="9">
        <f>'1_Du_lieu'!O257</f>
        <v>20.399999999999999</v>
      </c>
      <c r="L1443" s="5">
        <f t="shared" ref="L1443:L1506" si="195">IF(B1443=2022,1,0)</f>
        <v>0</v>
      </c>
      <c r="M1443" s="5">
        <f t="shared" ref="M1443:M1506" si="196">IF(B1443=2023,1,0)</f>
        <v>0</v>
      </c>
      <c r="N1443" s="5">
        <f t="shared" ref="N1443:N1506" si="197">IF(B1443=2024,1,0)</f>
        <v>0</v>
      </c>
    </row>
    <row r="1444" spans="1:14" x14ac:dyDescent="0.25">
      <c r="A1444" t="s">
        <v>87</v>
      </c>
      <c r="B1444">
        <v>2021</v>
      </c>
      <c r="C1444" s="7">
        <f>'1_Du_lieu'!V258</f>
        <v>2.3015845926604621</v>
      </c>
      <c r="D1444" s="9">
        <f>'1_Du_lieu'!W258</f>
        <v>5.6957503029589365</v>
      </c>
      <c r="E1444" s="9">
        <f>'1_Du_lieu'!L258</f>
        <v>9.6869999999999994</v>
      </c>
      <c r="F1444" s="9">
        <f>'1_Du_lieu'!M258</f>
        <v>58.4</v>
      </c>
      <c r="G1444" s="9">
        <f>'1_Du_lieu'!N258</f>
        <v>29.9</v>
      </c>
      <c r="H1444" s="9">
        <f>'1_Du_lieu'!X258</f>
        <v>1.9398671720527669</v>
      </c>
      <c r="I1444" s="9">
        <f>'1_Du_lieu'!T258</f>
        <v>1.1903749681149565</v>
      </c>
      <c r="J1444" s="9">
        <f>'1_Du_lieu'!Y258</f>
        <v>10.242531479525159</v>
      </c>
      <c r="K1444" s="9">
        <f>'1_Du_lieu'!O258</f>
        <v>28.5</v>
      </c>
      <c r="L1444" s="5">
        <f t="shared" si="195"/>
        <v>0</v>
      </c>
      <c r="M1444" s="5">
        <f t="shared" si="196"/>
        <v>0</v>
      </c>
      <c r="N1444" s="5">
        <f t="shared" si="197"/>
        <v>0</v>
      </c>
    </row>
    <row r="1445" spans="1:14" x14ac:dyDescent="0.25">
      <c r="A1445" t="s">
        <v>89</v>
      </c>
      <c r="B1445">
        <v>2021</v>
      </c>
      <c r="C1445" s="7">
        <f>'1_Du_lieu'!V259</f>
        <v>2.6919208191723265</v>
      </c>
      <c r="D1445" s="9">
        <f>'1_Du_lieu'!W259</f>
        <v>5.0587903359833026</v>
      </c>
      <c r="E1445" s="9">
        <f>'1_Du_lieu'!L259</f>
        <v>14.506</v>
      </c>
      <c r="F1445" s="9">
        <f>'1_Du_lieu'!M259</f>
        <v>84.32</v>
      </c>
      <c r="G1445" s="9">
        <f>'1_Du_lieu'!N259</f>
        <v>21</v>
      </c>
      <c r="H1445" s="9">
        <f>'1_Du_lieu'!X259</f>
        <v>3.1894784236488696</v>
      </c>
      <c r="I1445" s="9">
        <f>'1_Du_lieu'!T259</f>
        <v>0.65465187923598278</v>
      </c>
      <c r="J1445" s="9">
        <f>'1_Du_lieu'!Y259</f>
        <v>9.5856280198467356</v>
      </c>
      <c r="K1445" s="9">
        <f>'1_Du_lieu'!O259</f>
        <v>20.3</v>
      </c>
      <c r="L1445" s="5">
        <f t="shared" si="195"/>
        <v>0</v>
      </c>
      <c r="M1445" s="5">
        <f t="shared" si="196"/>
        <v>0</v>
      </c>
      <c r="N1445" s="5">
        <f t="shared" si="197"/>
        <v>0</v>
      </c>
    </row>
    <row r="1446" spans="1:14" x14ac:dyDescent="0.25">
      <c r="A1446" t="s">
        <v>90</v>
      </c>
      <c r="B1446">
        <v>2021</v>
      </c>
      <c r="C1446" s="7">
        <f>'1_Du_lieu'!V260</f>
        <v>1.6272778305624314</v>
      </c>
      <c r="D1446" s="9">
        <f>'1_Du_lieu'!W260</f>
        <v>4.3320482648676402</v>
      </c>
      <c r="E1446" s="9">
        <f>'1_Du_lieu'!L260</f>
        <v>6.069</v>
      </c>
      <c r="F1446" s="9">
        <f>'1_Du_lieu'!M260</f>
        <v>24.16</v>
      </c>
      <c r="G1446" s="9">
        <f>'1_Du_lieu'!N260</f>
        <v>19.2</v>
      </c>
      <c r="H1446" s="9">
        <f>'1_Du_lieu'!X260</f>
        <v>0.91400363148611896</v>
      </c>
      <c r="I1446" s="9">
        <f>'1_Du_lieu'!T260</f>
        <v>0.87864883334960475</v>
      </c>
      <c r="J1446" s="9">
        <f>'1_Du_lieu'!Y260</f>
        <v>8.2010842092241667</v>
      </c>
      <c r="K1446" s="9">
        <f>'1_Du_lieu'!O260</f>
        <v>19.7</v>
      </c>
      <c r="L1446" s="5">
        <f t="shared" si="195"/>
        <v>0</v>
      </c>
      <c r="M1446" s="5">
        <f t="shared" si="196"/>
        <v>0</v>
      </c>
      <c r="N1446" s="5">
        <f t="shared" si="197"/>
        <v>0</v>
      </c>
    </row>
    <row r="1447" spans="1:14" x14ac:dyDescent="0.25">
      <c r="A1447" t="s">
        <v>91</v>
      </c>
      <c r="B1447">
        <v>2021</v>
      </c>
      <c r="C1447" s="7">
        <f>'1_Du_lieu'!V261</f>
        <v>1.7613002617433464</v>
      </c>
      <c r="D1447" s="9">
        <f>'1_Du_lieu'!W261</f>
        <v>4.2959239356204701</v>
      </c>
      <c r="E1447" s="9">
        <f>'1_Du_lieu'!L261</f>
        <v>4.3860000000000001</v>
      </c>
      <c r="F1447" s="9">
        <f>'1_Du_lieu'!M261</f>
        <v>38.5</v>
      </c>
      <c r="G1447" s="9">
        <f>'1_Du_lieu'!N261</f>
        <v>18.3</v>
      </c>
      <c r="H1447" s="9">
        <f>'1_Du_lieu'!X261</f>
        <v>1.3082655913743744</v>
      </c>
      <c r="I1447" s="9">
        <f>'1_Du_lieu'!T261</f>
        <v>0.32095001203562545</v>
      </c>
      <c r="J1447" s="9">
        <f>'1_Du_lieu'!Y261</f>
        <v>8.0287485674318138</v>
      </c>
      <c r="K1447" s="9">
        <f>'1_Du_lieu'!O261</f>
        <v>21.9</v>
      </c>
      <c r="L1447" s="5">
        <f t="shared" si="195"/>
        <v>0</v>
      </c>
      <c r="M1447" s="5">
        <f t="shared" si="196"/>
        <v>0</v>
      </c>
      <c r="N1447" s="5">
        <f t="shared" si="197"/>
        <v>0</v>
      </c>
    </row>
    <row r="1448" spans="1:14" x14ac:dyDescent="0.25">
      <c r="A1448" t="s">
        <v>93</v>
      </c>
      <c r="B1448">
        <v>2021</v>
      </c>
      <c r="C1448" s="7">
        <f>'1_Du_lieu'!V262</f>
        <v>1.8453002361560848</v>
      </c>
      <c r="D1448" s="9">
        <f>'1_Du_lieu'!W262</f>
        <v>4.1541845625781173</v>
      </c>
      <c r="E1448" s="9">
        <f>'1_Du_lieu'!L262</f>
        <v>4.6790000000000003</v>
      </c>
      <c r="F1448" s="9">
        <f>'1_Du_lieu'!M262</f>
        <v>41.16</v>
      </c>
      <c r="G1448" s="9">
        <f>'1_Du_lieu'!N262</f>
        <v>25</v>
      </c>
      <c r="H1448" s="9">
        <f>'1_Du_lieu'!X262</f>
        <v>2.8253474112841697</v>
      </c>
      <c r="I1448" s="9">
        <f>'1_Du_lieu'!T262</f>
        <v>0.79559769276669101</v>
      </c>
      <c r="J1448" s="9">
        <f>'1_Du_lieu'!Y262</f>
        <v>6.6705128032884256</v>
      </c>
      <c r="K1448" s="9">
        <f>'1_Du_lieu'!O262</f>
        <v>26.1</v>
      </c>
      <c r="L1448" s="5">
        <f t="shared" si="195"/>
        <v>0</v>
      </c>
      <c r="M1448" s="5">
        <f t="shared" si="196"/>
        <v>0</v>
      </c>
      <c r="N1448" s="5">
        <f t="shared" si="197"/>
        <v>0</v>
      </c>
    </row>
    <row r="1449" spans="1:14" x14ac:dyDescent="0.25">
      <c r="A1449" t="s">
        <v>95</v>
      </c>
      <c r="B1449">
        <v>2021</v>
      </c>
      <c r="C1449" s="7">
        <f>'1_Du_lieu'!V264</f>
        <v>1.8578592709325787</v>
      </c>
      <c r="D1449" s="9">
        <f>'1_Du_lieu'!W264</f>
        <v>4.2527717988166192</v>
      </c>
      <c r="E1449" s="9">
        <f>'1_Du_lieu'!L264</f>
        <v>3.7949999999999999</v>
      </c>
      <c r="F1449" s="9">
        <f>'1_Du_lieu'!M264</f>
        <v>18.22</v>
      </c>
      <c r="G1449" s="9">
        <f>'1_Du_lieu'!N264</f>
        <v>26.7</v>
      </c>
      <c r="H1449" s="9">
        <f>'1_Du_lieu'!X264</f>
        <v>2.5595528323543606</v>
      </c>
      <c r="I1449" s="9">
        <f>'1_Du_lieu'!T264</f>
        <v>0.63993174061433444</v>
      </c>
      <c r="J1449" s="9">
        <f>'1_Du_lieu'!Y264</f>
        <v>8.4331156882250244</v>
      </c>
      <c r="K1449" s="9">
        <f>'1_Du_lieu'!O264</f>
        <v>20.7</v>
      </c>
      <c r="L1449" s="5">
        <f t="shared" si="195"/>
        <v>0</v>
      </c>
      <c r="M1449" s="5">
        <f t="shared" si="196"/>
        <v>0</v>
      </c>
      <c r="N1449" s="5">
        <f t="shared" si="197"/>
        <v>0</v>
      </c>
    </row>
    <row r="1450" spans="1:14" x14ac:dyDescent="0.25">
      <c r="A1450" t="s">
        <v>97</v>
      </c>
      <c r="B1450">
        <v>2021</v>
      </c>
      <c r="C1450" s="7">
        <f>'1_Du_lieu'!V265</f>
        <v>1.3812818192963463</v>
      </c>
      <c r="D1450" s="9">
        <f>'1_Du_lieu'!W265</f>
        <v>3.7495040759303713</v>
      </c>
      <c r="E1450" s="9">
        <f>'1_Du_lieu'!L265</f>
        <v>2.0230000000000001</v>
      </c>
      <c r="F1450" s="9">
        <f>'1_Du_lieu'!M265</f>
        <v>22.58</v>
      </c>
      <c r="G1450" s="9">
        <f>'1_Du_lieu'!N265</f>
        <v>27</v>
      </c>
      <c r="H1450" s="9">
        <f>'1_Du_lieu'!X265</f>
        <v>1.3645900193889404</v>
      </c>
      <c r="I1450" s="9">
        <f>'1_Du_lieu'!T265</f>
        <v>0.92678405931417984</v>
      </c>
      <c r="J1450" s="9">
        <f>'1_Du_lieu'!Y265</f>
        <v>3.2347491740244907</v>
      </c>
      <c r="K1450" s="9">
        <f>'1_Du_lieu'!O265</f>
        <v>19.3</v>
      </c>
      <c r="L1450" s="5">
        <f t="shared" si="195"/>
        <v>0</v>
      </c>
      <c r="M1450" s="5">
        <f t="shared" si="196"/>
        <v>0</v>
      </c>
      <c r="N1450" s="5">
        <f t="shared" si="197"/>
        <v>0</v>
      </c>
    </row>
    <row r="1451" spans="1:14" x14ac:dyDescent="0.25">
      <c r="A1451" t="s">
        <v>98</v>
      </c>
      <c r="B1451">
        <v>2021</v>
      </c>
      <c r="C1451" s="7">
        <f>'1_Du_lieu'!V266</f>
        <v>2.2417729535972883</v>
      </c>
      <c r="D1451" s="9">
        <f>'1_Du_lieu'!W266</f>
        <v>5.0606944939689926</v>
      </c>
      <c r="E1451" s="9">
        <f>'1_Du_lieu'!L266</f>
        <v>9.532</v>
      </c>
      <c r="F1451" s="9">
        <f>'1_Du_lieu'!M266</f>
        <v>36.65</v>
      </c>
      <c r="G1451" s="9">
        <f>'1_Du_lieu'!N266</f>
        <v>33.5</v>
      </c>
      <c r="H1451" s="9">
        <f>'1_Du_lieu'!X266</f>
        <v>2.5245111422255913</v>
      </c>
      <c r="I1451" s="9">
        <f>'1_Du_lieu'!T266</f>
        <v>1.914006425593</v>
      </c>
      <c r="J1451" s="9">
        <f>'1_Du_lieu'!Y266</f>
        <v>9.6402574133072587</v>
      </c>
      <c r="K1451" s="9">
        <f>'1_Du_lieu'!O266</f>
        <v>28.7</v>
      </c>
      <c r="L1451" s="5">
        <f t="shared" si="195"/>
        <v>0</v>
      </c>
      <c r="M1451" s="5">
        <f t="shared" si="196"/>
        <v>0</v>
      </c>
      <c r="N1451" s="5">
        <f t="shared" si="197"/>
        <v>0</v>
      </c>
    </row>
    <row r="1452" spans="1:14" x14ac:dyDescent="0.25">
      <c r="A1452" t="s">
        <v>100</v>
      </c>
      <c r="B1452">
        <v>2021</v>
      </c>
      <c r="C1452" s="7">
        <f>'1_Du_lieu'!V267</f>
        <v>1.8961194845522977</v>
      </c>
      <c r="D1452" s="9">
        <f>'1_Du_lieu'!W267</f>
        <v>3.7977338590260183</v>
      </c>
      <c r="E1452" s="9">
        <f>'1_Du_lieu'!L267</f>
        <v>2.68</v>
      </c>
      <c r="F1452" s="9">
        <f>'1_Du_lieu'!M267</f>
        <v>9.9</v>
      </c>
      <c r="G1452" s="9">
        <f>'1_Du_lieu'!N267</f>
        <v>12.9</v>
      </c>
      <c r="H1452" s="9">
        <f>'1_Du_lieu'!X267</f>
        <v>0.9859676841093088</v>
      </c>
      <c r="I1452" s="9">
        <f>'1_Du_lieu'!T267</f>
        <v>0.46307015512850197</v>
      </c>
      <c r="J1452" s="9">
        <f>'1_Du_lieu'!Y267</f>
        <v>7.1093891468084642</v>
      </c>
      <c r="K1452" s="9">
        <f>'1_Du_lieu'!O267</f>
        <v>14.6</v>
      </c>
      <c r="L1452" s="5">
        <f t="shared" si="195"/>
        <v>0</v>
      </c>
      <c r="M1452" s="5">
        <f t="shared" si="196"/>
        <v>0</v>
      </c>
      <c r="N1452" s="5">
        <f t="shared" si="197"/>
        <v>0</v>
      </c>
    </row>
    <row r="1453" spans="1:14" x14ac:dyDescent="0.25">
      <c r="A1453" t="s">
        <v>102</v>
      </c>
      <c r="B1453">
        <v>2021</v>
      </c>
      <c r="C1453" s="7">
        <f>'1_Du_lieu'!V269</f>
        <v>1.5432981099295553</v>
      </c>
      <c r="D1453" s="9">
        <f>'1_Du_lieu'!W269</f>
        <v>3.9473901492654373</v>
      </c>
      <c r="E1453" s="9">
        <f>'1_Du_lieu'!L269</f>
        <v>3.0270000000000001</v>
      </c>
      <c r="F1453" s="9">
        <f>'1_Du_lieu'!M269</f>
        <v>22.77</v>
      </c>
      <c r="G1453" s="9">
        <f>'1_Du_lieu'!N269</f>
        <v>14.1</v>
      </c>
      <c r="H1453" s="9">
        <f>'1_Du_lieu'!X269</f>
        <v>-0.51757679765672882</v>
      </c>
      <c r="I1453" s="9">
        <f>'1_Du_lieu'!T269</f>
        <v>0.5790866975512905</v>
      </c>
      <c r="J1453" s="9">
        <f>'1_Du_lieu'!Y269</f>
        <v>4.8790068516178193</v>
      </c>
      <c r="K1453" s="9">
        <f>'1_Du_lieu'!O269</f>
        <v>14.3</v>
      </c>
      <c r="L1453" s="5">
        <f t="shared" si="195"/>
        <v>0</v>
      </c>
      <c r="M1453" s="5">
        <f t="shared" si="196"/>
        <v>0</v>
      </c>
      <c r="N1453" s="5">
        <f t="shared" si="197"/>
        <v>0</v>
      </c>
    </row>
    <row r="1454" spans="1:14" x14ac:dyDescent="0.25">
      <c r="A1454" t="s">
        <v>103</v>
      </c>
      <c r="B1454">
        <v>2021</v>
      </c>
      <c r="C1454" s="7">
        <f>'1_Du_lieu'!V270</f>
        <v>2.150598735996164</v>
      </c>
      <c r="D1454" s="9">
        <f>'1_Du_lieu'!W270</f>
        <v>4.3027128279541564</v>
      </c>
      <c r="E1454" s="9">
        <f>'1_Du_lieu'!L270</f>
        <v>7.7160000000000002</v>
      </c>
      <c r="F1454" s="9">
        <f>'1_Du_lieu'!M270</f>
        <v>70.319999999999993</v>
      </c>
      <c r="G1454" s="9">
        <f>'1_Du_lieu'!N270</f>
        <v>24.2</v>
      </c>
      <c r="H1454" s="9">
        <f>'1_Du_lieu'!X270</f>
        <v>0.57766702451953889</v>
      </c>
      <c r="I1454" s="9">
        <f>'1_Du_lieu'!T270</f>
        <v>1.36327185244587</v>
      </c>
      <c r="J1454" s="9">
        <f>'1_Du_lieu'!Y270</f>
        <v>7.4068928629529367</v>
      </c>
      <c r="K1454" s="9">
        <f>'1_Du_lieu'!O270</f>
        <v>27.3</v>
      </c>
      <c r="L1454" s="5">
        <f t="shared" si="195"/>
        <v>0</v>
      </c>
      <c r="M1454" s="5">
        <f t="shared" si="196"/>
        <v>0</v>
      </c>
      <c r="N1454" s="5">
        <f t="shared" si="197"/>
        <v>0</v>
      </c>
    </row>
    <row r="1455" spans="1:14" x14ac:dyDescent="0.25">
      <c r="A1455" t="s">
        <v>104</v>
      </c>
      <c r="B1455">
        <v>2021</v>
      </c>
      <c r="C1455" s="7">
        <f>'1_Du_lieu'!V271</f>
        <v>1.6174060820832772</v>
      </c>
      <c r="D1455" s="9">
        <f>'1_Du_lieu'!W271</f>
        <v>3.8753590210565547</v>
      </c>
      <c r="E1455" s="9">
        <f>'1_Du_lieu'!L271</f>
        <v>3.081</v>
      </c>
      <c r="F1455" s="9">
        <f>'1_Du_lieu'!M271</f>
        <v>29.23</v>
      </c>
      <c r="G1455" s="9">
        <f>'1_Du_lieu'!N271</f>
        <v>15.9</v>
      </c>
      <c r="H1455" s="9">
        <f>'1_Du_lieu'!X271</f>
        <v>2.3241387380562166</v>
      </c>
      <c r="I1455" s="9">
        <f>'1_Du_lieu'!T271</f>
        <v>1.2104223737019812</v>
      </c>
      <c r="J1455" s="9">
        <f>'1_Du_lieu'!Y271</f>
        <v>2.6672282065819548</v>
      </c>
      <c r="K1455" s="9">
        <f>'1_Du_lieu'!O271</f>
        <v>16.3</v>
      </c>
      <c r="L1455" s="5">
        <f t="shared" si="195"/>
        <v>0</v>
      </c>
      <c r="M1455" s="5">
        <f t="shared" si="196"/>
        <v>0</v>
      </c>
      <c r="N1455" s="5">
        <f t="shared" si="197"/>
        <v>0</v>
      </c>
    </row>
    <row r="1456" spans="1:14" x14ac:dyDescent="0.25">
      <c r="A1456" t="s">
        <v>107</v>
      </c>
      <c r="B1456">
        <v>2021</v>
      </c>
      <c r="C1456" s="7">
        <f>'1_Du_lieu'!V273</f>
        <v>1.8733394562204779</v>
      </c>
      <c r="D1456" s="9">
        <f>'1_Du_lieu'!W273</f>
        <v>4.3307333402863311</v>
      </c>
      <c r="E1456" s="9">
        <f>'1_Du_lieu'!L273</f>
        <v>5.484</v>
      </c>
      <c r="F1456" s="9">
        <f>'1_Du_lieu'!M273</f>
        <v>27.98</v>
      </c>
      <c r="G1456" s="9">
        <f>'1_Du_lieu'!N273</f>
        <v>27.6</v>
      </c>
      <c r="H1456" s="9">
        <f>'1_Du_lieu'!X273</f>
        <v>2.7170211154674084</v>
      </c>
      <c r="I1456" s="9">
        <f>'1_Du_lieu'!T273</f>
        <v>1.0283363802559415</v>
      </c>
      <c r="J1456" s="9">
        <f>'1_Du_lieu'!Y273</f>
        <v>8.6293247318597643</v>
      </c>
      <c r="K1456" s="9">
        <f>'1_Du_lieu'!O273</f>
        <v>23.7</v>
      </c>
      <c r="L1456" s="5">
        <f t="shared" si="195"/>
        <v>0</v>
      </c>
      <c r="M1456" s="5">
        <f t="shared" si="196"/>
        <v>0</v>
      </c>
      <c r="N1456" s="5">
        <f t="shared" si="197"/>
        <v>0</v>
      </c>
    </row>
    <row r="1457" spans="1:14" x14ac:dyDescent="0.25">
      <c r="A1457" t="s">
        <v>108</v>
      </c>
      <c r="B1457">
        <v>2021</v>
      </c>
      <c r="C1457" s="7">
        <f>'1_Du_lieu'!V274</f>
        <v>4.0192617560977446</v>
      </c>
      <c r="D1457" s="9">
        <f>'1_Du_lieu'!W274</f>
        <v>4.8543712716215905</v>
      </c>
      <c r="E1457" s="9">
        <f>'1_Du_lieu'!L274</f>
        <v>21.425999999999998</v>
      </c>
      <c r="F1457" s="9">
        <f>'1_Du_lieu'!M274</f>
        <v>49.16</v>
      </c>
      <c r="G1457" s="9">
        <f>'1_Du_lieu'!N274</f>
        <v>50.3</v>
      </c>
      <c r="H1457" s="9">
        <f>'1_Du_lieu'!X274</f>
        <v>2.721267313647274</v>
      </c>
      <c r="I1457" s="9">
        <f>'1_Du_lieu'!T274</f>
        <v>1.8125510155087148</v>
      </c>
      <c r="J1457" s="9">
        <f>'1_Du_lieu'!Y274</f>
        <v>8.4145401184366513</v>
      </c>
      <c r="K1457" s="9">
        <f>'1_Du_lieu'!O274</f>
        <v>53.7</v>
      </c>
      <c r="L1457" s="5">
        <f t="shared" si="195"/>
        <v>0</v>
      </c>
      <c r="M1457" s="5">
        <f t="shared" si="196"/>
        <v>0</v>
      </c>
      <c r="N1457" s="5">
        <f t="shared" si="197"/>
        <v>0</v>
      </c>
    </row>
    <row r="1458" spans="1:14" x14ac:dyDescent="0.25">
      <c r="A1458" t="s">
        <v>109</v>
      </c>
      <c r="B1458">
        <v>2021</v>
      </c>
      <c r="C1458" s="7">
        <f>'1_Du_lieu'!V275</f>
        <v>1.7509374747077999</v>
      </c>
      <c r="D1458" s="9">
        <f>'1_Du_lieu'!W275</f>
        <v>4.2326561780196128</v>
      </c>
      <c r="E1458" s="9">
        <f>'1_Du_lieu'!L275</f>
        <v>3.956</v>
      </c>
      <c r="F1458" s="9">
        <f>'1_Du_lieu'!M275</f>
        <v>22.3</v>
      </c>
      <c r="G1458" s="9">
        <f>'1_Du_lieu'!N275</f>
        <v>30.5</v>
      </c>
      <c r="H1458" s="9">
        <f>'1_Du_lieu'!X275</f>
        <v>3.118856606735112</v>
      </c>
      <c r="I1458" s="9">
        <f>'1_Du_lieu'!T275</f>
        <v>0.38048854729472648</v>
      </c>
      <c r="J1458" s="9">
        <f>'1_Du_lieu'!Y275</f>
        <v>9.0976530809318952</v>
      </c>
      <c r="K1458" s="9">
        <f>'1_Du_lieu'!O275</f>
        <v>19.600000000000001</v>
      </c>
      <c r="L1458" s="5">
        <f t="shared" si="195"/>
        <v>0</v>
      </c>
      <c r="M1458" s="5">
        <f t="shared" si="196"/>
        <v>0</v>
      </c>
      <c r="N1458" s="5">
        <f t="shared" si="197"/>
        <v>0</v>
      </c>
    </row>
    <row r="1459" spans="1:14" x14ac:dyDescent="0.25">
      <c r="A1459" t="s">
        <v>110</v>
      </c>
      <c r="B1459">
        <v>2021</v>
      </c>
      <c r="C1459" s="7">
        <f>'1_Du_lieu'!V276</f>
        <v>1.5260563034950492</v>
      </c>
      <c r="D1459" s="9">
        <f>'1_Du_lieu'!W276</f>
        <v>4.0809215418899605</v>
      </c>
      <c r="E1459" s="9">
        <f>'1_Du_lieu'!L276</f>
        <v>3.05</v>
      </c>
      <c r="F1459" s="9">
        <f>'1_Du_lieu'!M276</f>
        <v>23.95</v>
      </c>
      <c r="G1459" s="9">
        <f>'1_Du_lieu'!N276</f>
        <v>23.6</v>
      </c>
      <c r="H1459" s="9">
        <f>'1_Du_lieu'!X276</f>
        <v>2.1568555115548667</v>
      </c>
      <c r="I1459" s="9">
        <f>'1_Du_lieu'!T276</f>
        <v>1.0324652976941608</v>
      </c>
      <c r="J1459" s="9">
        <f>'1_Du_lieu'!Y276</f>
        <v>6.717925606697861</v>
      </c>
      <c r="K1459" s="9">
        <f>'1_Du_lieu'!O276</f>
        <v>15</v>
      </c>
      <c r="L1459" s="5">
        <f t="shared" si="195"/>
        <v>0</v>
      </c>
      <c r="M1459" s="5">
        <f t="shared" si="196"/>
        <v>0</v>
      </c>
      <c r="N1459" s="5">
        <f t="shared" si="197"/>
        <v>0</v>
      </c>
    </row>
    <row r="1460" spans="1:14" x14ac:dyDescent="0.25">
      <c r="A1460" t="s">
        <v>111</v>
      </c>
      <c r="B1460">
        <v>2021</v>
      </c>
      <c r="C1460" s="7">
        <f>'1_Du_lieu'!V277</f>
        <v>1.9960599327407849</v>
      </c>
      <c r="D1460" s="9">
        <f>'1_Du_lieu'!W277</f>
        <v>4.4773368144782069</v>
      </c>
      <c r="E1460" s="9">
        <f>'1_Du_lieu'!L277</f>
        <v>6.48</v>
      </c>
      <c r="F1460" s="9">
        <f>'1_Du_lieu'!M277</f>
        <v>16.63</v>
      </c>
      <c r="G1460" s="9">
        <f>'1_Du_lieu'!N277</f>
        <v>26.7</v>
      </c>
      <c r="H1460" s="9">
        <f>'1_Du_lieu'!X277</f>
        <v>3.1871783524341519</v>
      </c>
      <c r="I1460" s="9">
        <f>'1_Du_lieu'!T277</f>
        <v>1.8682858477347037</v>
      </c>
      <c r="J1460" s="9">
        <f>'1_Du_lieu'!Y277</f>
        <v>8.4657314617916377</v>
      </c>
      <c r="K1460" s="9">
        <f>'1_Du_lieu'!O277</f>
        <v>31.1</v>
      </c>
      <c r="L1460" s="5">
        <f t="shared" si="195"/>
        <v>0</v>
      </c>
      <c r="M1460" s="5">
        <f t="shared" si="196"/>
        <v>0</v>
      </c>
      <c r="N1460" s="5">
        <f t="shared" si="197"/>
        <v>0</v>
      </c>
    </row>
    <row r="1461" spans="1:14" x14ac:dyDescent="0.25">
      <c r="A1461" t="s">
        <v>112</v>
      </c>
      <c r="B1461">
        <v>2021</v>
      </c>
      <c r="C1461" s="7">
        <f>'1_Du_lieu'!V278</f>
        <v>1.9169226121820611</v>
      </c>
      <c r="D1461" s="9">
        <f>'1_Du_lieu'!W278</f>
        <v>4.3476939555933765</v>
      </c>
      <c r="E1461" s="9">
        <f>'1_Du_lieu'!L278</f>
        <v>5.2279999999999998</v>
      </c>
      <c r="F1461" s="9">
        <f>'1_Du_lieu'!M278</f>
        <v>31.66</v>
      </c>
      <c r="G1461" s="9">
        <f>'1_Du_lieu'!N278</f>
        <v>30.4</v>
      </c>
      <c r="H1461" s="9">
        <f>'1_Du_lieu'!X278</f>
        <v>2.9528574324724923</v>
      </c>
      <c r="I1461" s="9">
        <f>'1_Du_lieu'!T278</f>
        <v>0.56794712928541924</v>
      </c>
      <c r="J1461" s="9">
        <f>'1_Du_lieu'!Y278</f>
        <v>8.4314174143948328</v>
      </c>
      <c r="K1461" s="9">
        <f>'1_Du_lieu'!O278</f>
        <v>35</v>
      </c>
      <c r="L1461" s="5">
        <f t="shared" si="195"/>
        <v>0</v>
      </c>
      <c r="M1461" s="5">
        <f t="shared" si="196"/>
        <v>0</v>
      </c>
      <c r="N1461" s="5">
        <f t="shared" si="197"/>
        <v>0</v>
      </c>
    </row>
    <row r="1462" spans="1:14" x14ac:dyDescent="0.25">
      <c r="A1462" t="s">
        <v>113</v>
      </c>
      <c r="B1462">
        <v>2021</v>
      </c>
      <c r="C1462" s="7">
        <f>'1_Du_lieu'!V279</f>
        <v>2.4078456036515385</v>
      </c>
      <c r="D1462" s="9">
        <f>'1_Du_lieu'!W279</f>
        <v>5.0179418692786939</v>
      </c>
      <c r="E1462" s="9">
        <f>'1_Du_lieu'!L279</f>
        <v>9.5570000000000004</v>
      </c>
      <c r="F1462" s="9">
        <f>'1_Du_lieu'!M279</f>
        <v>45.51</v>
      </c>
      <c r="G1462" s="9">
        <f>'1_Du_lieu'!N279</f>
        <v>36</v>
      </c>
      <c r="H1462" s="9">
        <f>'1_Du_lieu'!X279</f>
        <v>3.9155142980925031</v>
      </c>
      <c r="I1462" s="9">
        <f>'1_Du_lieu'!T279</f>
        <v>1.7853696197645244</v>
      </c>
      <c r="J1462" s="9">
        <f>'1_Du_lieu'!Y279</f>
        <v>9.3407719651828476</v>
      </c>
      <c r="K1462" s="9">
        <f>'1_Du_lieu'!O279</f>
        <v>32.6</v>
      </c>
      <c r="L1462" s="5">
        <f t="shared" si="195"/>
        <v>0</v>
      </c>
      <c r="M1462" s="5">
        <f t="shared" si="196"/>
        <v>0</v>
      </c>
      <c r="N1462" s="5">
        <f t="shared" si="197"/>
        <v>0</v>
      </c>
    </row>
    <row r="1463" spans="1:14" x14ac:dyDescent="0.25">
      <c r="A1463" t="s">
        <v>114</v>
      </c>
      <c r="B1463">
        <v>2021</v>
      </c>
      <c r="C1463" s="7">
        <f>'1_Du_lieu'!V280</f>
        <v>1.4929040961781488</v>
      </c>
      <c r="D1463" s="9">
        <f>'1_Du_lieu'!W280</f>
        <v>3.9963641538618968</v>
      </c>
      <c r="E1463" s="9">
        <f>'1_Du_lieu'!L280</f>
        <v>3.218</v>
      </c>
      <c r="F1463" s="9">
        <f>'1_Du_lieu'!M280</f>
        <v>29.14</v>
      </c>
      <c r="G1463" s="9">
        <f>'1_Du_lieu'!N280</f>
        <v>13.5</v>
      </c>
      <c r="H1463" s="9">
        <f>'1_Du_lieu'!X280</f>
        <v>1.1202516034301633</v>
      </c>
      <c r="I1463" s="9">
        <f>'1_Du_lieu'!T280</f>
        <v>0.68502534593779973</v>
      </c>
      <c r="J1463" s="9">
        <f>'1_Du_lieu'!Y280</f>
        <v>6.8469431395853793</v>
      </c>
      <c r="K1463" s="9">
        <f>'1_Du_lieu'!O280</f>
        <v>19</v>
      </c>
      <c r="L1463" s="5">
        <f t="shared" si="195"/>
        <v>0</v>
      </c>
      <c r="M1463" s="5">
        <f t="shared" si="196"/>
        <v>0</v>
      </c>
      <c r="N1463" s="5">
        <f t="shared" si="197"/>
        <v>0</v>
      </c>
    </row>
    <row r="1464" spans="1:14" x14ac:dyDescent="0.25">
      <c r="A1464" t="s">
        <v>115</v>
      </c>
      <c r="B1464">
        <v>2021</v>
      </c>
      <c r="C1464" s="7">
        <f>'1_Du_lieu'!V281</f>
        <v>2.2731562823032334</v>
      </c>
      <c r="D1464" s="9">
        <f>'1_Du_lieu'!W281</f>
        <v>4.1510399058986458</v>
      </c>
      <c r="E1464" s="9">
        <f>'1_Du_lieu'!L281</f>
        <v>8.9290000000000003</v>
      </c>
      <c r="F1464" s="9">
        <f>'1_Du_lieu'!M281</f>
        <v>42.36</v>
      </c>
      <c r="G1464" s="9">
        <f>'1_Du_lieu'!N281</f>
        <v>25.6</v>
      </c>
      <c r="H1464" s="9">
        <f>'1_Du_lieu'!X281</f>
        <v>2.6380438479329342</v>
      </c>
      <c r="I1464" s="9">
        <f>'1_Du_lieu'!T281</f>
        <v>3.2849931896482656</v>
      </c>
      <c r="J1464" s="9">
        <f>'1_Du_lieu'!Y281</f>
        <v>8.1667275015266778</v>
      </c>
      <c r="K1464" s="9">
        <f>'1_Du_lieu'!O281</f>
        <v>32.1</v>
      </c>
      <c r="L1464" s="5">
        <f t="shared" si="195"/>
        <v>0</v>
      </c>
      <c r="M1464" s="5">
        <f t="shared" si="196"/>
        <v>0</v>
      </c>
      <c r="N1464" s="5">
        <f t="shared" si="197"/>
        <v>0</v>
      </c>
    </row>
    <row r="1465" spans="1:14" x14ac:dyDescent="0.25">
      <c r="A1465" t="s">
        <v>116</v>
      </c>
      <c r="B1465">
        <v>2021</v>
      </c>
      <c r="C1465" s="7">
        <f>'1_Du_lieu'!V282</f>
        <v>1.7387102481382397</v>
      </c>
      <c r="D1465" s="9">
        <f>'1_Du_lieu'!W282</f>
        <v>4.0775374439057197</v>
      </c>
      <c r="E1465" s="9">
        <f>'1_Du_lieu'!L282</f>
        <v>4.6059999999999999</v>
      </c>
      <c r="F1465" s="9">
        <f>'1_Du_lieu'!M282</f>
        <v>28.79</v>
      </c>
      <c r="G1465" s="9">
        <f>'1_Du_lieu'!N282</f>
        <v>15.7</v>
      </c>
      <c r="H1465" s="9">
        <f>'1_Du_lieu'!X282</f>
        <v>0.18575873675573884</v>
      </c>
      <c r="I1465" s="9">
        <f>'1_Du_lieu'!T282</f>
        <v>3.6523426353934831</v>
      </c>
      <c r="J1465" s="9">
        <f>'1_Du_lieu'!Y282</f>
        <v>7.9174999234075516</v>
      </c>
      <c r="K1465" s="9">
        <f>'1_Du_lieu'!O282</f>
        <v>14.8</v>
      </c>
      <c r="L1465" s="5">
        <f t="shared" si="195"/>
        <v>0</v>
      </c>
      <c r="M1465" s="5">
        <f t="shared" si="196"/>
        <v>0</v>
      </c>
      <c r="N1465" s="5">
        <f t="shared" si="197"/>
        <v>0</v>
      </c>
    </row>
    <row r="1466" spans="1:14" x14ac:dyDescent="0.25">
      <c r="A1466" t="s">
        <v>117</v>
      </c>
      <c r="B1466">
        <v>2021</v>
      </c>
      <c r="C1466" s="7">
        <f>'1_Du_lieu'!V283</f>
        <v>1.5040773967762742</v>
      </c>
      <c r="D1466" s="9">
        <f>'1_Du_lieu'!W283</f>
        <v>3.8649313978942956</v>
      </c>
      <c r="E1466" s="9">
        <f>'1_Du_lieu'!L283</f>
        <v>3.4670000000000001</v>
      </c>
      <c r="F1466" s="9">
        <f>'1_Du_lieu'!M283</f>
        <v>32.58</v>
      </c>
      <c r="G1466" s="9">
        <f>'1_Du_lieu'!N283</f>
        <v>18.2</v>
      </c>
      <c r="H1466" s="9">
        <f>'1_Du_lieu'!X283</f>
        <v>2.391835522614858</v>
      </c>
      <c r="I1466" s="9">
        <f>'1_Du_lieu'!T283</f>
        <v>0.87904360056258801</v>
      </c>
      <c r="J1466" s="9">
        <f>'1_Du_lieu'!Y283</f>
        <v>6.0746561379947464</v>
      </c>
      <c r="K1466" s="9">
        <f>'1_Du_lieu'!O283</f>
        <v>26.5</v>
      </c>
      <c r="L1466" s="5">
        <f t="shared" si="195"/>
        <v>0</v>
      </c>
      <c r="M1466" s="5">
        <f t="shared" si="196"/>
        <v>0</v>
      </c>
      <c r="N1466" s="5">
        <f t="shared" si="197"/>
        <v>0</v>
      </c>
    </row>
    <row r="1467" spans="1:14" x14ac:dyDescent="0.25">
      <c r="A1467" t="s">
        <v>119</v>
      </c>
      <c r="B1467">
        <v>2021</v>
      </c>
      <c r="C1467" s="7">
        <f>'1_Du_lieu'!V285</f>
        <v>1.9906103279732201</v>
      </c>
      <c r="D1467" s="9">
        <f>'1_Du_lieu'!W285</f>
        <v>4.3807758527722287</v>
      </c>
      <c r="E1467" s="9">
        <f>'1_Du_lieu'!L285</f>
        <v>6.4249999999999998</v>
      </c>
      <c r="F1467" s="9">
        <f>'1_Du_lieu'!M285</f>
        <v>18.34</v>
      </c>
      <c r="G1467" s="9">
        <f>'1_Du_lieu'!N285</f>
        <v>15.1</v>
      </c>
      <c r="H1467" s="9">
        <f>'1_Du_lieu'!X285</f>
        <v>1.2550945693432973</v>
      </c>
      <c r="I1467" s="9">
        <f>'1_Du_lieu'!T285</f>
        <v>0.46355313477807392</v>
      </c>
      <c r="J1467" s="9">
        <f>'1_Du_lieu'!Y285</f>
        <v>8.8694262849274654</v>
      </c>
      <c r="K1467" s="9">
        <f>'1_Du_lieu'!O285</f>
        <v>21.6</v>
      </c>
      <c r="L1467" s="5">
        <f t="shared" si="195"/>
        <v>0</v>
      </c>
      <c r="M1467" s="5">
        <f t="shared" si="196"/>
        <v>0</v>
      </c>
      <c r="N1467" s="5">
        <f t="shared" si="197"/>
        <v>0</v>
      </c>
    </row>
    <row r="1468" spans="1:14" x14ac:dyDescent="0.25">
      <c r="A1468" t="s">
        <v>120</v>
      </c>
      <c r="B1468">
        <v>2021</v>
      </c>
      <c r="C1468" s="7">
        <f>'1_Du_lieu'!V286</f>
        <v>1.6014057407368361</v>
      </c>
      <c r="D1468" s="9">
        <f>'1_Du_lieu'!W286</f>
        <v>4.3094559418390466</v>
      </c>
      <c r="E1468" s="9">
        <f>'1_Du_lieu'!L286</f>
        <v>4.0060000000000002</v>
      </c>
      <c r="F1468" s="9">
        <f>'1_Du_lieu'!M286</f>
        <v>26.5</v>
      </c>
      <c r="G1468" s="9">
        <f>'1_Du_lieu'!N286</f>
        <v>24.6</v>
      </c>
      <c r="H1468" s="9">
        <f>'1_Du_lieu'!X286</f>
        <v>2.0605277435655931</v>
      </c>
      <c r="I1468" s="9">
        <f>'1_Du_lieu'!T286</f>
        <v>1.3125082031762698</v>
      </c>
      <c r="J1468" s="9">
        <f>'1_Du_lieu'!Y286</f>
        <v>6.6407904481190778</v>
      </c>
      <c r="K1468" s="9">
        <f>'1_Du_lieu'!O286</f>
        <v>16</v>
      </c>
      <c r="L1468" s="5">
        <f t="shared" si="195"/>
        <v>0</v>
      </c>
      <c r="M1468" s="5">
        <f t="shared" si="196"/>
        <v>0</v>
      </c>
      <c r="N1468" s="5">
        <f t="shared" si="197"/>
        <v>0</v>
      </c>
    </row>
    <row r="1469" spans="1:14" x14ac:dyDescent="0.25">
      <c r="A1469" t="s">
        <v>121</v>
      </c>
      <c r="B1469">
        <v>2021</v>
      </c>
      <c r="C1469" s="7">
        <f>'1_Du_lieu'!V287</f>
        <v>1.8946168546677629</v>
      </c>
      <c r="D1469" s="9">
        <f>'1_Du_lieu'!W287</f>
        <v>4.2046926193909657</v>
      </c>
      <c r="E1469" s="9">
        <f>'1_Du_lieu'!L287</f>
        <v>5.5830000000000002</v>
      </c>
      <c r="F1469" s="9">
        <f>'1_Du_lieu'!M287</f>
        <v>39.270000000000003</v>
      </c>
      <c r="G1469" s="9">
        <f>'1_Du_lieu'!N287</f>
        <v>20.5</v>
      </c>
      <c r="H1469" s="9">
        <f>'1_Du_lieu'!X287</f>
        <v>2.5688521867361809</v>
      </c>
      <c r="I1469" s="9">
        <f>'1_Du_lieu'!T287</f>
        <v>0.45389212497163173</v>
      </c>
      <c r="J1469" s="9">
        <f>'1_Du_lieu'!Y287</f>
        <v>5.9967008139032281</v>
      </c>
      <c r="K1469" s="9">
        <f>'1_Du_lieu'!O287</f>
        <v>29.8</v>
      </c>
      <c r="L1469" s="5">
        <f t="shared" si="195"/>
        <v>0</v>
      </c>
      <c r="M1469" s="5">
        <f t="shared" si="196"/>
        <v>0</v>
      </c>
      <c r="N1469" s="5">
        <f t="shared" si="197"/>
        <v>0</v>
      </c>
    </row>
    <row r="1470" spans="1:14" x14ac:dyDescent="0.25">
      <c r="A1470" t="s">
        <v>122</v>
      </c>
      <c r="B1470">
        <v>2021</v>
      </c>
      <c r="C1470" s="7">
        <f>'1_Du_lieu'!V288</f>
        <v>1.43746264769429</v>
      </c>
      <c r="D1470" s="9">
        <f>'1_Du_lieu'!W288</f>
        <v>3.8543938925915096</v>
      </c>
      <c r="E1470" s="9">
        <f>'1_Du_lieu'!L288</f>
        <v>2.786</v>
      </c>
      <c r="F1470" s="9">
        <f>'1_Du_lieu'!M288</f>
        <v>23.08</v>
      </c>
      <c r="G1470" s="9">
        <f>'1_Du_lieu'!N288</f>
        <v>27.8</v>
      </c>
      <c r="H1470" s="9">
        <f>'1_Du_lieu'!X288</f>
        <v>1.8667991908086079</v>
      </c>
      <c r="I1470" s="9">
        <f>'1_Du_lieu'!T288</f>
        <v>0.62743129627305805</v>
      </c>
      <c r="J1470" s="9">
        <f>'1_Du_lieu'!Y288</f>
        <v>5.7127422160276726</v>
      </c>
      <c r="K1470" s="9">
        <f>'1_Du_lieu'!O288</f>
        <v>16.899999999999999</v>
      </c>
      <c r="L1470" s="5">
        <f t="shared" si="195"/>
        <v>0</v>
      </c>
      <c r="M1470" s="5">
        <f t="shared" si="196"/>
        <v>0</v>
      </c>
      <c r="N1470" s="5">
        <f t="shared" si="197"/>
        <v>0</v>
      </c>
    </row>
    <row r="1471" spans="1:14" x14ac:dyDescent="0.25">
      <c r="A1471" t="s">
        <v>123</v>
      </c>
      <c r="B1471">
        <v>2021</v>
      </c>
      <c r="C1471" s="7">
        <f>'1_Du_lieu'!V289</f>
        <v>1.9065751436566365</v>
      </c>
      <c r="D1471" s="9">
        <f>'1_Du_lieu'!W289</f>
        <v>3.7954891891721947</v>
      </c>
      <c r="E1471" s="9">
        <f>'1_Du_lieu'!L289</f>
        <v>3.5150000000000001</v>
      </c>
      <c r="F1471" s="9">
        <f>'1_Du_lieu'!M289</f>
        <v>20.239999999999998</v>
      </c>
      <c r="G1471" s="9">
        <f>'1_Du_lieu'!N289</f>
        <v>22</v>
      </c>
      <c r="H1471" s="9">
        <f>'1_Du_lieu'!X289</f>
        <v>1.9256821973494891</v>
      </c>
      <c r="I1471" s="9">
        <f>'1_Du_lieu'!T289</f>
        <v>0.98023198823721613</v>
      </c>
      <c r="J1471" s="9">
        <f>'1_Du_lieu'!Y289</f>
        <v>7.5979480997156461</v>
      </c>
      <c r="K1471" s="9">
        <f>'1_Du_lieu'!O289</f>
        <v>17.2</v>
      </c>
      <c r="L1471" s="5">
        <f t="shared" si="195"/>
        <v>0</v>
      </c>
      <c r="M1471" s="5">
        <f t="shared" si="196"/>
        <v>0</v>
      </c>
      <c r="N1471" s="5">
        <f t="shared" si="197"/>
        <v>0</v>
      </c>
    </row>
    <row r="1472" spans="1:14" x14ac:dyDescent="0.25">
      <c r="A1472" t="s">
        <v>124</v>
      </c>
      <c r="B1472">
        <v>2021</v>
      </c>
      <c r="C1472" s="7">
        <f>'1_Du_lieu'!V290</f>
        <v>1.9021075263969205</v>
      </c>
      <c r="D1472" s="9">
        <f>'1_Du_lieu'!W290</f>
        <v>3.8329797980876932</v>
      </c>
      <c r="E1472" s="9">
        <f>'1_Du_lieu'!L290</f>
        <v>3.641</v>
      </c>
      <c r="F1472" s="9">
        <f>'1_Du_lieu'!M290</f>
        <v>15.53</v>
      </c>
      <c r="G1472" s="9">
        <f>'1_Du_lieu'!N290</f>
        <v>23.4</v>
      </c>
      <c r="H1472" s="9">
        <f>'1_Du_lieu'!X290</f>
        <v>3.5961360693583755</v>
      </c>
      <c r="I1472" s="9">
        <f>'1_Du_lieu'!T290</f>
        <v>3.0500322599565957</v>
      </c>
      <c r="J1472" s="9">
        <f>'1_Du_lieu'!Y290</f>
        <v>6.3645786249984866</v>
      </c>
      <c r="K1472" s="9">
        <f>'1_Du_lieu'!O290</f>
        <v>18.2</v>
      </c>
      <c r="L1472" s="5">
        <f t="shared" si="195"/>
        <v>0</v>
      </c>
      <c r="M1472" s="5">
        <f t="shared" si="196"/>
        <v>0</v>
      </c>
      <c r="N1472" s="5">
        <f t="shared" si="197"/>
        <v>0</v>
      </c>
    </row>
    <row r="1473" spans="1:14" x14ac:dyDescent="0.25">
      <c r="A1473" t="s">
        <v>125</v>
      </c>
      <c r="B1473">
        <v>2021</v>
      </c>
      <c r="C1473" s="7">
        <f>'1_Du_lieu'!V291</f>
        <v>1.8421356765531218</v>
      </c>
      <c r="D1473" s="9">
        <f>'1_Du_lieu'!W291</f>
        <v>4.2584455729025272</v>
      </c>
      <c r="E1473" s="9">
        <f>'1_Du_lieu'!L291</f>
        <v>4.7089999999999996</v>
      </c>
      <c r="F1473" s="9">
        <f>'1_Du_lieu'!M291</f>
        <v>21.49</v>
      </c>
      <c r="G1473" s="9">
        <f>'1_Du_lieu'!N291</f>
        <v>31.7</v>
      </c>
      <c r="H1473" s="9">
        <f>'1_Du_lieu'!X291</f>
        <v>3.2896017445069567</v>
      </c>
      <c r="I1473" s="9">
        <f>'1_Du_lieu'!T291</f>
        <v>4.1683207622072249</v>
      </c>
      <c r="J1473" s="9">
        <f>'1_Du_lieu'!Y291</f>
        <v>7.3622010093119234</v>
      </c>
      <c r="K1473" s="9">
        <f>'1_Du_lieu'!O291</f>
        <v>23.8</v>
      </c>
      <c r="L1473" s="5">
        <f t="shared" si="195"/>
        <v>0</v>
      </c>
      <c r="M1473" s="5">
        <f t="shared" si="196"/>
        <v>0</v>
      </c>
      <c r="N1473" s="5">
        <f t="shared" si="197"/>
        <v>0</v>
      </c>
    </row>
    <row r="1474" spans="1:14" x14ac:dyDescent="0.25">
      <c r="A1474" t="s">
        <v>126</v>
      </c>
      <c r="B1474">
        <v>2021</v>
      </c>
      <c r="C1474" s="7">
        <f>'1_Du_lieu'!V292</f>
        <v>1.6601310267496185</v>
      </c>
      <c r="D1474" s="9">
        <f>'1_Du_lieu'!W292</f>
        <v>4.2442003177664782</v>
      </c>
      <c r="E1474" s="9">
        <f>'1_Du_lieu'!L292</f>
        <v>4.72</v>
      </c>
      <c r="F1474" s="9">
        <f>'1_Du_lieu'!M292</f>
        <v>35.4</v>
      </c>
      <c r="G1474" s="9">
        <f>'1_Du_lieu'!N292</f>
        <v>18.8</v>
      </c>
      <c r="H1474" s="9">
        <f>'1_Du_lieu'!X292</f>
        <v>2.1183153309552241</v>
      </c>
      <c r="I1474" s="9">
        <f>'1_Du_lieu'!T292</f>
        <v>1.3422818791946309</v>
      </c>
      <c r="J1474" s="9">
        <f>'1_Du_lieu'!Y292</f>
        <v>7.9727418400005865</v>
      </c>
      <c r="K1474" s="9">
        <f>'1_Du_lieu'!O292</f>
        <v>18.899999999999999</v>
      </c>
      <c r="L1474" s="5">
        <f t="shared" si="195"/>
        <v>0</v>
      </c>
      <c r="M1474" s="5">
        <f t="shared" si="196"/>
        <v>0</v>
      </c>
      <c r="N1474" s="5">
        <f t="shared" si="197"/>
        <v>0</v>
      </c>
    </row>
    <row r="1475" spans="1:14" x14ac:dyDescent="0.25">
      <c r="A1475" t="s">
        <v>127</v>
      </c>
      <c r="B1475">
        <v>2021</v>
      </c>
      <c r="C1475" s="7">
        <f>'1_Du_lieu'!V293</f>
        <v>1.6639260977181702</v>
      </c>
      <c r="D1475" s="9">
        <f>'1_Du_lieu'!W293</f>
        <v>3.9889840465642745</v>
      </c>
      <c r="E1475" s="9">
        <f>'1_Du_lieu'!L293</f>
        <v>3.706</v>
      </c>
      <c r="F1475" s="9">
        <f>'1_Du_lieu'!M293</f>
        <v>19.100000000000001</v>
      </c>
      <c r="G1475" s="9">
        <f>'1_Du_lieu'!N293</f>
        <v>34.6</v>
      </c>
      <c r="H1475" s="9">
        <f>'1_Du_lieu'!X293</f>
        <v>2.9197104926673556</v>
      </c>
      <c r="I1475" s="9">
        <f>'1_Du_lieu'!T293</f>
        <v>1.2603648424543947</v>
      </c>
      <c r="J1475" s="9">
        <f>'1_Du_lieu'!Y293</f>
        <v>7.4587050538322819</v>
      </c>
      <c r="K1475" s="9">
        <f>'1_Du_lieu'!O293</f>
        <v>26</v>
      </c>
      <c r="L1475" s="5">
        <f t="shared" si="195"/>
        <v>0</v>
      </c>
      <c r="M1475" s="5">
        <f t="shared" si="196"/>
        <v>0</v>
      </c>
      <c r="N1475" s="5">
        <f t="shared" si="197"/>
        <v>0</v>
      </c>
    </row>
    <row r="1476" spans="1:14" x14ac:dyDescent="0.25">
      <c r="A1476" t="s">
        <v>128</v>
      </c>
      <c r="B1476">
        <v>2021</v>
      </c>
      <c r="C1476" s="7">
        <f>'1_Du_lieu'!V294</f>
        <v>1.6094379124341003</v>
      </c>
      <c r="D1476" s="9">
        <f>'1_Du_lieu'!W294</f>
        <v>3.9415818076696905</v>
      </c>
      <c r="E1476" s="9">
        <f>'1_Du_lieu'!L294</f>
        <v>3.5270000000000001</v>
      </c>
      <c r="F1476" s="9">
        <f>'1_Du_lieu'!M294</f>
        <v>32.700000000000003</v>
      </c>
      <c r="G1476" s="9">
        <f>'1_Du_lieu'!N294</f>
        <v>21.6</v>
      </c>
      <c r="H1476" s="9">
        <f>'1_Du_lieu'!X294</f>
        <v>2.4054776886278812</v>
      </c>
      <c r="I1476" s="9">
        <f>'1_Du_lieu'!T294</f>
        <v>0.45688178183894917</v>
      </c>
      <c r="J1476" s="9">
        <f>'1_Du_lieu'!Y294</f>
        <v>7.7521202712847028</v>
      </c>
      <c r="K1476" s="9">
        <f>'1_Du_lieu'!O294</f>
        <v>23.4</v>
      </c>
      <c r="L1476" s="5">
        <f t="shared" si="195"/>
        <v>0</v>
      </c>
      <c r="M1476" s="5">
        <f t="shared" si="196"/>
        <v>0</v>
      </c>
      <c r="N1476" s="5">
        <f t="shared" si="197"/>
        <v>0</v>
      </c>
    </row>
    <row r="1477" spans="1:14" x14ac:dyDescent="0.25">
      <c r="A1477" t="s">
        <v>129</v>
      </c>
      <c r="B1477">
        <v>2021</v>
      </c>
      <c r="C1477" s="7">
        <f>'1_Du_lieu'!V295</f>
        <v>1.6714733033535532</v>
      </c>
      <c r="D1477" s="9">
        <f>'1_Du_lieu'!W295</f>
        <v>3.8979240810486444</v>
      </c>
      <c r="E1477" s="9">
        <f>'1_Du_lieu'!L295</f>
        <v>5.1980000000000004</v>
      </c>
      <c r="F1477" s="9">
        <f>'1_Du_lieu'!M295</f>
        <v>23.07</v>
      </c>
      <c r="G1477" s="9">
        <f>'1_Du_lieu'!N295</f>
        <v>26.5</v>
      </c>
      <c r="H1477" s="9">
        <f>'1_Du_lieu'!X295</f>
        <v>3.2920270892288088</v>
      </c>
      <c r="I1477" s="9">
        <f>'1_Du_lieu'!T295</f>
        <v>0.87844515208081697</v>
      </c>
      <c r="J1477" s="9">
        <f>'1_Du_lieu'!Y295</f>
        <v>7.1121644322400961</v>
      </c>
      <c r="K1477" s="9">
        <f>'1_Du_lieu'!O295</f>
        <v>17.100000000000001</v>
      </c>
      <c r="L1477" s="5">
        <f t="shared" si="195"/>
        <v>0</v>
      </c>
      <c r="M1477" s="5">
        <f t="shared" si="196"/>
        <v>0</v>
      </c>
      <c r="N1477" s="5">
        <f t="shared" si="197"/>
        <v>0</v>
      </c>
    </row>
    <row r="1478" spans="1:14" x14ac:dyDescent="0.25">
      <c r="A1478" t="s">
        <v>130</v>
      </c>
      <c r="B1478">
        <v>2021</v>
      </c>
      <c r="C1478" s="7">
        <f>'1_Du_lieu'!V296</f>
        <v>1.8325814637483102</v>
      </c>
      <c r="D1478" s="9">
        <f>'1_Du_lieu'!W296</f>
        <v>4.2456340097683265</v>
      </c>
      <c r="E1478" s="9">
        <f>'1_Du_lieu'!L296</f>
        <v>5.2060000000000004</v>
      </c>
      <c r="F1478" s="9">
        <f>'1_Du_lieu'!M296</f>
        <v>26.43</v>
      </c>
      <c r="G1478" s="9">
        <f>'1_Du_lieu'!N296</f>
        <v>26.6</v>
      </c>
      <c r="H1478" s="9">
        <f>'1_Du_lieu'!X296</f>
        <v>2.2978653786368319</v>
      </c>
      <c r="I1478" s="9">
        <f>'1_Du_lieu'!T296</f>
        <v>0.26341784655910438</v>
      </c>
      <c r="J1478" s="9">
        <f>'1_Du_lieu'!Y296</f>
        <v>8.29172193309285</v>
      </c>
      <c r="K1478" s="9">
        <f>'1_Du_lieu'!O296</f>
        <v>23.3</v>
      </c>
      <c r="L1478" s="5">
        <f t="shared" si="195"/>
        <v>0</v>
      </c>
      <c r="M1478" s="5">
        <f t="shared" si="196"/>
        <v>0</v>
      </c>
      <c r="N1478" s="5">
        <f t="shared" si="197"/>
        <v>0</v>
      </c>
    </row>
    <row r="1479" spans="1:14" x14ac:dyDescent="0.25">
      <c r="A1479" t="s">
        <v>131</v>
      </c>
      <c r="B1479">
        <v>2021</v>
      </c>
      <c r="C1479" s="7">
        <f>'1_Du_lieu'!V297</f>
        <v>1.7101878155342434</v>
      </c>
      <c r="D1479" s="9">
        <f>'1_Du_lieu'!W297</f>
        <v>4.4006030202468169</v>
      </c>
      <c r="E1479" s="9">
        <f>'1_Du_lieu'!L297</f>
        <v>4.3529999999999998</v>
      </c>
      <c r="F1479" s="9">
        <f>'1_Du_lieu'!M297</f>
        <v>21.12</v>
      </c>
      <c r="G1479" s="9">
        <f>'1_Du_lieu'!N297</f>
        <v>26.1</v>
      </c>
      <c r="H1479" s="9">
        <f>'1_Du_lieu'!X297</f>
        <v>2.0659680114008911</v>
      </c>
      <c r="I1479" s="9">
        <f>'1_Du_lieu'!T297</f>
        <v>0.80379390724218314</v>
      </c>
      <c r="J1479" s="9">
        <f>'1_Du_lieu'!Y297</f>
        <v>7.3976840770351426</v>
      </c>
      <c r="K1479" s="9">
        <f>'1_Du_lieu'!O297</f>
        <v>22.2</v>
      </c>
      <c r="L1479" s="5">
        <f t="shared" si="195"/>
        <v>0</v>
      </c>
      <c r="M1479" s="5">
        <f t="shared" si="196"/>
        <v>0</v>
      </c>
      <c r="N1479" s="5">
        <f t="shared" si="197"/>
        <v>0</v>
      </c>
    </row>
    <row r="1480" spans="1:14" x14ac:dyDescent="0.25">
      <c r="A1480" t="s">
        <v>132</v>
      </c>
      <c r="B1480">
        <v>2021</v>
      </c>
      <c r="C1480" s="7">
        <f>'1_Du_lieu'!V298</f>
        <v>2.0819384218784229</v>
      </c>
      <c r="D1480" s="9">
        <f>'1_Du_lieu'!W298</f>
        <v>5.136974216139274</v>
      </c>
      <c r="E1480" s="9">
        <f>'1_Du_lieu'!L298</f>
        <v>7.0090000000000003</v>
      </c>
      <c r="F1480" s="9">
        <f>'1_Du_lieu'!M298</f>
        <v>67.36</v>
      </c>
      <c r="G1480" s="9">
        <f>'1_Du_lieu'!N298</f>
        <v>41.4</v>
      </c>
      <c r="H1480" s="9">
        <f>'1_Du_lieu'!X298</f>
        <v>3.5549651462729521</v>
      </c>
      <c r="I1480" s="9">
        <f>'1_Du_lieu'!T298</f>
        <v>2.517026946994374</v>
      </c>
      <c r="J1480" s="9">
        <f>'1_Du_lieu'!Y298</f>
        <v>8.6803998843505106</v>
      </c>
      <c r="K1480" s="9">
        <f>'1_Du_lieu'!O298</f>
        <v>25.3</v>
      </c>
      <c r="L1480" s="5">
        <f t="shared" si="195"/>
        <v>0</v>
      </c>
      <c r="M1480" s="5">
        <f t="shared" si="196"/>
        <v>0</v>
      </c>
      <c r="N1480" s="5">
        <f t="shared" si="197"/>
        <v>0</v>
      </c>
    </row>
    <row r="1481" spans="1:14" x14ac:dyDescent="0.25">
      <c r="A1481" t="s">
        <v>133</v>
      </c>
      <c r="B1481">
        <v>2021</v>
      </c>
      <c r="C1481" s="7">
        <f>'1_Du_lieu'!V299</f>
        <v>1.6863989535702288</v>
      </c>
      <c r="D1481" s="9">
        <f>'1_Du_lieu'!W299</f>
        <v>4.0587173845789497</v>
      </c>
      <c r="E1481" s="9">
        <f>'1_Du_lieu'!L299</f>
        <v>4.7220000000000004</v>
      </c>
      <c r="F1481" s="9">
        <f>'1_Du_lieu'!M299</f>
        <v>32.57</v>
      </c>
      <c r="G1481" s="9">
        <f>'1_Du_lieu'!N299</f>
        <v>27.7</v>
      </c>
      <c r="H1481" s="9">
        <f>'1_Du_lieu'!X299</f>
        <v>2.8465361105571962</v>
      </c>
      <c r="I1481" s="9">
        <f>'1_Du_lieu'!T299</f>
        <v>3.3961099104661931</v>
      </c>
      <c r="J1481" s="9">
        <f>'1_Du_lieu'!Y299</f>
        <v>8.2691420043958423</v>
      </c>
      <c r="K1481" s="9">
        <f>'1_Du_lieu'!O299</f>
        <v>26.3</v>
      </c>
      <c r="L1481" s="5">
        <f t="shared" si="195"/>
        <v>0</v>
      </c>
      <c r="M1481" s="5">
        <f t="shared" si="196"/>
        <v>0</v>
      </c>
      <c r="N1481" s="5">
        <f t="shared" si="197"/>
        <v>0</v>
      </c>
    </row>
    <row r="1482" spans="1:14" x14ac:dyDescent="0.25">
      <c r="A1482" t="s">
        <v>136</v>
      </c>
      <c r="B1482">
        <v>2021</v>
      </c>
      <c r="C1482" s="7">
        <f>'1_Du_lieu'!V302</f>
        <v>4.2140516715868488</v>
      </c>
      <c r="D1482" s="9">
        <f>'1_Du_lieu'!W302</f>
        <v>4.9836066217083363</v>
      </c>
      <c r="E1482" s="9">
        <f>'1_Du_lieu'!L302</f>
        <v>29.286999999999999</v>
      </c>
      <c r="F1482" s="9">
        <f>'1_Du_lieu'!M302</f>
        <v>78.98</v>
      </c>
      <c r="G1482" s="9">
        <f>'1_Du_lieu'!N302</f>
        <v>35.6</v>
      </c>
      <c r="H1482" s="9">
        <f>'1_Du_lieu'!X302</f>
        <v>2.4792900787168963</v>
      </c>
      <c r="I1482" s="9">
        <f>'1_Du_lieu'!T302</f>
        <v>3.0872278221407692</v>
      </c>
      <c r="J1482" s="9">
        <f>'1_Du_lieu'!Y302</f>
        <v>8.661154997655558</v>
      </c>
      <c r="K1482" s="9">
        <f>'1_Du_lieu'!O302</f>
        <v>48</v>
      </c>
      <c r="L1482" s="5">
        <f t="shared" si="195"/>
        <v>0</v>
      </c>
      <c r="M1482" s="5">
        <f t="shared" si="196"/>
        <v>0</v>
      </c>
      <c r="N1482" s="5">
        <f t="shared" si="197"/>
        <v>0</v>
      </c>
    </row>
    <row r="1483" spans="1:14" x14ac:dyDescent="0.25">
      <c r="A1483" t="s">
        <v>137</v>
      </c>
      <c r="B1483">
        <v>2021</v>
      </c>
      <c r="C1483" s="7">
        <f>'1_Du_lieu'!V303</f>
        <v>1.9169226121820611</v>
      </c>
      <c r="D1483" s="9">
        <f>'1_Du_lieu'!W303</f>
        <v>4.0535225677018456</v>
      </c>
      <c r="E1483" s="9">
        <f>'1_Du_lieu'!L303</f>
        <v>3.7909999999999999</v>
      </c>
      <c r="F1483" s="9">
        <f>'1_Du_lieu'!M303</f>
        <v>26.73</v>
      </c>
      <c r="G1483" s="9">
        <f>'1_Du_lieu'!N303</f>
        <v>25.1</v>
      </c>
      <c r="H1483" s="9">
        <f>'1_Du_lieu'!X303</f>
        <v>2.6355589746238302</v>
      </c>
      <c r="I1483" s="9">
        <f>'1_Du_lieu'!T303</f>
        <v>0.80723280594123348</v>
      </c>
      <c r="J1483" s="9">
        <f>'1_Du_lieu'!Y303</f>
        <v>8.2841508079227797</v>
      </c>
      <c r="K1483" s="9">
        <f>'1_Du_lieu'!O303</f>
        <v>15.7</v>
      </c>
      <c r="L1483" s="5">
        <f t="shared" si="195"/>
        <v>0</v>
      </c>
      <c r="M1483" s="5">
        <f t="shared" si="196"/>
        <v>0</v>
      </c>
      <c r="N1483" s="5">
        <f t="shared" si="197"/>
        <v>0</v>
      </c>
    </row>
    <row r="1484" spans="1:14" x14ac:dyDescent="0.25">
      <c r="A1484" t="s">
        <v>138</v>
      </c>
      <c r="B1484">
        <v>2021</v>
      </c>
      <c r="C1484" s="7">
        <f>'1_Du_lieu'!V304</f>
        <v>1.7011051009599243</v>
      </c>
      <c r="D1484" s="9">
        <f>'1_Du_lieu'!W304</f>
        <v>3.9435216724875173</v>
      </c>
      <c r="E1484" s="9">
        <f>'1_Du_lieu'!L304</f>
        <v>2.9249999999999998</v>
      </c>
      <c r="F1484" s="9">
        <f>'1_Du_lieu'!M304</f>
        <v>11.75</v>
      </c>
      <c r="G1484" s="9">
        <f>'1_Du_lieu'!N304</f>
        <v>19.3</v>
      </c>
      <c r="H1484" s="9">
        <f>'1_Du_lieu'!X304</f>
        <v>1.5029204939427558</v>
      </c>
      <c r="I1484" s="9">
        <f>'1_Du_lieu'!T304</f>
        <v>0.85383424942633013</v>
      </c>
      <c r="J1484" s="9">
        <f>'1_Du_lieu'!Y304</f>
        <v>6.616868075581408</v>
      </c>
      <c r="K1484" s="9">
        <f>'1_Du_lieu'!O304</f>
        <v>12.5</v>
      </c>
      <c r="L1484" s="5">
        <f t="shared" si="195"/>
        <v>0</v>
      </c>
      <c r="M1484" s="5">
        <f t="shared" si="196"/>
        <v>0</v>
      </c>
      <c r="N1484" s="5">
        <f t="shared" si="197"/>
        <v>0</v>
      </c>
    </row>
    <row r="1485" spans="1:14" x14ac:dyDescent="0.25">
      <c r="A1485" t="s">
        <v>139</v>
      </c>
      <c r="B1485">
        <v>2021</v>
      </c>
      <c r="C1485" s="7">
        <f>'1_Du_lieu'!V305</f>
        <v>1.8531680973566984</v>
      </c>
      <c r="D1485" s="9">
        <f>'1_Du_lieu'!W305</f>
        <v>4.6051701859880918</v>
      </c>
      <c r="E1485" s="9">
        <f>'1_Du_lieu'!L305</f>
        <v>3.9049999999999998</v>
      </c>
      <c r="F1485" s="9">
        <f>'1_Du_lieu'!M305</f>
        <v>32.14</v>
      </c>
      <c r="G1485" s="9">
        <f>'1_Du_lieu'!N305</f>
        <v>35.4</v>
      </c>
      <c r="H1485" s="9">
        <f>'1_Du_lieu'!X305</f>
        <v>3.5295695036265586</v>
      </c>
      <c r="I1485" s="9">
        <f>'1_Du_lieu'!T305</f>
        <v>1.7382103990326481</v>
      </c>
      <c r="J1485" s="9">
        <f>'1_Du_lieu'!Y305</f>
        <v>8.9143976070946085</v>
      </c>
      <c r="K1485" s="9">
        <f>'1_Du_lieu'!O305</f>
        <v>25</v>
      </c>
      <c r="L1485" s="5">
        <f t="shared" si="195"/>
        <v>0</v>
      </c>
      <c r="M1485" s="5">
        <f t="shared" si="196"/>
        <v>0</v>
      </c>
      <c r="N1485" s="5">
        <f t="shared" si="197"/>
        <v>0</v>
      </c>
    </row>
    <row r="1486" spans="1:14" x14ac:dyDescent="0.25">
      <c r="A1486" t="s">
        <v>141</v>
      </c>
      <c r="B1486">
        <v>2021</v>
      </c>
      <c r="C1486" s="7">
        <f>'1_Du_lieu'!V307</f>
        <v>1.6789639750827108</v>
      </c>
      <c r="D1486" s="9">
        <f>'1_Du_lieu'!W307</f>
        <v>4.0217738693872649</v>
      </c>
      <c r="E1486" s="9">
        <f>'1_Du_lieu'!L307</f>
        <v>2.8439999999999999</v>
      </c>
      <c r="F1486" s="9">
        <f>'1_Du_lieu'!M307</f>
        <v>14.25</v>
      </c>
      <c r="G1486" s="9">
        <f>'1_Du_lieu'!N307</f>
        <v>13.8</v>
      </c>
      <c r="H1486" s="9">
        <f>'1_Du_lieu'!X307</f>
        <v>0.31813692452630776</v>
      </c>
      <c r="I1486" s="9">
        <f>'1_Du_lieu'!T307</f>
        <v>0.73058334269978642</v>
      </c>
      <c r="J1486" s="9">
        <f>'1_Du_lieu'!Y307</f>
        <v>7.3916001744163529</v>
      </c>
      <c r="K1486" s="9">
        <f>'1_Du_lieu'!O307</f>
        <v>17.600000000000001</v>
      </c>
      <c r="L1486" s="5">
        <f t="shared" si="195"/>
        <v>0</v>
      </c>
      <c r="M1486" s="5">
        <f t="shared" si="196"/>
        <v>0</v>
      </c>
      <c r="N1486" s="5">
        <f t="shared" si="197"/>
        <v>0</v>
      </c>
    </row>
    <row r="1487" spans="1:14" x14ac:dyDescent="0.25">
      <c r="A1487" t="s">
        <v>142</v>
      </c>
      <c r="B1487">
        <v>2021</v>
      </c>
      <c r="C1487" s="7">
        <f>'1_Du_lieu'!V308</f>
        <v>1.4770487243883548</v>
      </c>
      <c r="D1487" s="9">
        <f>'1_Du_lieu'!W308</f>
        <v>4.1447207695471677</v>
      </c>
      <c r="E1487" s="9">
        <f>'1_Du_lieu'!L308</f>
        <v>2.3919999999999999</v>
      </c>
      <c r="F1487" s="9">
        <f>'1_Du_lieu'!M308</f>
        <v>17.510000000000002</v>
      </c>
      <c r="G1487" s="9">
        <f>'1_Du_lieu'!N308</f>
        <v>10.8</v>
      </c>
      <c r="H1487" s="9">
        <f>'1_Du_lieu'!X308</f>
        <v>1.0020414153154515</v>
      </c>
      <c r="I1487" s="9">
        <f>'1_Du_lieu'!T308</f>
        <v>0.8835656783820931</v>
      </c>
      <c r="J1487" s="9">
        <f>'1_Du_lieu'!Y308</f>
        <v>8.0968783700577376</v>
      </c>
      <c r="K1487" s="9">
        <f>'1_Du_lieu'!O308</f>
        <v>11.5</v>
      </c>
      <c r="L1487" s="5">
        <f t="shared" si="195"/>
        <v>0</v>
      </c>
      <c r="M1487" s="5">
        <f t="shared" si="196"/>
        <v>0</v>
      </c>
      <c r="N1487" s="5">
        <f t="shared" si="197"/>
        <v>0</v>
      </c>
    </row>
    <row r="1488" spans="1:14" x14ac:dyDescent="0.25">
      <c r="A1488" t="s">
        <v>143</v>
      </c>
      <c r="B1488">
        <v>2021</v>
      </c>
      <c r="C1488" s="7">
        <f>'1_Du_lieu'!V309</f>
        <v>1.3862943611198906</v>
      </c>
      <c r="D1488" s="9">
        <f>'1_Du_lieu'!W309</f>
        <v>3.8110970868381857</v>
      </c>
      <c r="E1488" s="9">
        <f>'1_Du_lieu'!L309</f>
        <v>1.9830000000000001</v>
      </c>
      <c r="F1488" s="9">
        <f>'1_Du_lieu'!M309</f>
        <v>13.88</v>
      </c>
      <c r="G1488" s="9">
        <f>'1_Du_lieu'!N309</f>
        <v>23.1</v>
      </c>
      <c r="H1488" s="9">
        <f>'1_Du_lieu'!X309</f>
        <v>2.9114432130738548</v>
      </c>
      <c r="I1488" s="9">
        <f>'1_Du_lieu'!T309</f>
        <v>0.74840962953723333</v>
      </c>
      <c r="J1488" s="9">
        <f>'1_Du_lieu'!Y309</f>
        <v>5.5660518011901212</v>
      </c>
      <c r="K1488" s="9">
        <f>'1_Du_lieu'!O309</f>
        <v>13.8</v>
      </c>
      <c r="L1488" s="5">
        <f t="shared" si="195"/>
        <v>0</v>
      </c>
      <c r="M1488" s="5">
        <f t="shared" si="196"/>
        <v>0</v>
      </c>
      <c r="N1488" s="5">
        <f t="shared" si="197"/>
        <v>0</v>
      </c>
    </row>
    <row r="1489" spans="1:14" x14ac:dyDescent="0.25">
      <c r="A1489" t="s">
        <v>144</v>
      </c>
      <c r="B1489">
        <v>2021</v>
      </c>
      <c r="C1489" s="7">
        <f>'1_Du_lieu'!V310</f>
        <v>1.7155981082624909</v>
      </c>
      <c r="D1489" s="9">
        <f>'1_Du_lieu'!W310</f>
        <v>4.3385970767465452</v>
      </c>
      <c r="E1489" s="9">
        <f>'1_Du_lieu'!L310</f>
        <v>3.8580000000000001</v>
      </c>
      <c r="F1489" s="9">
        <f>'1_Du_lieu'!M310</f>
        <v>32.380000000000003</v>
      </c>
      <c r="G1489" s="9">
        <f>'1_Du_lieu'!N310</f>
        <v>16</v>
      </c>
      <c r="H1489" s="9">
        <f>'1_Du_lieu'!X310</f>
        <v>2.5114225510080193</v>
      </c>
      <c r="I1489" s="9">
        <f>'1_Du_lieu'!T310</f>
        <v>1.0999238514256704</v>
      </c>
      <c r="J1489" s="9">
        <f>'1_Du_lieu'!Y310</f>
        <v>8.8812666983646373</v>
      </c>
      <c r="K1489" s="9">
        <f>'1_Du_lieu'!O310</f>
        <v>16</v>
      </c>
      <c r="L1489" s="5">
        <f t="shared" si="195"/>
        <v>0</v>
      </c>
      <c r="M1489" s="5">
        <f t="shared" si="196"/>
        <v>0</v>
      </c>
      <c r="N1489" s="5">
        <f t="shared" si="197"/>
        <v>0</v>
      </c>
    </row>
    <row r="1490" spans="1:14" x14ac:dyDescent="0.25">
      <c r="A1490" t="s">
        <v>145</v>
      </c>
      <c r="B1490">
        <v>2021</v>
      </c>
      <c r="C1490" s="7">
        <f>'1_Du_lieu'!V311</f>
        <v>1.5260563034950492</v>
      </c>
      <c r="D1490" s="9">
        <f>'1_Du_lieu'!W311</f>
        <v>4.0517849478033048</v>
      </c>
      <c r="E1490" s="9">
        <f>'1_Du_lieu'!L311</f>
        <v>2.7130000000000001</v>
      </c>
      <c r="F1490" s="9">
        <f>'1_Du_lieu'!M311</f>
        <v>22.71</v>
      </c>
      <c r="G1490" s="9">
        <f>'1_Du_lieu'!N311</f>
        <v>15.6</v>
      </c>
      <c r="H1490" s="9">
        <f>'1_Du_lieu'!X311</f>
        <v>0.67698224370658988</v>
      </c>
      <c r="I1490" s="9">
        <f>'1_Du_lieu'!T311</f>
        <v>0.58309037900874638</v>
      </c>
      <c r="J1490" s="9">
        <f>'1_Du_lieu'!Y311</f>
        <v>6.7464121285733745</v>
      </c>
      <c r="K1490" s="9">
        <f>'1_Du_lieu'!O311</f>
        <v>18</v>
      </c>
      <c r="L1490" s="5">
        <f t="shared" si="195"/>
        <v>0</v>
      </c>
      <c r="M1490" s="5">
        <f t="shared" si="196"/>
        <v>0</v>
      </c>
      <c r="N1490" s="5">
        <f t="shared" si="197"/>
        <v>0</v>
      </c>
    </row>
    <row r="1491" spans="1:14" x14ac:dyDescent="0.25">
      <c r="A1491" t="s">
        <v>146</v>
      </c>
      <c r="B1491">
        <v>2021</v>
      </c>
      <c r="C1491" s="7">
        <f>'1_Du_lieu'!V312</f>
        <v>1.9726911717329554</v>
      </c>
      <c r="D1491" s="9">
        <f>'1_Du_lieu'!W312</f>
        <v>4.7397010789456973</v>
      </c>
      <c r="E1491" s="9">
        <f>'1_Du_lieu'!L312</f>
        <v>6.9829999999999997</v>
      </c>
      <c r="F1491" s="9">
        <f>'1_Du_lieu'!M312</f>
        <v>30.06</v>
      </c>
      <c r="G1491" s="9">
        <f>'1_Du_lieu'!N312</f>
        <v>34.700000000000003</v>
      </c>
      <c r="H1491" s="9">
        <f>'1_Du_lieu'!X312</f>
        <v>2.5479862283474914</v>
      </c>
      <c r="I1491" s="9">
        <f>'1_Du_lieu'!T312</f>
        <v>0.75516026178889073</v>
      </c>
      <c r="J1491" s="9">
        <f>'1_Du_lieu'!Y312</f>
        <v>8.6070704578189119</v>
      </c>
      <c r="K1491" s="9">
        <f>'1_Du_lieu'!O312</f>
        <v>35.1</v>
      </c>
      <c r="L1491" s="5">
        <f t="shared" si="195"/>
        <v>0</v>
      </c>
      <c r="M1491" s="5">
        <f t="shared" si="196"/>
        <v>0</v>
      </c>
      <c r="N1491" s="5">
        <f t="shared" si="197"/>
        <v>0</v>
      </c>
    </row>
    <row r="1492" spans="1:14" x14ac:dyDescent="0.25">
      <c r="A1492" t="s">
        <v>147</v>
      </c>
      <c r="B1492">
        <v>2021</v>
      </c>
      <c r="C1492" s="7">
        <f>'1_Du_lieu'!V313</f>
        <v>1.6601310267496185</v>
      </c>
      <c r="D1492" s="9">
        <f>'1_Du_lieu'!W313</f>
        <v>3.751854253275325</v>
      </c>
      <c r="E1492" s="9">
        <f>'1_Du_lieu'!L313</f>
        <v>2.2389999999999999</v>
      </c>
      <c r="F1492" s="9">
        <f>'1_Du_lieu'!M313</f>
        <v>20.73</v>
      </c>
      <c r="G1492" s="9">
        <f>'1_Du_lieu'!N313</f>
        <v>22.2</v>
      </c>
      <c r="H1492" s="9">
        <f>'1_Du_lieu'!X313</f>
        <v>2.2363854484825239</v>
      </c>
      <c r="I1492" s="9">
        <f>'1_Du_lieu'!T313</f>
        <v>0.35599857600569595</v>
      </c>
      <c r="J1492" s="9">
        <f>'1_Du_lieu'!Y313</f>
        <v>6.2790841176065566</v>
      </c>
      <c r="K1492" s="9">
        <f>'1_Du_lieu'!O313</f>
        <v>13.6</v>
      </c>
      <c r="L1492" s="5">
        <f t="shared" si="195"/>
        <v>0</v>
      </c>
      <c r="M1492" s="5">
        <f t="shared" si="196"/>
        <v>0</v>
      </c>
      <c r="N1492" s="5">
        <f t="shared" si="197"/>
        <v>0</v>
      </c>
    </row>
    <row r="1493" spans="1:14" x14ac:dyDescent="0.25">
      <c r="A1493" t="s">
        <v>149</v>
      </c>
      <c r="B1493">
        <v>2021</v>
      </c>
      <c r="C1493" s="7">
        <f>'1_Du_lieu'!V315</f>
        <v>2.9465420293632194</v>
      </c>
      <c r="D1493" s="9">
        <f>'1_Du_lieu'!W315</f>
        <v>4.5042442673981311</v>
      </c>
      <c r="E1493" s="9">
        <f>'1_Du_lieu'!L315</f>
        <v>20.663</v>
      </c>
      <c r="F1493" s="9">
        <f>'1_Du_lieu'!M315</f>
        <v>87.35</v>
      </c>
      <c r="G1493" s="9">
        <f>'1_Du_lieu'!N315</f>
        <v>48.1</v>
      </c>
      <c r="H1493" s="9">
        <f>'1_Du_lieu'!X315</f>
        <v>3.2363286568748997</v>
      </c>
      <c r="I1493" s="9">
        <f>'1_Du_lieu'!T315</f>
        <v>6.6081137599330821</v>
      </c>
      <c r="J1493" s="9">
        <f>'1_Du_lieu'!Y315</f>
        <v>8.5098261210706703</v>
      </c>
      <c r="K1493" s="9">
        <f>'1_Du_lieu'!O315</f>
        <v>58.1</v>
      </c>
      <c r="L1493" s="5">
        <f t="shared" si="195"/>
        <v>0</v>
      </c>
      <c r="M1493" s="5">
        <f t="shared" si="196"/>
        <v>0</v>
      </c>
      <c r="N1493" s="5">
        <f t="shared" si="197"/>
        <v>0</v>
      </c>
    </row>
    <row r="1494" spans="1:14" x14ac:dyDescent="0.25">
      <c r="A1494" t="s">
        <v>150</v>
      </c>
      <c r="B1494">
        <v>2021</v>
      </c>
      <c r="C1494" s="7">
        <f>'1_Du_lieu'!V316</f>
        <v>1.7227665977411035</v>
      </c>
      <c r="D1494" s="9">
        <f>'1_Du_lieu'!W316</f>
        <v>3.9318256327243257</v>
      </c>
      <c r="E1494" s="9">
        <f>'1_Du_lieu'!L316</f>
        <v>3.7120000000000002</v>
      </c>
      <c r="F1494" s="9">
        <f>'1_Du_lieu'!M316</f>
        <v>24.82</v>
      </c>
      <c r="G1494" s="9">
        <f>'1_Du_lieu'!N316</f>
        <v>18.3</v>
      </c>
      <c r="H1494" s="9">
        <f>'1_Du_lieu'!X316</f>
        <v>2.2871336977571044</v>
      </c>
      <c r="I1494" s="9">
        <f>'1_Du_lieu'!T316</f>
        <v>0.57621791513881615</v>
      </c>
      <c r="J1494" s="9">
        <f>'1_Du_lieu'!Y316</f>
        <v>5.8114403493627105</v>
      </c>
      <c r="K1494" s="9">
        <f>'1_Du_lieu'!O316</f>
        <v>23.1</v>
      </c>
      <c r="L1494" s="5">
        <f t="shared" si="195"/>
        <v>0</v>
      </c>
      <c r="M1494" s="5">
        <f t="shared" si="196"/>
        <v>0</v>
      </c>
      <c r="N1494" s="5">
        <f t="shared" si="197"/>
        <v>0</v>
      </c>
    </row>
    <row r="1495" spans="1:14" x14ac:dyDescent="0.25">
      <c r="A1495" t="s">
        <v>151</v>
      </c>
      <c r="B1495">
        <v>2021</v>
      </c>
      <c r="C1495" s="7">
        <f>'1_Du_lieu'!V317</f>
        <v>1.5411590716808059</v>
      </c>
      <c r="D1495" s="9">
        <f>'1_Du_lieu'!W317</f>
        <v>3.9740583963475986</v>
      </c>
      <c r="E1495" s="9">
        <f>'1_Du_lieu'!L317</f>
        <v>3.5539999999999998</v>
      </c>
      <c r="F1495" s="9">
        <f>'1_Du_lieu'!M317</f>
        <v>16.260000000000002</v>
      </c>
      <c r="G1495" s="9">
        <f>'1_Du_lieu'!N317</f>
        <v>15.4</v>
      </c>
      <c r="H1495" s="9">
        <f>'1_Du_lieu'!X317</f>
        <v>0.78181281764560162</v>
      </c>
      <c r="I1495" s="9">
        <f>'1_Du_lieu'!T317</f>
        <v>0.45153521974714034</v>
      </c>
      <c r="J1495" s="9">
        <f>'1_Du_lieu'!Y317</f>
        <v>6.1520941930329496</v>
      </c>
      <c r="K1495" s="9">
        <f>'1_Du_lieu'!O317</f>
        <v>23.2</v>
      </c>
      <c r="L1495" s="5">
        <f t="shared" si="195"/>
        <v>0</v>
      </c>
      <c r="M1495" s="5">
        <f t="shared" si="196"/>
        <v>0</v>
      </c>
      <c r="N1495" s="5">
        <f t="shared" si="197"/>
        <v>0</v>
      </c>
    </row>
    <row r="1496" spans="1:14" x14ac:dyDescent="0.25">
      <c r="A1496" t="s">
        <v>152</v>
      </c>
      <c r="B1496">
        <v>2021</v>
      </c>
      <c r="C1496" s="7">
        <f>'1_Du_lieu'!V318</f>
        <v>2.4105422344991378</v>
      </c>
      <c r="D1496" s="9">
        <f>'1_Du_lieu'!W318</f>
        <v>4.779963476361254</v>
      </c>
      <c r="E1496" s="9">
        <f>'1_Du_lieu'!L318</f>
        <v>7.9059999999999997</v>
      </c>
      <c r="F1496" s="9">
        <f>'1_Du_lieu'!M318</f>
        <v>44.76</v>
      </c>
      <c r="G1496" s="9">
        <f>'1_Du_lieu'!N318</f>
        <v>21.9</v>
      </c>
      <c r="H1496" s="9">
        <f>'1_Du_lieu'!X318</f>
        <v>2.5423329505205192</v>
      </c>
      <c r="I1496" s="9">
        <f>'1_Du_lieu'!T318</f>
        <v>0.56798460130636463</v>
      </c>
      <c r="J1496" s="9">
        <f>'1_Du_lieu'!Y318</f>
        <v>9.2807429160743222</v>
      </c>
      <c r="K1496" s="9">
        <f>'1_Du_lieu'!O318</f>
        <v>27.7</v>
      </c>
      <c r="L1496" s="5">
        <f t="shared" si="195"/>
        <v>0</v>
      </c>
      <c r="M1496" s="5">
        <f t="shared" si="196"/>
        <v>0</v>
      </c>
      <c r="N1496" s="5">
        <f t="shared" si="197"/>
        <v>0</v>
      </c>
    </row>
    <row r="1497" spans="1:14" x14ac:dyDescent="0.25">
      <c r="A1497" t="s">
        <v>153</v>
      </c>
      <c r="B1497">
        <v>2021</v>
      </c>
      <c r="C1497" s="7">
        <f>'1_Du_lieu'!V319</f>
        <v>1.7191887763932197</v>
      </c>
      <c r="D1497" s="9">
        <f>'1_Du_lieu'!W319</f>
        <v>3.9963641538618968</v>
      </c>
      <c r="E1497" s="9">
        <f>'1_Du_lieu'!L319</f>
        <v>2.3210000000000002</v>
      </c>
      <c r="F1497" s="9">
        <f>'1_Du_lieu'!M319</f>
        <v>20.18</v>
      </c>
      <c r="G1497" s="9">
        <f>'1_Du_lieu'!N319</f>
        <v>14.3</v>
      </c>
      <c r="H1497" s="9">
        <f>'1_Du_lieu'!X319</f>
        <v>0.56485668954794155</v>
      </c>
      <c r="I1497" s="9">
        <f>'1_Du_lieu'!T319</f>
        <v>0.62449259976269278</v>
      </c>
      <c r="J1497" s="9">
        <f>'1_Du_lieu'!Y319</f>
        <v>4.9863426015272116</v>
      </c>
      <c r="K1497" s="9">
        <f>'1_Du_lieu'!O319</f>
        <v>16.3</v>
      </c>
      <c r="L1497" s="5">
        <f t="shared" si="195"/>
        <v>0</v>
      </c>
      <c r="M1497" s="5">
        <f t="shared" si="196"/>
        <v>0</v>
      </c>
      <c r="N1497" s="5">
        <f t="shared" si="197"/>
        <v>0</v>
      </c>
    </row>
    <row r="1498" spans="1:14" x14ac:dyDescent="0.25">
      <c r="A1498" t="s">
        <v>85</v>
      </c>
      <c r="B1498">
        <v>2022</v>
      </c>
      <c r="C1498" s="7">
        <f>'1_Du_lieu'!V320</f>
        <v>2.8332133440562162</v>
      </c>
      <c r="D1498" s="9">
        <f>'1_Du_lieu'!W320</f>
        <v>3.9646154555473165</v>
      </c>
      <c r="E1498" s="9">
        <f>'1_Du_lieu'!L320</f>
        <v>2.6539999999999999</v>
      </c>
      <c r="F1498" s="9">
        <f>'1_Du_lieu'!M320</f>
        <v>33.840000000000003</v>
      </c>
      <c r="G1498" s="9">
        <f>'1_Du_lieu'!N320</f>
        <v>14.5</v>
      </c>
      <c r="H1498" s="9">
        <f>'1_Du_lieu'!X320</f>
        <v>1.6657790589637886</v>
      </c>
      <c r="I1498" s="9">
        <f>'1_Du_lieu'!T320</f>
        <v>0.47231697717134608</v>
      </c>
      <c r="J1498" s="9">
        <f>'1_Du_lieu'!Y320</f>
        <v>5.1209833512651208</v>
      </c>
      <c r="K1498" s="9">
        <f>'1_Du_lieu'!O320</f>
        <v>19.3</v>
      </c>
      <c r="L1498" s="5">
        <f t="shared" si="195"/>
        <v>1</v>
      </c>
      <c r="M1498" s="5">
        <f t="shared" si="196"/>
        <v>0</v>
      </c>
      <c r="N1498" s="5">
        <f t="shared" si="197"/>
        <v>0</v>
      </c>
    </row>
    <row r="1499" spans="1:14" x14ac:dyDescent="0.25">
      <c r="A1499" t="s">
        <v>87</v>
      </c>
      <c r="B1499">
        <v>2022</v>
      </c>
      <c r="C1499" s="7">
        <f>'1_Du_lieu'!V321</f>
        <v>3.2308043957334744</v>
      </c>
      <c r="D1499" s="9">
        <f>'1_Du_lieu'!W321</f>
        <v>5.9191626353525768</v>
      </c>
      <c r="E1499" s="9">
        <f>'1_Du_lieu'!L321</f>
        <v>10.125</v>
      </c>
      <c r="F1499" s="9">
        <f>'1_Du_lieu'!M321</f>
        <v>60.4</v>
      </c>
      <c r="G1499" s="9">
        <f>'1_Du_lieu'!N321</f>
        <v>28</v>
      </c>
      <c r="H1499" s="9">
        <f>'1_Du_lieu'!X321</f>
        <v>2.1022970435051618</v>
      </c>
      <c r="I1499" s="9">
        <f>'1_Du_lieu'!T321</f>
        <v>1.5271061338763043</v>
      </c>
      <c r="J1499" s="9">
        <f>'1_Du_lieu'!Y321</f>
        <v>10.249057564326076</v>
      </c>
      <c r="K1499" s="9">
        <f>'1_Du_lieu'!O321</f>
        <v>29.1</v>
      </c>
      <c r="L1499" s="5">
        <f t="shared" si="195"/>
        <v>1</v>
      </c>
      <c r="M1499" s="5">
        <f t="shared" si="196"/>
        <v>0</v>
      </c>
      <c r="N1499" s="5">
        <f t="shared" si="197"/>
        <v>0</v>
      </c>
    </row>
    <row r="1500" spans="1:14" x14ac:dyDescent="0.25">
      <c r="A1500" t="s">
        <v>89</v>
      </c>
      <c r="B1500">
        <v>2022</v>
      </c>
      <c r="C1500" s="7">
        <f>'1_Du_lieu'!V322</f>
        <v>3.5945687746426951</v>
      </c>
      <c r="D1500" s="9">
        <f>'1_Du_lieu'!W322</f>
        <v>5.0968129903373081</v>
      </c>
      <c r="E1500" s="9">
        <f>'1_Du_lieu'!L322</f>
        <v>14.743</v>
      </c>
      <c r="F1500" s="9">
        <f>'1_Du_lieu'!M322</f>
        <v>84.23</v>
      </c>
      <c r="G1500" s="9">
        <f>'1_Du_lieu'!N322</f>
        <v>21.1</v>
      </c>
      <c r="H1500" s="9">
        <f>'1_Du_lieu'!X322</f>
        <v>3.242947697575</v>
      </c>
      <c r="I1500" s="9">
        <f>'1_Du_lieu'!T322</f>
        <v>0.61525098621113972</v>
      </c>
      <c r="J1500" s="9">
        <f>'1_Du_lieu'!Y322</f>
        <v>9.5710521568971654</v>
      </c>
      <c r="K1500" s="9">
        <f>'1_Du_lieu'!O322</f>
        <v>22</v>
      </c>
      <c r="L1500" s="5">
        <f t="shared" si="195"/>
        <v>1</v>
      </c>
      <c r="M1500" s="5">
        <f t="shared" si="196"/>
        <v>0</v>
      </c>
      <c r="N1500" s="5">
        <f t="shared" si="197"/>
        <v>0</v>
      </c>
    </row>
    <row r="1501" spans="1:14" x14ac:dyDescent="0.25">
      <c r="A1501" t="s">
        <v>90</v>
      </c>
      <c r="B1501">
        <v>2022</v>
      </c>
      <c r="C1501" s="7">
        <f>'1_Du_lieu'!V323</f>
        <v>2.5802168295923251</v>
      </c>
      <c r="D1501" s="9">
        <f>'1_Du_lieu'!W323</f>
        <v>4.4704952826614894</v>
      </c>
      <c r="E1501" s="9">
        <f>'1_Du_lieu'!L323</f>
        <v>6.3929999999999998</v>
      </c>
      <c r="F1501" s="9">
        <f>'1_Du_lieu'!M323</f>
        <v>29.38</v>
      </c>
      <c r="G1501" s="9">
        <f>'1_Du_lieu'!N323</f>
        <v>20.100000000000001</v>
      </c>
      <c r="H1501" s="9">
        <f>'1_Du_lieu'!X323</f>
        <v>0.96674091458842459</v>
      </c>
      <c r="I1501" s="9">
        <f>'1_Du_lieu'!T323</f>
        <v>0.8698173383589447</v>
      </c>
      <c r="J1501" s="9">
        <f>'1_Du_lieu'!Y323</f>
        <v>8.2579560324537891</v>
      </c>
      <c r="K1501" s="9">
        <f>'1_Du_lieu'!O323</f>
        <v>25.7</v>
      </c>
      <c r="L1501" s="5">
        <f t="shared" si="195"/>
        <v>1</v>
      </c>
      <c r="M1501" s="5">
        <f t="shared" si="196"/>
        <v>0</v>
      </c>
      <c r="N1501" s="5">
        <f t="shared" si="197"/>
        <v>0</v>
      </c>
    </row>
    <row r="1502" spans="1:14" x14ac:dyDescent="0.25">
      <c r="A1502" t="s">
        <v>91</v>
      </c>
      <c r="B1502">
        <v>2022</v>
      </c>
      <c r="C1502" s="7">
        <f>'1_Du_lieu'!V324</f>
        <v>2.7278528283983898</v>
      </c>
      <c r="D1502" s="9">
        <f>'1_Du_lieu'!W324</f>
        <v>4.3944491546724391</v>
      </c>
      <c r="E1502" s="9">
        <f>'1_Du_lieu'!L324</f>
        <v>4.6399999999999997</v>
      </c>
      <c r="F1502" s="9">
        <f>'1_Du_lieu'!M324</f>
        <v>38.6</v>
      </c>
      <c r="G1502" s="9">
        <f>'1_Du_lieu'!N324</f>
        <v>18.5</v>
      </c>
      <c r="H1502" s="9">
        <f>'1_Du_lieu'!X324</f>
        <v>1.4568620109471089</v>
      </c>
      <c r="I1502" s="9">
        <f>'1_Du_lieu'!T324</f>
        <v>0.31946330165322262</v>
      </c>
      <c r="J1502" s="9">
        <f>'1_Du_lieu'!Y324</f>
        <v>8.0284225584310782</v>
      </c>
      <c r="K1502" s="9">
        <f>'1_Du_lieu'!O324</f>
        <v>17.7</v>
      </c>
      <c r="L1502" s="5">
        <f t="shared" si="195"/>
        <v>1</v>
      </c>
      <c r="M1502" s="5">
        <f t="shared" si="196"/>
        <v>0</v>
      </c>
      <c r="N1502" s="5">
        <f t="shared" si="197"/>
        <v>0</v>
      </c>
    </row>
    <row r="1503" spans="1:14" x14ac:dyDescent="0.25">
      <c r="A1503" t="s">
        <v>93</v>
      </c>
      <c r="B1503">
        <v>2022</v>
      </c>
      <c r="C1503" s="7">
        <f>'1_Du_lieu'!V325</f>
        <v>2.9496883350525844</v>
      </c>
      <c r="D1503" s="9">
        <f>'1_Du_lieu'!W325</f>
        <v>4.2724907476055751</v>
      </c>
      <c r="E1503" s="9">
        <f>'1_Du_lieu'!L325</f>
        <v>5.149</v>
      </c>
      <c r="F1503" s="9">
        <f>'1_Du_lieu'!M325</f>
        <v>41.19</v>
      </c>
      <c r="G1503" s="9">
        <f>'1_Du_lieu'!N325</f>
        <v>25</v>
      </c>
      <c r="H1503" s="9">
        <f>'1_Du_lieu'!X325</f>
        <v>3.0194499686958518</v>
      </c>
      <c r="I1503" s="9">
        <f>'1_Du_lieu'!T325</f>
        <v>0.79771322209665629</v>
      </c>
      <c r="J1503" s="9">
        <f>'1_Du_lieu'!Y325</f>
        <v>6.6876072366477262</v>
      </c>
      <c r="K1503" s="9">
        <f>'1_Du_lieu'!O325</f>
        <v>22.8</v>
      </c>
      <c r="L1503" s="5">
        <f t="shared" si="195"/>
        <v>1</v>
      </c>
      <c r="M1503" s="5">
        <f t="shared" si="196"/>
        <v>0</v>
      </c>
      <c r="N1503" s="5">
        <f t="shared" si="197"/>
        <v>0</v>
      </c>
    </row>
    <row r="1504" spans="1:14" x14ac:dyDescent="0.25">
      <c r="A1504" t="s">
        <v>95</v>
      </c>
      <c r="B1504">
        <v>2022</v>
      </c>
      <c r="C1504" s="7">
        <f>'1_Du_lieu'!V327</f>
        <v>2.8449093838194073</v>
      </c>
      <c r="D1504" s="9">
        <f>'1_Du_lieu'!W327</f>
        <v>4.4343818650078095</v>
      </c>
      <c r="E1504" s="9">
        <f>'1_Du_lieu'!L327</f>
        <v>4.1779999999999999</v>
      </c>
      <c r="F1504" s="9">
        <f>'1_Du_lieu'!M327</f>
        <v>19.579999999999998</v>
      </c>
      <c r="G1504" s="9">
        <f>'1_Du_lieu'!N327</f>
        <v>32</v>
      </c>
      <c r="H1504" s="9">
        <f>'1_Du_lieu'!X327</f>
        <v>2.8277262890959798</v>
      </c>
      <c r="I1504" s="9">
        <f>'1_Du_lieu'!T327</f>
        <v>0.47596382674916704</v>
      </c>
      <c r="J1504" s="9">
        <f>'1_Du_lieu'!Y327</f>
        <v>8.5124620170403364</v>
      </c>
      <c r="K1504" s="9">
        <f>'1_Du_lieu'!O327</f>
        <v>19.8</v>
      </c>
      <c r="L1504" s="5">
        <f t="shared" si="195"/>
        <v>1</v>
      </c>
      <c r="M1504" s="5">
        <f t="shared" si="196"/>
        <v>0</v>
      </c>
      <c r="N1504" s="5">
        <f t="shared" si="197"/>
        <v>0</v>
      </c>
    </row>
    <row r="1505" spans="1:14" x14ac:dyDescent="0.25">
      <c r="A1505" t="s">
        <v>97</v>
      </c>
      <c r="B1505">
        <v>2022</v>
      </c>
      <c r="C1505" s="7">
        <f>'1_Du_lieu'!V328</f>
        <v>2.388762789235098</v>
      </c>
      <c r="D1505" s="9">
        <f>'1_Du_lieu'!W328</f>
        <v>3.8501476017100584</v>
      </c>
      <c r="E1505" s="9">
        <f>'1_Du_lieu'!L328</f>
        <v>2.1819999999999999</v>
      </c>
      <c r="F1505" s="9">
        <f>'1_Du_lieu'!M328</f>
        <v>22.69</v>
      </c>
      <c r="G1505" s="9">
        <f>'1_Du_lieu'!N328</f>
        <v>27.6</v>
      </c>
      <c r="H1505" s="9">
        <f>'1_Du_lieu'!X328</f>
        <v>1.8907805744012527</v>
      </c>
      <c r="I1505" s="9">
        <f>'1_Du_lieu'!T328</f>
        <v>0.92478421701602964</v>
      </c>
      <c r="J1505" s="9">
        <f>'1_Du_lieu'!Y328</f>
        <v>3.2347491740244907</v>
      </c>
      <c r="K1505" s="9">
        <f>'1_Du_lieu'!O328</f>
        <v>17.100000000000001</v>
      </c>
      <c r="L1505" s="5">
        <f t="shared" si="195"/>
        <v>1</v>
      </c>
      <c r="M1505" s="5">
        <f t="shared" si="196"/>
        <v>0</v>
      </c>
      <c r="N1505" s="5">
        <f t="shared" si="197"/>
        <v>0</v>
      </c>
    </row>
    <row r="1506" spans="1:14" x14ac:dyDescent="0.25">
      <c r="A1506" t="s">
        <v>98</v>
      </c>
      <c r="B1506">
        <v>2022</v>
      </c>
      <c r="C1506" s="7">
        <f>'1_Du_lieu'!V329</f>
        <v>3.2809112157876537</v>
      </c>
      <c r="D1506" s="9">
        <f>'1_Du_lieu'!W329</f>
        <v>5.1161957897567483</v>
      </c>
      <c r="E1506" s="9">
        <f>'1_Du_lieu'!L329</f>
        <v>10.007</v>
      </c>
      <c r="F1506" s="9">
        <f>'1_Du_lieu'!M329</f>
        <v>37.26</v>
      </c>
      <c r="G1506" s="9">
        <f>'1_Du_lieu'!N329</f>
        <v>34.4</v>
      </c>
      <c r="H1506" s="9">
        <f>'1_Du_lieu'!X329</f>
        <v>2.7160096608008284</v>
      </c>
      <c r="I1506" s="9">
        <f>'1_Du_lieu'!T329</f>
        <v>1.8813411274608616</v>
      </c>
      <c r="J1506" s="9">
        <f>'1_Du_lieu'!Y329</f>
        <v>9.6593820772008918</v>
      </c>
      <c r="K1506" s="9">
        <f>'1_Du_lieu'!O329</f>
        <v>30.8</v>
      </c>
      <c r="L1506" s="5">
        <f t="shared" si="195"/>
        <v>1</v>
      </c>
      <c r="M1506" s="5">
        <f t="shared" si="196"/>
        <v>0</v>
      </c>
      <c r="N1506" s="5">
        <f t="shared" si="197"/>
        <v>0</v>
      </c>
    </row>
    <row r="1507" spans="1:14" x14ac:dyDescent="0.25">
      <c r="A1507" t="s">
        <v>100</v>
      </c>
      <c r="B1507">
        <v>2022</v>
      </c>
      <c r="C1507" s="7">
        <f>'1_Du_lieu'!V330</f>
        <v>2.8678989020441064</v>
      </c>
      <c r="D1507" s="9">
        <f>'1_Du_lieu'!W330</f>
        <v>3.8794998137225858</v>
      </c>
      <c r="E1507" s="9">
        <f>'1_Du_lieu'!L330</f>
        <v>2.7519999999999998</v>
      </c>
      <c r="F1507" s="9">
        <f>'1_Du_lieu'!M330</f>
        <v>10.25</v>
      </c>
      <c r="G1507" s="9">
        <f>'1_Du_lieu'!N330</f>
        <v>11.9</v>
      </c>
      <c r="H1507" s="9">
        <f>'1_Du_lieu'!X330</f>
        <v>1.262205371411063</v>
      </c>
      <c r="I1507" s="9">
        <f>'1_Du_lieu'!T330</f>
        <v>0.46224961479198773</v>
      </c>
      <c r="J1507" s="9">
        <f>'1_Du_lieu'!Y330</f>
        <v>7.1083259694439551</v>
      </c>
      <c r="K1507" s="9">
        <f>'1_Du_lieu'!O330</f>
        <v>16.399999999999999</v>
      </c>
      <c r="L1507" s="5">
        <f t="shared" ref="L1507:L1570" si="198">IF(B1507=2022,1,0)</f>
        <v>1</v>
      </c>
      <c r="M1507" s="5">
        <f t="shared" ref="M1507:M1570" si="199">IF(B1507=2023,1,0)</f>
        <v>0</v>
      </c>
      <c r="N1507" s="5">
        <f t="shared" ref="N1507:N1570" si="200">IF(B1507=2024,1,0)</f>
        <v>0</v>
      </c>
    </row>
    <row r="1508" spans="1:14" x14ac:dyDescent="0.25">
      <c r="A1508" t="s">
        <v>102</v>
      </c>
      <c r="B1508">
        <v>2022</v>
      </c>
      <c r="C1508" s="7">
        <f>'1_Du_lieu'!V332</f>
        <v>2.5095992623783721</v>
      </c>
      <c r="D1508" s="9">
        <f>'1_Du_lieu'!W332</f>
        <v>4.0842942263685993</v>
      </c>
      <c r="E1508" s="9">
        <f>'1_Du_lieu'!L332</f>
        <v>3.1819999999999999</v>
      </c>
      <c r="F1508" s="9">
        <f>'1_Du_lieu'!M332</f>
        <v>22.84</v>
      </c>
      <c r="G1508" s="9">
        <f>'1_Du_lieu'!N332</f>
        <v>14.3</v>
      </c>
      <c r="H1508" s="9">
        <f>'1_Du_lieu'!X332</f>
        <v>-0.41115366539591419</v>
      </c>
      <c r="I1508" s="9">
        <f>'1_Du_lieu'!T332</f>
        <v>0.57966213978138459</v>
      </c>
      <c r="J1508" s="9">
        <f>'1_Du_lieu'!Y332</f>
        <v>4.8528112089026889</v>
      </c>
      <c r="K1508" s="9">
        <f>'1_Du_lieu'!O332</f>
        <v>16.5</v>
      </c>
      <c r="L1508" s="5">
        <f t="shared" si="198"/>
        <v>1</v>
      </c>
      <c r="M1508" s="5">
        <f t="shared" si="199"/>
        <v>0</v>
      </c>
      <c r="N1508" s="5">
        <f t="shared" si="200"/>
        <v>0</v>
      </c>
    </row>
    <row r="1509" spans="1:14" x14ac:dyDescent="0.25">
      <c r="A1509" t="s">
        <v>103</v>
      </c>
      <c r="B1509">
        <v>2022</v>
      </c>
      <c r="C1509" s="7">
        <f>'1_Du_lieu'!V333</f>
        <v>3.2884018875168111</v>
      </c>
      <c r="D1509" s="9">
        <f>'1_Du_lieu'!W333</f>
        <v>4.4624538837864964</v>
      </c>
      <c r="E1509" s="9">
        <f>'1_Du_lieu'!L333</f>
        <v>8.0329999999999995</v>
      </c>
      <c r="F1509" s="9">
        <f>'1_Du_lieu'!M333</f>
        <v>70.5</v>
      </c>
      <c r="G1509" s="9">
        <f>'1_Du_lieu'!N333</f>
        <v>22.9</v>
      </c>
      <c r="H1509" s="9">
        <f>'1_Du_lieu'!X333</f>
        <v>0.87762244934979738</v>
      </c>
      <c r="I1509" s="9">
        <f>'1_Du_lieu'!T333</f>
        <v>1.3575021959594347</v>
      </c>
      <c r="J1509" s="9">
        <f>'1_Du_lieu'!Y333</f>
        <v>7.501579238247297</v>
      </c>
      <c r="K1509" s="9">
        <f>'1_Du_lieu'!O333</f>
        <v>28.4</v>
      </c>
      <c r="L1509" s="5">
        <f t="shared" si="198"/>
        <v>1</v>
      </c>
      <c r="M1509" s="5">
        <f t="shared" si="199"/>
        <v>0</v>
      </c>
      <c r="N1509" s="5">
        <f t="shared" si="200"/>
        <v>0</v>
      </c>
    </row>
    <row r="1510" spans="1:14" x14ac:dyDescent="0.25">
      <c r="A1510" t="s">
        <v>104</v>
      </c>
      <c r="B1510">
        <v>2022</v>
      </c>
      <c r="C1510" s="7">
        <f>'1_Du_lieu'!V334</f>
        <v>2.631888840136646</v>
      </c>
      <c r="D1510" s="9">
        <f>'1_Du_lieu'!W334</f>
        <v>3.9908341858524357</v>
      </c>
      <c r="E1510" s="9">
        <f>'1_Du_lieu'!L334</f>
        <v>3.2919999999999998</v>
      </c>
      <c r="F1510" s="9">
        <f>'1_Du_lieu'!M334</f>
        <v>29.33</v>
      </c>
      <c r="G1510" s="9">
        <f>'1_Du_lieu'!N334</f>
        <v>15.3</v>
      </c>
      <c r="H1510" s="9">
        <f>'1_Du_lieu'!X334</f>
        <v>2.4487919397710241</v>
      </c>
      <c r="I1510" s="9">
        <f>'1_Du_lieu'!T334</f>
        <v>1.1942174732872406</v>
      </c>
      <c r="J1510" s="9">
        <f>'1_Du_lieu'!Y334</f>
        <v>4.0758410906575406</v>
      </c>
      <c r="K1510" s="9">
        <f>'1_Du_lieu'!O334</f>
        <v>17</v>
      </c>
      <c r="L1510" s="5">
        <f t="shared" si="198"/>
        <v>1</v>
      </c>
      <c r="M1510" s="5">
        <f t="shared" si="199"/>
        <v>0</v>
      </c>
      <c r="N1510" s="5">
        <f t="shared" si="200"/>
        <v>0</v>
      </c>
    </row>
    <row r="1511" spans="1:14" x14ac:dyDescent="0.25">
      <c r="A1511" t="s">
        <v>107</v>
      </c>
      <c r="B1511">
        <v>2022</v>
      </c>
      <c r="C1511" s="7">
        <f>'1_Du_lieu'!V336</f>
        <v>2.8903717578961645</v>
      </c>
      <c r="D1511" s="9">
        <f>'1_Du_lieu'!W336</f>
        <v>4.467056883858457</v>
      </c>
      <c r="E1511" s="9">
        <f>'1_Du_lieu'!L336</f>
        <v>5.8630000000000004</v>
      </c>
      <c r="F1511" s="9">
        <f>'1_Du_lieu'!M336</f>
        <v>28.02</v>
      </c>
      <c r="G1511" s="9">
        <f>'1_Du_lieu'!N336</f>
        <v>27.6</v>
      </c>
      <c r="H1511" s="9">
        <f>'1_Du_lieu'!X336</f>
        <v>2.8926909988317222</v>
      </c>
      <c r="I1511" s="9">
        <f>'1_Du_lieu'!T336</f>
        <v>1.2527047033367498</v>
      </c>
      <c r="J1511" s="9">
        <f>'1_Du_lieu'!Y336</f>
        <v>8.7140913251622045</v>
      </c>
      <c r="K1511" s="9">
        <f>'1_Du_lieu'!O336</f>
        <v>18.5</v>
      </c>
      <c r="L1511" s="5">
        <f t="shared" si="198"/>
        <v>1</v>
      </c>
      <c r="M1511" s="5">
        <f t="shared" si="199"/>
        <v>0</v>
      </c>
      <c r="N1511" s="5">
        <f t="shared" si="200"/>
        <v>0</v>
      </c>
    </row>
    <row r="1512" spans="1:14" x14ac:dyDescent="0.25">
      <c r="A1512" t="s">
        <v>108</v>
      </c>
      <c r="B1512">
        <v>2022</v>
      </c>
      <c r="C1512" s="7">
        <f>'1_Du_lieu'!V337</f>
        <v>4.4531838289902099</v>
      </c>
      <c r="D1512" s="9">
        <f>'1_Du_lieu'!W337</f>
        <v>4.9494688588587685</v>
      </c>
      <c r="E1512" s="9">
        <f>'1_Du_lieu'!L337</f>
        <v>22.169</v>
      </c>
      <c r="F1512" s="9">
        <f>'1_Du_lieu'!M337</f>
        <v>49.06</v>
      </c>
      <c r="G1512" s="9">
        <f>'1_Du_lieu'!N337</f>
        <v>50.3</v>
      </c>
      <c r="H1512" s="9">
        <f>'1_Du_lieu'!X337</f>
        <v>3.0496484336472913</v>
      </c>
      <c r="I1512" s="9">
        <f>'1_Du_lieu'!T337</f>
        <v>1.9204096873999785</v>
      </c>
      <c r="J1512" s="9">
        <f>'1_Du_lieu'!Y337</f>
        <v>8.4351802106955578</v>
      </c>
      <c r="K1512" s="9">
        <f>'1_Du_lieu'!O337</f>
        <v>55</v>
      </c>
      <c r="L1512" s="5">
        <f t="shared" si="198"/>
        <v>1</v>
      </c>
      <c r="M1512" s="5">
        <f t="shared" si="199"/>
        <v>0</v>
      </c>
      <c r="N1512" s="5">
        <f t="shared" si="200"/>
        <v>0</v>
      </c>
    </row>
    <row r="1513" spans="1:14" x14ac:dyDescent="0.25">
      <c r="A1513" t="s">
        <v>109</v>
      </c>
      <c r="B1513">
        <v>2022</v>
      </c>
      <c r="C1513" s="7">
        <f>'1_Du_lieu'!V338</f>
        <v>2.6390573296152584</v>
      </c>
      <c r="D1513" s="9">
        <f>'1_Du_lieu'!W338</f>
        <v>4.2752762647270011</v>
      </c>
      <c r="E1513" s="9">
        <f>'1_Du_lieu'!L338</f>
        <v>4.218</v>
      </c>
      <c r="F1513" s="9">
        <f>'1_Du_lieu'!M338</f>
        <v>22.3</v>
      </c>
      <c r="G1513" s="9">
        <f>'1_Du_lieu'!N338</f>
        <v>30.8</v>
      </c>
      <c r="H1513" s="9">
        <f>'1_Du_lieu'!X338</f>
        <v>3.3859009454391313</v>
      </c>
      <c r="I1513" s="9">
        <f>'1_Du_lieu'!T338</f>
        <v>0.37956426022925682</v>
      </c>
      <c r="J1513" s="9">
        <f>'1_Du_lieu'!Y338</f>
        <v>9.1183676167696159</v>
      </c>
      <c r="K1513" s="9">
        <f>'1_Du_lieu'!O338</f>
        <v>19.8</v>
      </c>
      <c r="L1513" s="5">
        <f t="shared" si="198"/>
        <v>1</v>
      </c>
      <c r="M1513" s="5">
        <f t="shared" si="199"/>
        <v>0</v>
      </c>
      <c r="N1513" s="5">
        <f t="shared" si="200"/>
        <v>0</v>
      </c>
    </row>
    <row r="1514" spans="1:14" x14ac:dyDescent="0.25">
      <c r="A1514" t="s">
        <v>110</v>
      </c>
      <c r="B1514">
        <v>2022</v>
      </c>
      <c r="C1514" s="7">
        <f>'1_Du_lieu'!V339</f>
        <v>2.3702437414678603</v>
      </c>
      <c r="D1514" s="9">
        <f>'1_Du_lieu'!W339</f>
        <v>4.2076732475291037</v>
      </c>
      <c r="E1514" s="9">
        <f>'1_Du_lieu'!L339</f>
        <v>3.3039999999999998</v>
      </c>
      <c r="F1514" s="9">
        <f>'1_Du_lieu'!M339</f>
        <v>25.43</v>
      </c>
      <c r="G1514" s="9">
        <f>'1_Du_lieu'!N339</f>
        <v>23.8</v>
      </c>
      <c r="H1514" s="9">
        <f>'1_Du_lieu'!X339</f>
        <v>2.2653099386064244</v>
      </c>
      <c r="I1514" s="9">
        <f>'1_Du_lieu'!T339</f>
        <v>1.1423349326022392</v>
      </c>
      <c r="J1514" s="9">
        <f>'1_Du_lieu'!Y339</f>
        <v>6.713684975153634</v>
      </c>
      <c r="K1514" s="9">
        <f>'1_Du_lieu'!O339</f>
        <v>24.7</v>
      </c>
      <c r="L1514" s="5">
        <f t="shared" si="198"/>
        <v>1</v>
      </c>
      <c r="M1514" s="5">
        <f t="shared" si="199"/>
        <v>0</v>
      </c>
      <c r="N1514" s="5">
        <f t="shared" si="200"/>
        <v>0</v>
      </c>
    </row>
    <row r="1515" spans="1:14" x14ac:dyDescent="0.25">
      <c r="A1515" t="s">
        <v>111</v>
      </c>
      <c r="B1515">
        <v>2022</v>
      </c>
      <c r="C1515" s="7">
        <f>'1_Du_lieu'!V340</f>
        <v>3.1527360223636558</v>
      </c>
      <c r="D1515" s="9">
        <f>'1_Du_lieu'!W340</f>
        <v>4.6298627985784631</v>
      </c>
      <c r="E1515" s="9">
        <f>'1_Du_lieu'!L340</f>
        <v>6.9470000000000001</v>
      </c>
      <c r="F1515" s="9">
        <f>'1_Du_lieu'!M340</f>
        <v>16.84</v>
      </c>
      <c r="G1515" s="9">
        <f>'1_Du_lieu'!N340</f>
        <v>28.1</v>
      </c>
      <c r="H1515" s="9">
        <f>'1_Du_lieu'!X340</f>
        <v>3.282132441752116</v>
      </c>
      <c r="I1515" s="9">
        <f>'1_Du_lieu'!T340</f>
        <v>1.8591680223100162</v>
      </c>
      <c r="J1515" s="9">
        <f>'1_Du_lieu'!Y340</f>
        <v>8.5471402677841901</v>
      </c>
      <c r="K1515" s="9">
        <f>'1_Du_lieu'!O340</f>
        <v>31.8</v>
      </c>
      <c r="L1515" s="5">
        <f t="shared" si="198"/>
        <v>1</v>
      </c>
      <c r="M1515" s="5">
        <f t="shared" si="199"/>
        <v>0</v>
      </c>
      <c r="N1515" s="5">
        <f t="shared" si="200"/>
        <v>0</v>
      </c>
    </row>
    <row r="1516" spans="1:14" x14ac:dyDescent="0.25">
      <c r="A1516" t="s">
        <v>112</v>
      </c>
      <c r="B1516">
        <v>2022</v>
      </c>
      <c r="C1516" s="7">
        <f>'1_Du_lieu'!V341</f>
        <v>3.1090609588609941</v>
      </c>
      <c r="D1516" s="9">
        <f>'1_Du_lieu'!W341</f>
        <v>4.4739218993781371</v>
      </c>
      <c r="E1516" s="9">
        <f>'1_Du_lieu'!L341</f>
        <v>5.4470000000000001</v>
      </c>
      <c r="F1516" s="9">
        <f>'1_Du_lieu'!M341</f>
        <v>31.75</v>
      </c>
      <c r="G1516" s="9">
        <f>'1_Du_lieu'!N341</f>
        <v>29.7</v>
      </c>
      <c r="H1516" s="9">
        <f>'1_Du_lieu'!X341</f>
        <v>3.1732481091670777</v>
      </c>
      <c r="I1516" s="9">
        <f>'1_Du_lieu'!T341</f>
        <v>0.5650297924799671</v>
      </c>
      <c r="J1516" s="9">
        <f>'1_Du_lieu'!Y341</f>
        <v>8.4576554787000404</v>
      </c>
      <c r="K1516" s="9">
        <f>'1_Du_lieu'!O341</f>
        <v>36.1</v>
      </c>
      <c r="L1516" s="5">
        <f t="shared" si="198"/>
        <v>1</v>
      </c>
      <c r="M1516" s="5">
        <f t="shared" si="199"/>
        <v>0</v>
      </c>
      <c r="N1516" s="5">
        <f t="shared" si="200"/>
        <v>0</v>
      </c>
    </row>
    <row r="1517" spans="1:14" x14ac:dyDescent="0.25">
      <c r="A1517" t="s">
        <v>113</v>
      </c>
      <c r="B1517">
        <v>2022</v>
      </c>
      <c r="C1517" s="7">
        <f>'1_Du_lieu'!V342</f>
        <v>3.4688560301359703</v>
      </c>
      <c r="D1517" s="9">
        <f>'1_Du_lieu'!W342</f>
        <v>5.1451661870538619</v>
      </c>
      <c r="E1517" s="9">
        <f>'1_Du_lieu'!L342</f>
        <v>9.9280000000000008</v>
      </c>
      <c r="F1517" s="9">
        <f>'1_Du_lieu'!M342</f>
        <v>45.58</v>
      </c>
      <c r="G1517" s="9">
        <f>'1_Du_lieu'!N342</f>
        <v>36.5</v>
      </c>
      <c r="H1517" s="9">
        <f>'1_Du_lieu'!X342</f>
        <v>4.0692829679328932</v>
      </c>
      <c r="I1517" s="9">
        <f>'1_Du_lieu'!T342</f>
        <v>1.7241379310344827</v>
      </c>
      <c r="J1517" s="9">
        <f>'1_Du_lieu'!Y342</f>
        <v>9.4025297479684866</v>
      </c>
      <c r="K1517" s="9">
        <f>'1_Du_lieu'!O342</f>
        <v>32.9</v>
      </c>
      <c r="L1517" s="5">
        <f t="shared" si="198"/>
        <v>1</v>
      </c>
      <c r="M1517" s="5">
        <f t="shared" si="199"/>
        <v>0</v>
      </c>
      <c r="N1517" s="5">
        <f t="shared" si="200"/>
        <v>0</v>
      </c>
    </row>
    <row r="1518" spans="1:14" x14ac:dyDescent="0.25">
      <c r="A1518" t="s">
        <v>114</v>
      </c>
      <c r="B1518">
        <v>2022</v>
      </c>
      <c r="C1518" s="7">
        <f>'1_Du_lieu'!V343</f>
        <v>2.4248027257182949</v>
      </c>
      <c r="D1518" s="9">
        <f>'1_Du_lieu'!W343</f>
        <v>4.2150861799182291</v>
      </c>
      <c r="E1518" s="9">
        <f>'1_Du_lieu'!L343</f>
        <v>3.4710000000000001</v>
      </c>
      <c r="F1518" s="9">
        <f>'1_Du_lieu'!M343</f>
        <v>28.1</v>
      </c>
      <c r="G1518" s="9">
        <f>'1_Du_lieu'!N343</f>
        <v>12.5</v>
      </c>
      <c r="H1518" s="9">
        <f>'1_Du_lieu'!X343</f>
        <v>1.1417181707316584</v>
      </c>
      <c r="I1518" s="9">
        <f>'1_Du_lieu'!T343</f>
        <v>0.68540095956134339</v>
      </c>
      <c r="J1518" s="9">
        <f>'1_Du_lieu'!Y343</f>
        <v>6.8474743480972071</v>
      </c>
      <c r="K1518" s="9">
        <f>'1_Du_lieu'!O343</f>
        <v>18.100000000000001</v>
      </c>
      <c r="L1518" s="5">
        <f t="shared" si="198"/>
        <v>1</v>
      </c>
      <c r="M1518" s="5">
        <f t="shared" si="199"/>
        <v>0</v>
      </c>
      <c r="N1518" s="5">
        <f t="shared" si="200"/>
        <v>0</v>
      </c>
    </row>
    <row r="1519" spans="1:14" x14ac:dyDescent="0.25">
      <c r="A1519" t="s">
        <v>115</v>
      </c>
      <c r="B1519">
        <v>2022</v>
      </c>
      <c r="C1519" s="7">
        <f>'1_Du_lieu'!V344</f>
        <v>3.1354942159291497</v>
      </c>
      <c r="D1519" s="9">
        <f>'1_Du_lieu'!W344</f>
        <v>4.3463994570307305</v>
      </c>
      <c r="E1519" s="9">
        <f>'1_Du_lieu'!L344</f>
        <v>8.93</v>
      </c>
      <c r="F1519" s="9">
        <f>'1_Du_lieu'!M344</f>
        <v>42.36</v>
      </c>
      <c r="G1519" s="9">
        <f>'1_Du_lieu'!N344</f>
        <v>25.3</v>
      </c>
      <c r="H1519" s="9">
        <f>'1_Du_lieu'!X344</f>
        <v>2.9604727634774077</v>
      </c>
      <c r="I1519" s="9">
        <f>'1_Du_lieu'!T344</f>
        <v>1.9936204146730463</v>
      </c>
      <c r="J1519" s="9">
        <f>'1_Du_lieu'!Y344</f>
        <v>8.1622025425416034</v>
      </c>
      <c r="K1519" s="9">
        <f>'1_Du_lieu'!O344</f>
        <v>32.200000000000003</v>
      </c>
      <c r="L1519" s="5">
        <f t="shared" si="198"/>
        <v>1</v>
      </c>
      <c r="M1519" s="5">
        <f t="shared" si="199"/>
        <v>0</v>
      </c>
      <c r="N1519" s="5">
        <f t="shared" si="200"/>
        <v>0</v>
      </c>
    </row>
    <row r="1520" spans="1:14" x14ac:dyDescent="0.25">
      <c r="A1520" t="s">
        <v>116</v>
      </c>
      <c r="B1520">
        <v>2022</v>
      </c>
      <c r="C1520" s="7">
        <f>'1_Du_lieu'!V345</f>
        <v>2.6461747973841225</v>
      </c>
      <c r="D1520" s="9">
        <f>'1_Du_lieu'!W345</f>
        <v>4.1956970564823886</v>
      </c>
      <c r="E1520" s="9">
        <f>'1_Du_lieu'!L345</f>
        <v>4.93</v>
      </c>
      <c r="F1520" s="9">
        <f>'1_Du_lieu'!M345</f>
        <v>29.84</v>
      </c>
      <c r="G1520" s="9">
        <f>'1_Du_lieu'!N345</f>
        <v>16</v>
      </c>
      <c r="H1520" s="9">
        <f>'1_Du_lieu'!X345</f>
        <v>0.47072405696842362</v>
      </c>
      <c r="I1520" s="9">
        <f>'1_Du_lieu'!T345</f>
        <v>5.4800776344331545</v>
      </c>
      <c r="J1520" s="9">
        <f>'1_Du_lieu'!Y345</f>
        <v>7.9181918767465218</v>
      </c>
      <c r="K1520" s="9">
        <f>'1_Du_lieu'!O345</f>
        <v>16.2</v>
      </c>
      <c r="L1520" s="5">
        <f t="shared" si="198"/>
        <v>1</v>
      </c>
      <c r="M1520" s="5">
        <f t="shared" si="199"/>
        <v>0</v>
      </c>
      <c r="N1520" s="5">
        <f t="shared" si="200"/>
        <v>0</v>
      </c>
    </row>
    <row r="1521" spans="1:14" x14ac:dyDescent="0.25">
      <c r="A1521" t="s">
        <v>117</v>
      </c>
      <c r="B1521">
        <v>2022</v>
      </c>
      <c r="C1521" s="7">
        <f>'1_Du_lieu'!V346</f>
        <v>2.3702437414678603</v>
      </c>
      <c r="D1521" s="9">
        <f>'1_Du_lieu'!W346</f>
        <v>3.9740583963475986</v>
      </c>
      <c r="E1521" s="9">
        <f>'1_Du_lieu'!L346</f>
        <v>3.5369999999999999</v>
      </c>
      <c r="F1521" s="9">
        <f>'1_Du_lieu'!M346</f>
        <v>32.51</v>
      </c>
      <c r="G1521" s="9">
        <f>'1_Du_lieu'!N346</f>
        <v>17.600000000000001</v>
      </c>
      <c r="H1521" s="9">
        <f>'1_Du_lieu'!X346</f>
        <v>2.6196049476791372</v>
      </c>
      <c r="I1521" s="9">
        <f>'1_Du_lieu'!T346</f>
        <v>0.86221762372822897</v>
      </c>
      <c r="J1521" s="9">
        <f>'1_Du_lieu'!Y346</f>
        <v>6.0502050421305817</v>
      </c>
      <c r="K1521" s="9">
        <f>'1_Du_lieu'!O346</f>
        <v>27</v>
      </c>
      <c r="L1521" s="5">
        <f t="shared" si="198"/>
        <v>1</v>
      </c>
      <c r="M1521" s="5">
        <f t="shared" si="199"/>
        <v>0</v>
      </c>
      <c r="N1521" s="5">
        <f t="shared" si="200"/>
        <v>0</v>
      </c>
    </row>
    <row r="1522" spans="1:14" x14ac:dyDescent="0.25">
      <c r="A1522" t="s">
        <v>119</v>
      </c>
      <c r="B1522">
        <v>2022</v>
      </c>
      <c r="C1522" s="7">
        <f>'1_Du_lieu'!V348</f>
        <v>3.0007198150650303</v>
      </c>
      <c r="D1522" s="9">
        <f>'1_Du_lieu'!W348</f>
        <v>4.5031374604229395</v>
      </c>
      <c r="E1522" s="9">
        <f>'1_Du_lieu'!L348</f>
        <v>6.6269999999999998</v>
      </c>
      <c r="F1522" s="9">
        <f>'1_Du_lieu'!M348</f>
        <v>18.37</v>
      </c>
      <c r="G1522" s="9">
        <f>'1_Du_lieu'!N348</f>
        <v>15.1</v>
      </c>
      <c r="H1522" s="9">
        <f>'1_Du_lieu'!X348</f>
        <v>1.3168967570367087</v>
      </c>
      <c r="I1522" s="9">
        <f>'1_Du_lieu'!T348</f>
        <v>0.46128120855676641</v>
      </c>
      <c r="J1522" s="9">
        <f>'1_Du_lieu'!Y348</f>
        <v>8.9159558884647261</v>
      </c>
      <c r="K1522" s="9">
        <f>'1_Du_lieu'!O348</f>
        <v>23.4</v>
      </c>
      <c r="L1522" s="5">
        <f t="shared" si="198"/>
        <v>1</v>
      </c>
      <c r="M1522" s="5">
        <f t="shared" si="199"/>
        <v>0</v>
      </c>
      <c r="N1522" s="5">
        <f t="shared" si="200"/>
        <v>0</v>
      </c>
    </row>
    <row r="1523" spans="1:14" x14ac:dyDescent="0.25">
      <c r="A1523" t="s">
        <v>120</v>
      </c>
      <c r="B1523">
        <v>2022</v>
      </c>
      <c r="C1523" s="7">
        <f>'1_Du_lieu'!V349</f>
        <v>2.5649493574615367</v>
      </c>
      <c r="D1523" s="9">
        <f>'1_Du_lieu'!W349</f>
        <v>4.423648309364701</v>
      </c>
      <c r="E1523" s="9">
        <f>'1_Du_lieu'!L349</f>
        <v>4.1920000000000002</v>
      </c>
      <c r="F1523" s="9">
        <f>'1_Du_lieu'!M349</f>
        <v>26.8</v>
      </c>
      <c r="G1523" s="9">
        <f>'1_Du_lieu'!N349</f>
        <v>22.7</v>
      </c>
      <c r="H1523" s="9">
        <f>'1_Du_lieu'!X349</f>
        <v>2.2227910783318956</v>
      </c>
      <c r="I1523" s="9">
        <f>'1_Du_lieu'!T349</f>
        <v>1.5572281339216196</v>
      </c>
      <c r="J1523" s="9">
        <f>'1_Du_lieu'!Y349</f>
        <v>6.6293632534374485</v>
      </c>
      <c r="K1523" s="9">
        <f>'1_Du_lieu'!O349</f>
        <v>17.899999999999999</v>
      </c>
      <c r="L1523" s="5">
        <f t="shared" si="198"/>
        <v>1</v>
      </c>
      <c r="M1523" s="5">
        <f t="shared" si="199"/>
        <v>0</v>
      </c>
      <c r="N1523" s="5">
        <f t="shared" si="200"/>
        <v>0</v>
      </c>
    </row>
    <row r="1524" spans="1:14" x14ac:dyDescent="0.25">
      <c r="A1524" t="s">
        <v>121</v>
      </c>
      <c r="B1524">
        <v>2022</v>
      </c>
      <c r="C1524" s="7">
        <f>'1_Du_lieu'!V350</f>
        <v>2.9755295662364718</v>
      </c>
      <c r="D1524" s="9">
        <f>'1_Du_lieu'!W350</f>
        <v>4.3502779363593014</v>
      </c>
      <c r="E1524" s="9">
        <f>'1_Du_lieu'!L350</f>
        <v>5.7679999999999998</v>
      </c>
      <c r="F1524" s="9">
        <f>'1_Du_lieu'!M350</f>
        <v>39.29</v>
      </c>
      <c r="G1524" s="9">
        <f>'1_Du_lieu'!N350</f>
        <v>21.8</v>
      </c>
      <c r="H1524" s="9">
        <f>'1_Du_lieu'!X350</f>
        <v>2.8758452436893234</v>
      </c>
      <c r="I1524" s="9">
        <f>'1_Du_lieu'!T350</f>
        <v>0.60037523452157604</v>
      </c>
      <c r="J1524" s="9">
        <f>'1_Du_lieu'!Y350</f>
        <v>5.9584246930297819</v>
      </c>
      <c r="K1524" s="9">
        <f>'1_Du_lieu'!O350</f>
        <v>35.4</v>
      </c>
      <c r="L1524" s="5">
        <f t="shared" si="198"/>
        <v>1</v>
      </c>
      <c r="M1524" s="5">
        <f t="shared" si="199"/>
        <v>0</v>
      </c>
      <c r="N1524" s="5">
        <f t="shared" si="200"/>
        <v>0</v>
      </c>
    </row>
    <row r="1525" spans="1:14" x14ac:dyDescent="0.25">
      <c r="A1525" t="s">
        <v>122</v>
      </c>
      <c r="B1525">
        <v>2022</v>
      </c>
      <c r="C1525" s="7">
        <f>'1_Du_lieu'!V351</f>
        <v>2.4423470353692043</v>
      </c>
      <c r="D1525" s="9">
        <f>'1_Du_lieu'!W351</f>
        <v>3.9318256327243257</v>
      </c>
      <c r="E1525" s="9">
        <f>'1_Du_lieu'!L351</f>
        <v>2.9260000000000002</v>
      </c>
      <c r="F1525" s="9">
        <f>'1_Du_lieu'!M351</f>
        <v>23.18</v>
      </c>
      <c r="G1525" s="9">
        <f>'1_Du_lieu'!N351</f>
        <v>28.5</v>
      </c>
      <c r="H1525" s="9">
        <f>'1_Du_lieu'!X351</f>
        <v>2.0304323970467162</v>
      </c>
      <c r="I1525" s="9">
        <f>'1_Du_lieu'!T351</f>
        <v>0.99738187258446576</v>
      </c>
      <c r="J1525" s="9">
        <f>'1_Du_lieu'!Y351</f>
        <v>5.7061130899944832</v>
      </c>
      <c r="K1525" s="9">
        <f>'1_Du_lieu'!O351</f>
        <v>12.6</v>
      </c>
      <c r="L1525" s="5">
        <f t="shared" si="198"/>
        <v>1</v>
      </c>
      <c r="M1525" s="5">
        <f t="shared" si="199"/>
        <v>0</v>
      </c>
      <c r="N1525" s="5">
        <f t="shared" si="200"/>
        <v>0</v>
      </c>
    </row>
    <row r="1526" spans="1:14" x14ac:dyDescent="0.25">
      <c r="A1526" t="s">
        <v>123</v>
      </c>
      <c r="B1526">
        <v>2022</v>
      </c>
      <c r="C1526" s="7">
        <f>'1_Du_lieu'!V352</f>
        <v>3.1904763503465028</v>
      </c>
      <c r="D1526" s="9">
        <f>'1_Du_lieu'!W352</f>
        <v>3.8565102954978872</v>
      </c>
      <c r="E1526" s="9">
        <f>'1_Du_lieu'!L352</f>
        <v>3.649</v>
      </c>
      <c r="F1526" s="9">
        <f>'1_Du_lieu'!M352</f>
        <v>20.27</v>
      </c>
      <c r="G1526" s="9">
        <f>'1_Du_lieu'!N352</f>
        <v>21.5</v>
      </c>
      <c r="H1526" s="9">
        <f>'1_Du_lieu'!X352</f>
        <v>2.1293562822706686</v>
      </c>
      <c r="I1526" s="9">
        <f>'1_Du_lieu'!T352</f>
        <v>1.2787042463636848</v>
      </c>
      <c r="J1526" s="9">
        <f>'1_Du_lieu'!Y352</f>
        <v>7.59231569860476</v>
      </c>
      <c r="K1526" s="9">
        <f>'1_Du_lieu'!O352</f>
        <v>17.3</v>
      </c>
      <c r="L1526" s="5">
        <f t="shared" si="198"/>
        <v>1</v>
      </c>
      <c r="M1526" s="5">
        <f t="shared" si="199"/>
        <v>0</v>
      </c>
      <c r="N1526" s="5">
        <f t="shared" si="200"/>
        <v>0</v>
      </c>
    </row>
    <row r="1527" spans="1:14" x14ac:dyDescent="0.25">
      <c r="A1527" t="s">
        <v>124</v>
      </c>
      <c r="B1527">
        <v>2022</v>
      </c>
      <c r="C1527" s="7">
        <f>'1_Du_lieu'!V353</f>
        <v>3.0587070727153796</v>
      </c>
      <c r="D1527" s="9">
        <f>'1_Du_lieu'!W353</f>
        <v>3.9357395320454622</v>
      </c>
      <c r="E1527" s="9">
        <f>'1_Du_lieu'!L353</f>
        <v>3.8460000000000001</v>
      </c>
      <c r="F1527" s="9">
        <f>'1_Du_lieu'!M353</f>
        <v>15.51</v>
      </c>
      <c r="G1527" s="9">
        <f>'1_Du_lieu'!N353</f>
        <v>25.3</v>
      </c>
      <c r="H1527" s="9">
        <f>'1_Du_lieu'!X353</f>
        <v>3.77716274361469</v>
      </c>
      <c r="I1527" s="9">
        <f>'1_Du_lieu'!T353</f>
        <v>3.1578947368421053</v>
      </c>
      <c r="J1527" s="9">
        <f>'1_Du_lieu'!Y353</f>
        <v>6.6243307967829974</v>
      </c>
      <c r="K1527" s="9">
        <f>'1_Du_lieu'!O353</f>
        <v>16.899999999999999</v>
      </c>
      <c r="L1527" s="5">
        <f t="shared" si="198"/>
        <v>1</v>
      </c>
      <c r="M1527" s="5">
        <f t="shared" si="199"/>
        <v>0</v>
      </c>
      <c r="N1527" s="5">
        <f t="shared" si="200"/>
        <v>0</v>
      </c>
    </row>
    <row r="1528" spans="1:14" x14ac:dyDescent="0.25">
      <c r="A1528" t="s">
        <v>125</v>
      </c>
      <c r="B1528">
        <v>2022</v>
      </c>
      <c r="C1528" s="7">
        <f>'1_Du_lieu'!V354</f>
        <v>2.884800712846709</v>
      </c>
      <c r="D1528" s="9">
        <f>'1_Du_lieu'!W354</f>
        <v>4.3795235044557632</v>
      </c>
      <c r="E1528" s="9">
        <f>'1_Du_lieu'!L354</f>
        <v>5.1070000000000002</v>
      </c>
      <c r="F1528" s="9">
        <f>'1_Du_lieu'!M354</f>
        <v>21.61</v>
      </c>
      <c r="G1528" s="9">
        <f>'1_Du_lieu'!N354</f>
        <v>31.8</v>
      </c>
      <c r="H1528" s="9">
        <f>'1_Du_lieu'!X354</f>
        <v>3.6335609281497008</v>
      </c>
      <c r="I1528" s="9">
        <f>'1_Du_lieu'!T354</f>
        <v>3.4626038781163437</v>
      </c>
      <c r="J1528" s="9">
        <f>'1_Du_lieu'!Y354</f>
        <v>7.369411666740044</v>
      </c>
      <c r="K1528" s="9">
        <f>'1_Du_lieu'!O354</f>
        <v>26.9</v>
      </c>
      <c r="L1528" s="5">
        <f t="shared" si="198"/>
        <v>1</v>
      </c>
      <c r="M1528" s="5">
        <f t="shared" si="199"/>
        <v>0</v>
      </c>
      <c r="N1528" s="5">
        <f t="shared" si="200"/>
        <v>0</v>
      </c>
    </row>
    <row r="1529" spans="1:14" x14ac:dyDescent="0.25">
      <c r="A1529" t="s">
        <v>126</v>
      </c>
      <c r="B1529">
        <v>2022</v>
      </c>
      <c r="C1529" s="7">
        <f>'1_Du_lieu'!V355</f>
        <v>2.6100697927420065</v>
      </c>
      <c r="D1529" s="9">
        <f>'1_Du_lieu'!W355</f>
        <v>4.3528552573736015</v>
      </c>
      <c r="E1529" s="9">
        <f>'1_Du_lieu'!L355</f>
        <v>4.9790000000000001</v>
      </c>
      <c r="F1529" s="9">
        <f>'1_Du_lieu'!M355</f>
        <v>35.46</v>
      </c>
      <c r="G1529" s="9">
        <f>'1_Du_lieu'!N355</f>
        <v>17.7</v>
      </c>
      <c r="H1529" s="9">
        <f>'1_Du_lieu'!X355</f>
        <v>2.4245795033472342</v>
      </c>
      <c r="I1529" s="9">
        <f>'1_Du_lieu'!T355</f>
        <v>1.0021713713044931</v>
      </c>
      <c r="J1529" s="9">
        <f>'1_Du_lieu'!Y355</f>
        <v>7.9721556229800576</v>
      </c>
      <c r="K1529" s="9">
        <f>'1_Du_lieu'!O355</f>
        <v>21.3</v>
      </c>
      <c r="L1529" s="5">
        <f t="shared" si="198"/>
        <v>1</v>
      </c>
      <c r="M1529" s="5">
        <f t="shared" si="199"/>
        <v>0</v>
      </c>
      <c r="N1529" s="5">
        <f t="shared" si="200"/>
        <v>0</v>
      </c>
    </row>
    <row r="1530" spans="1:14" x14ac:dyDescent="0.25">
      <c r="A1530" t="s">
        <v>127</v>
      </c>
      <c r="B1530">
        <v>2022</v>
      </c>
      <c r="C1530" s="7">
        <f>'1_Du_lieu'!V356</f>
        <v>2.6461747973841225</v>
      </c>
      <c r="D1530" s="9">
        <f>'1_Du_lieu'!W356</f>
        <v>4.0876555740713041</v>
      </c>
      <c r="E1530" s="9">
        <f>'1_Du_lieu'!L356</f>
        <v>4.0229999999999997</v>
      </c>
      <c r="F1530" s="9">
        <f>'1_Du_lieu'!M356</f>
        <v>19.350000000000001</v>
      </c>
      <c r="G1530" s="9">
        <f>'1_Du_lieu'!N356</f>
        <v>33.200000000000003</v>
      </c>
      <c r="H1530" s="9">
        <f>'1_Du_lieu'!X356</f>
        <v>3.0242620052652658</v>
      </c>
      <c r="I1530" s="9">
        <f>'1_Du_lieu'!T356</f>
        <v>1.3184784758388819</v>
      </c>
      <c r="J1530" s="9">
        <f>'1_Du_lieu'!Y356</f>
        <v>7.6338051792177906</v>
      </c>
      <c r="K1530" s="9">
        <f>'1_Du_lieu'!O356</f>
        <v>23.8</v>
      </c>
      <c r="L1530" s="5">
        <f t="shared" si="198"/>
        <v>1</v>
      </c>
      <c r="M1530" s="5">
        <f t="shared" si="199"/>
        <v>0</v>
      </c>
      <c r="N1530" s="5">
        <f t="shared" si="200"/>
        <v>0</v>
      </c>
    </row>
    <row r="1531" spans="1:14" x14ac:dyDescent="0.25">
      <c r="A1531" t="s">
        <v>128</v>
      </c>
      <c r="B1531">
        <v>2022</v>
      </c>
      <c r="C1531" s="7">
        <f>'1_Du_lieu'!V357</f>
        <v>2.6390573296152584</v>
      </c>
      <c r="D1531" s="9">
        <f>'1_Du_lieu'!W357</f>
        <v>4.0500443033255209</v>
      </c>
      <c r="E1531" s="9">
        <f>'1_Du_lieu'!L357</f>
        <v>3.7690000000000001</v>
      </c>
      <c r="F1531" s="9">
        <f>'1_Du_lieu'!M357</f>
        <v>32.71</v>
      </c>
      <c r="G1531" s="9">
        <f>'1_Du_lieu'!N357</f>
        <v>21.7</v>
      </c>
      <c r="H1531" s="9">
        <f>'1_Du_lieu'!X357</f>
        <v>2.5091280035892085</v>
      </c>
      <c r="I1531" s="9">
        <f>'1_Du_lieu'!T357</f>
        <v>0.45630846452201684</v>
      </c>
      <c r="J1531" s="9">
        <f>'1_Du_lieu'!Y357</f>
        <v>7.7502702911929058</v>
      </c>
      <c r="K1531" s="9">
        <f>'1_Du_lieu'!O357</f>
        <v>20.7</v>
      </c>
      <c r="L1531" s="5">
        <f t="shared" si="198"/>
        <v>1</v>
      </c>
      <c r="M1531" s="5">
        <f t="shared" si="199"/>
        <v>0</v>
      </c>
      <c r="N1531" s="5">
        <f t="shared" si="200"/>
        <v>0</v>
      </c>
    </row>
    <row r="1532" spans="1:14" x14ac:dyDescent="0.25">
      <c r="A1532" t="s">
        <v>129</v>
      </c>
      <c r="B1532">
        <v>2022</v>
      </c>
      <c r="C1532" s="7">
        <f>'1_Du_lieu'!V358</f>
        <v>2.653241964607215</v>
      </c>
      <c r="D1532" s="9">
        <f>'1_Du_lieu'!W358</f>
        <v>3.9945242269398897</v>
      </c>
      <c r="E1532" s="9">
        <f>'1_Du_lieu'!L358</f>
        <v>5.5030000000000001</v>
      </c>
      <c r="F1532" s="9">
        <f>'1_Du_lieu'!M358</f>
        <v>23.16</v>
      </c>
      <c r="G1532" s="9">
        <f>'1_Du_lieu'!N358</f>
        <v>27</v>
      </c>
      <c r="H1532" s="9">
        <f>'1_Du_lieu'!X358</f>
        <v>3.3856450372572775</v>
      </c>
      <c r="I1532" s="9">
        <f>'1_Du_lieu'!T358</f>
        <v>0.87536929642192796</v>
      </c>
      <c r="J1532" s="9">
        <f>'1_Du_lieu'!Y358</f>
        <v>7.1086532213490274</v>
      </c>
      <c r="K1532" s="9">
        <f>'1_Du_lieu'!O358</f>
        <v>14.7</v>
      </c>
      <c r="L1532" s="5">
        <f t="shared" si="198"/>
        <v>1</v>
      </c>
      <c r="M1532" s="5">
        <f t="shared" si="199"/>
        <v>0</v>
      </c>
      <c r="N1532" s="5">
        <f t="shared" si="200"/>
        <v>0</v>
      </c>
    </row>
    <row r="1533" spans="1:14" x14ac:dyDescent="0.25">
      <c r="A1533" t="s">
        <v>130</v>
      </c>
      <c r="B1533">
        <v>2022</v>
      </c>
      <c r="C1533" s="7">
        <f>'1_Du_lieu'!V359</f>
        <v>2.7725887222397811</v>
      </c>
      <c r="D1533" s="9">
        <f>'1_Du_lieu'!W359</f>
        <v>4.3656431554233572</v>
      </c>
      <c r="E1533" s="9">
        <f>'1_Du_lieu'!L359</f>
        <v>5.4340000000000002</v>
      </c>
      <c r="F1533" s="9">
        <f>'1_Du_lieu'!M359</f>
        <v>26.81</v>
      </c>
      <c r="G1533" s="9">
        <f>'1_Du_lieu'!N359</f>
        <v>26.7</v>
      </c>
      <c r="H1533" s="9">
        <f>'1_Du_lieu'!X359</f>
        <v>2.3764015542257981</v>
      </c>
      <c r="I1533" s="9">
        <f>'1_Du_lieu'!T359</f>
        <v>0.13163090693694879</v>
      </c>
      <c r="J1533" s="9">
        <f>'1_Du_lieu'!Y359</f>
        <v>8.3366540451843729</v>
      </c>
      <c r="K1533" s="9">
        <f>'1_Du_lieu'!O359</f>
        <v>20.9</v>
      </c>
      <c r="L1533" s="5">
        <f t="shared" si="198"/>
        <v>1</v>
      </c>
      <c r="M1533" s="5">
        <f t="shared" si="199"/>
        <v>0</v>
      </c>
      <c r="N1533" s="5">
        <f t="shared" si="200"/>
        <v>0</v>
      </c>
    </row>
    <row r="1534" spans="1:14" x14ac:dyDescent="0.25">
      <c r="A1534" t="s">
        <v>131</v>
      </c>
      <c r="B1534">
        <v>2022</v>
      </c>
      <c r="C1534" s="7">
        <f>'1_Du_lieu'!V360</f>
        <v>2.6461747973841225</v>
      </c>
      <c r="D1534" s="9">
        <f>'1_Du_lieu'!W360</f>
        <v>4.604169685654508</v>
      </c>
      <c r="E1534" s="9">
        <f>'1_Du_lieu'!L360</f>
        <v>4.45</v>
      </c>
      <c r="F1534" s="9">
        <f>'1_Du_lieu'!M360</f>
        <v>21.85</v>
      </c>
      <c r="G1534" s="9">
        <f>'1_Du_lieu'!N360</f>
        <v>25.2</v>
      </c>
      <c r="H1534" s="9">
        <f>'1_Du_lieu'!X360</f>
        <v>2.3807288593498392</v>
      </c>
      <c r="I1534" s="9">
        <f>'1_Du_lieu'!T360</f>
        <v>0.80282594733461798</v>
      </c>
      <c r="J1534" s="9">
        <f>'1_Du_lieu'!Y360</f>
        <v>7.4471100488621014</v>
      </c>
      <c r="K1534" s="9">
        <f>'1_Du_lieu'!O360</f>
        <v>21.8</v>
      </c>
      <c r="L1534" s="5">
        <f t="shared" si="198"/>
        <v>1</v>
      </c>
      <c r="M1534" s="5">
        <f t="shared" si="199"/>
        <v>0</v>
      </c>
      <c r="N1534" s="5">
        <f t="shared" si="200"/>
        <v>0</v>
      </c>
    </row>
    <row r="1535" spans="1:14" x14ac:dyDescent="0.25">
      <c r="A1535" t="s">
        <v>132</v>
      </c>
      <c r="B1535">
        <v>2022</v>
      </c>
      <c r="C1535" s="7">
        <f>'1_Du_lieu'!V361</f>
        <v>3.0587070727153796</v>
      </c>
      <c r="D1535" s="9">
        <f>'1_Du_lieu'!W361</f>
        <v>5.2745368378826329</v>
      </c>
      <c r="E1535" s="9">
        <f>'1_Du_lieu'!L361</f>
        <v>7.27</v>
      </c>
      <c r="F1535" s="9">
        <f>'1_Du_lieu'!M361</f>
        <v>67.36</v>
      </c>
      <c r="G1535" s="9">
        <f>'1_Du_lieu'!N361</f>
        <v>41.8</v>
      </c>
      <c r="H1535" s="9">
        <f>'1_Du_lieu'!X361</f>
        <v>3.7925772410767871</v>
      </c>
      <c r="I1535" s="9">
        <f>'1_Du_lieu'!T361</f>
        <v>2.4213075060532687</v>
      </c>
      <c r="J1535" s="9">
        <f>'1_Du_lieu'!Y361</f>
        <v>8.9179807099732908</v>
      </c>
      <c r="K1535" s="9">
        <f>'1_Du_lieu'!O361</f>
        <v>21.6</v>
      </c>
      <c r="L1535" s="5">
        <f t="shared" si="198"/>
        <v>1</v>
      </c>
      <c r="M1535" s="5">
        <f t="shared" si="199"/>
        <v>0</v>
      </c>
      <c r="N1535" s="5">
        <f t="shared" si="200"/>
        <v>0</v>
      </c>
    </row>
    <row r="1536" spans="1:14" x14ac:dyDescent="0.25">
      <c r="A1536" t="s">
        <v>133</v>
      </c>
      <c r="B1536">
        <v>2022</v>
      </c>
      <c r="C1536" s="7">
        <f>'1_Du_lieu'!V362</f>
        <v>2.631888840136646</v>
      </c>
      <c r="D1536" s="9">
        <f>'1_Du_lieu'!W362</f>
        <v>4.2076732475291037</v>
      </c>
      <c r="E1536" s="9">
        <f>'1_Du_lieu'!L362</f>
        <v>5.0279999999999996</v>
      </c>
      <c r="F1536" s="9">
        <f>'1_Du_lieu'!M362</f>
        <v>32.659999999999997</v>
      </c>
      <c r="G1536" s="9">
        <f>'1_Du_lieu'!N362</f>
        <v>27.1</v>
      </c>
      <c r="H1536" s="9">
        <f>'1_Du_lieu'!X362</f>
        <v>2.9230508924444827</v>
      </c>
      <c r="I1536" s="9">
        <f>'1_Du_lieu'!T362</f>
        <v>6.145337225380243</v>
      </c>
      <c r="J1536" s="9">
        <f>'1_Du_lieu'!Y362</f>
        <v>8.2633326674399665</v>
      </c>
      <c r="K1536" s="9">
        <f>'1_Du_lieu'!O362</f>
        <v>28.4</v>
      </c>
      <c r="L1536" s="5">
        <f t="shared" si="198"/>
        <v>1</v>
      </c>
      <c r="M1536" s="5">
        <f t="shared" si="199"/>
        <v>0</v>
      </c>
      <c r="N1536" s="5">
        <f t="shared" si="200"/>
        <v>0</v>
      </c>
    </row>
    <row r="1537" spans="1:14" x14ac:dyDescent="0.25">
      <c r="A1537" t="s">
        <v>136</v>
      </c>
      <c r="B1537">
        <v>2022</v>
      </c>
      <c r="C1537" s="7">
        <f>'1_Du_lieu'!V365</f>
        <v>4.5064542130489338</v>
      </c>
      <c r="D1537" s="9">
        <f>'1_Du_lieu'!W365</f>
        <v>5.072043922224899</v>
      </c>
      <c r="E1537" s="9">
        <f>'1_Du_lieu'!L365</f>
        <v>29.187999999999999</v>
      </c>
      <c r="F1537" s="9">
        <f>'1_Du_lieu'!M365</f>
        <v>77.72</v>
      </c>
      <c r="G1537" s="9">
        <f>'1_Du_lieu'!N365</f>
        <v>35.6</v>
      </c>
      <c r="H1537" s="9">
        <f>'1_Du_lieu'!X365</f>
        <v>2.6717863427103232</v>
      </c>
      <c r="I1537" s="9">
        <f>'1_Du_lieu'!T365</f>
        <v>3.0565406775509332</v>
      </c>
      <c r="J1537" s="9">
        <f>'1_Du_lieu'!Y365</f>
        <v>8.6980803866720127</v>
      </c>
      <c r="K1537" s="9">
        <f>'1_Du_lieu'!O365</f>
        <v>54.4</v>
      </c>
      <c r="L1537" s="5">
        <f t="shared" si="198"/>
        <v>1</v>
      </c>
      <c r="M1537" s="5">
        <f t="shared" si="199"/>
        <v>0</v>
      </c>
      <c r="N1537" s="5">
        <f t="shared" si="200"/>
        <v>0</v>
      </c>
    </row>
    <row r="1538" spans="1:14" x14ac:dyDescent="0.25">
      <c r="A1538" t="s">
        <v>137</v>
      </c>
      <c r="B1538">
        <v>2022</v>
      </c>
      <c r="C1538" s="7">
        <f>'1_Du_lieu'!V366</f>
        <v>3.0587070727153796</v>
      </c>
      <c r="D1538" s="9">
        <f>'1_Du_lieu'!W366</f>
        <v>4.2355547307736243</v>
      </c>
      <c r="E1538" s="9">
        <f>'1_Du_lieu'!L366</f>
        <v>4.1630000000000003</v>
      </c>
      <c r="F1538" s="9">
        <f>'1_Du_lieu'!M366</f>
        <v>27.67</v>
      </c>
      <c r="G1538" s="9">
        <f>'1_Du_lieu'!N366</f>
        <v>26.4</v>
      </c>
      <c r="H1538" s="9">
        <f>'1_Du_lieu'!X366</f>
        <v>2.7374847486813603</v>
      </c>
      <c r="I1538" s="9">
        <f>'1_Du_lieu'!T366</f>
        <v>0.77913006098707716</v>
      </c>
      <c r="J1538" s="9">
        <f>'1_Du_lieu'!Y366</f>
        <v>8.2918221611116767</v>
      </c>
      <c r="K1538" s="9">
        <f>'1_Du_lieu'!O366</f>
        <v>18</v>
      </c>
      <c r="L1538" s="5">
        <f t="shared" si="198"/>
        <v>1</v>
      </c>
      <c r="M1538" s="5">
        <f t="shared" si="199"/>
        <v>0</v>
      </c>
      <c r="N1538" s="5">
        <f t="shared" si="200"/>
        <v>0</v>
      </c>
    </row>
    <row r="1539" spans="1:14" x14ac:dyDescent="0.25">
      <c r="A1539" t="s">
        <v>138</v>
      </c>
      <c r="B1539">
        <v>2022</v>
      </c>
      <c r="C1539" s="7">
        <f>'1_Du_lieu'!V367</f>
        <v>2.8094026953624978</v>
      </c>
      <c r="D1539" s="9">
        <f>'1_Du_lieu'!W367</f>
        <v>4.0552571735140539</v>
      </c>
      <c r="E1539" s="9">
        <f>'1_Du_lieu'!L367</f>
        <v>3.1579999999999999</v>
      </c>
      <c r="F1539" s="9">
        <f>'1_Du_lieu'!M367</f>
        <v>11.76</v>
      </c>
      <c r="G1539" s="9">
        <f>'1_Du_lieu'!N367</f>
        <v>19.600000000000001</v>
      </c>
      <c r="H1539" s="9">
        <f>'1_Du_lieu'!X367</f>
        <v>1.7666759542316288</v>
      </c>
      <c r="I1539" s="9">
        <f>'1_Du_lieu'!T367</f>
        <v>0.90497737556561098</v>
      </c>
      <c r="J1539" s="9">
        <f>'1_Du_lieu'!Y367</f>
        <v>6.9571167085198606</v>
      </c>
      <c r="K1539" s="9">
        <f>'1_Du_lieu'!O367</f>
        <v>14.8</v>
      </c>
      <c r="L1539" s="5">
        <f t="shared" si="198"/>
        <v>1</v>
      </c>
      <c r="M1539" s="5">
        <f t="shared" si="199"/>
        <v>0</v>
      </c>
      <c r="N1539" s="5">
        <f t="shared" si="200"/>
        <v>0</v>
      </c>
    </row>
    <row r="1540" spans="1:14" x14ac:dyDescent="0.25">
      <c r="A1540" t="s">
        <v>139</v>
      </c>
      <c r="B1540">
        <v>2022</v>
      </c>
      <c r="C1540" s="7">
        <f>'1_Du_lieu'!V368</f>
        <v>3.0155349008501706</v>
      </c>
      <c r="D1540" s="9">
        <f>'1_Du_lieu'!W368</f>
        <v>4.6830567246451622</v>
      </c>
      <c r="E1540" s="9">
        <f>'1_Du_lieu'!L368</f>
        <v>4.07</v>
      </c>
      <c r="F1540" s="9">
        <f>'1_Du_lieu'!M368</f>
        <v>39.340000000000003</v>
      </c>
      <c r="G1540" s="9">
        <f>'1_Du_lieu'!N368</f>
        <v>35.9</v>
      </c>
      <c r="H1540" s="9">
        <f>'1_Du_lieu'!X368</f>
        <v>3.6128782814979066</v>
      </c>
      <c r="I1540" s="9">
        <f>'1_Du_lieu'!T368</f>
        <v>1.721556886227545</v>
      </c>
      <c r="J1540" s="9">
        <f>'1_Du_lieu'!Y368</f>
        <v>8.9680394851202792</v>
      </c>
      <c r="K1540" s="9">
        <f>'1_Du_lieu'!O368</f>
        <v>27.6</v>
      </c>
      <c r="L1540" s="5">
        <f t="shared" si="198"/>
        <v>1</v>
      </c>
      <c r="M1540" s="5">
        <f t="shared" si="199"/>
        <v>0</v>
      </c>
      <c r="N1540" s="5">
        <f t="shared" si="200"/>
        <v>0</v>
      </c>
    </row>
    <row r="1541" spans="1:14" x14ac:dyDescent="0.25">
      <c r="A1541" t="s">
        <v>141</v>
      </c>
      <c r="B1541">
        <v>2022</v>
      </c>
      <c r="C1541" s="7">
        <f>'1_Du_lieu'!V370</f>
        <v>2.6173958328340792</v>
      </c>
      <c r="D1541" s="9">
        <f>'1_Du_lieu'!W370</f>
        <v>4.1415461637063951</v>
      </c>
      <c r="E1541" s="9">
        <f>'1_Du_lieu'!L370</f>
        <v>3.0979999999999999</v>
      </c>
      <c r="F1541" s="9">
        <f>'1_Du_lieu'!M370</f>
        <v>15.23</v>
      </c>
      <c r="G1541" s="9">
        <f>'1_Du_lieu'!N370</f>
        <v>13.3</v>
      </c>
      <c r="H1541" s="9">
        <f>'1_Du_lieu'!X370</f>
        <v>0.44651114206029646</v>
      </c>
      <c r="I1541" s="9">
        <f>'1_Du_lieu'!T370</f>
        <v>0.84024198969303154</v>
      </c>
      <c r="J1541" s="9">
        <f>'1_Du_lieu'!Y370</f>
        <v>7.3583849390446749</v>
      </c>
      <c r="K1541" s="9">
        <f>'1_Du_lieu'!O370</f>
        <v>18.100000000000001</v>
      </c>
      <c r="L1541" s="5">
        <f t="shared" si="198"/>
        <v>1</v>
      </c>
      <c r="M1541" s="5">
        <f t="shared" si="199"/>
        <v>0</v>
      </c>
      <c r="N1541" s="5">
        <f t="shared" si="200"/>
        <v>0</v>
      </c>
    </row>
    <row r="1542" spans="1:14" x14ac:dyDescent="0.25">
      <c r="A1542" t="s">
        <v>142</v>
      </c>
      <c r="B1542">
        <v>2022</v>
      </c>
      <c r="C1542" s="7">
        <f>'1_Du_lieu'!V371</f>
        <v>2.3702437414678603</v>
      </c>
      <c r="D1542" s="9">
        <f>'1_Du_lieu'!W371</f>
        <v>4.2835865618606288</v>
      </c>
      <c r="E1542" s="9">
        <f>'1_Du_lieu'!L371</f>
        <v>2.577</v>
      </c>
      <c r="F1542" s="9">
        <f>'1_Du_lieu'!M371</f>
        <v>18.14</v>
      </c>
      <c r="G1542" s="9">
        <f>'1_Du_lieu'!N371</f>
        <v>12.1</v>
      </c>
      <c r="H1542" s="9">
        <f>'1_Du_lieu'!X371</f>
        <v>1.5680966359832049</v>
      </c>
      <c r="I1542" s="9">
        <f>'1_Du_lieu'!T371</f>
        <v>0.88295889335818711</v>
      </c>
      <c r="J1542" s="9">
        <f>'1_Du_lieu'!Y371</f>
        <v>8.0483408991276697</v>
      </c>
      <c r="K1542" s="9">
        <f>'1_Du_lieu'!O371</f>
        <v>14.4</v>
      </c>
      <c r="L1542" s="5">
        <f t="shared" si="198"/>
        <v>1</v>
      </c>
      <c r="M1542" s="5">
        <f t="shared" si="199"/>
        <v>0</v>
      </c>
      <c r="N1542" s="5">
        <f t="shared" si="200"/>
        <v>0</v>
      </c>
    </row>
    <row r="1543" spans="1:14" x14ac:dyDescent="0.25">
      <c r="A1543" t="s">
        <v>143</v>
      </c>
      <c r="B1543">
        <v>2022</v>
      </c>
      <c r="C1543" s="7">
        <f>'1_Du_lieu'!V372</f>
        <v>2.2300144001592104</v>
      </c>
      <c r="D1543" s="9">
        <f>'1_Du_lieu'!W372</f>
        <v>3.9180050771056933</v>
      </c>
      <c r="E1543" s="9">
        <f>'1_Du_lieu'!L372</f>
        <v>2.1779999999999999</v>
      </c>
      <c r="F1543" s="9">
        <f>'1_Du_lieu'!M372</f>
        <v>14.95</v>
      </c>
      <c r="G1543" s="9">
        <f>'1_Du_lieu'!N372</f>
        <v>21.6</v>
      </c>
      <c r="H1543" s="9">
        <f>'1_Du_lieu'!X372</f>
        <v>2.9575594103206555</v>
      </c>
      <c r="I1543" s="9">
        <f>'1_Du_lieu'!T372</f>
        <v>0.74460163812360391</v>
      </c>
      <c r="J1543" s="9">
        <f>'1_Du_lieu'!Y372</f>
        <v>5.5610661724546055</v>
      </c>
      <c r="K1543" s="9">
        <f>'1_Du_lieu'!O372</f>
        <v>11.2</v>
      </c>
      <c r="L1543" s="5">
        <f t="shared" si="198"/>
        <v>1</v>
      </c>
      <c r="M1543" s="5">
        <f t="shared" si="199"/>
        <v>0</v>
      </c>
      <c r="N1543" s="5">
        <f t="shared" si="200"/>
        <v>0</v>
      </c>
    </row>
    <row r="1544" spans="1:14" x14ac:dyDescent="0.25">
      <c r="A1544" t="s">
        <v>144</v>
      </c>
      <c r="B1544">
        <v>2022</v>
      </c>
      <c r="C1544" s="7">
        <f>'1_Du_lieu'!V373</f>
        <v>2.6810215287142909</v>
      </c>
      <c r="D1544" s="9">
        <f>'1_Du_lieu'!W373</f>
        <v>4.4636066216663046</v>
      </c>
      <c r="E1544" s="9">
        <f>'1_Du_lieu'!L373</f>
        <v>4.1470000000000002</v>
      </c>
      <c r="F1544" s="9">
        <f>'1_Du_lieu'!M373</f>
        <v>32.53</v>
      </c>
      <c r="G1544" s="9">
        <f>'1_Du_lieu'!N373</f>
        <v>17.8</v>
      </c>
      <c r="H1544" s="9">
        <f>'1_Du_lieu'!X373</f>
        <v>2.6343838610623203</v>
      </c>
      <c r="I1544" s="9">
        <f>'1_Du_lieu'!T373</f>
        <v>1.177658142664872</v>
      </c>
      <c r="J1544" s="9">
        <f>'1_Du_lieu'!Y373</f>
        <v>8.9512716711684792</v>
      </c>
      <c r="K1544" s="9">
        <f>'1_Du_lieu'!O373</f>
        <v>20.399999999999999</v>
      </c>
      <c r="L1544" s="5">
        <f t="shared" si="198"/>
        <v>1</v>
      </c>
      <c r="M1544" s="5">
        <f t="shared" si="199"/>
        <v>0</v>
      </c>
      <c r="N1544" s="5">
        <f t="shared" si="200"/>
        <v>0</v>
      </c>
    </row>
    <row r="1545" spans="1:14" x14ac:dyDescent="0.25">
      <c r="A1545" t="s">
        <v>145</v>
      </c>
      <c r="B1545">
        <v>2022</v>
      </c>
      <c r="C1545" s="7">
        <f>'1_Du_lieu'!V374</f>
        <v>2.4680995314716192</v>
      </c>
      <c r="D1545" s="9">
        <f>'1_Du_lieu'!W374</f>
        <v>4.2282925347318399</v>
      </c>
      <c r="E1545" s="9">
        <f>'1_Du_lieu'!L374</f>
        <v>2.7959999999999998</v>
      </c>
      <c r="F1545" s="9">
        <f>'1_Du_lieu'!M374</f>
        <v>22.74</v>
      </c>
      <c r="G1545" s="9">
        <f>'1_Du_lieu'!N374</f>
        <v>14.5</v>
      </c>
      <c r="H1545" s="9">
        <f>'1_Du_lieu'!X374</f>
        <v>0.70397481921200866</v>
      </c>
      <c r="I1545" s="9">
        <f>'1_Du_lieu'!T374</f>
        <v>0.58320373250388802</v>
      </c>
      <c r="J1545" s="9">
        <f>'1_Du_lieu'!Y374</f>
        <v>6.890507385572584</v>
      </c>
      <c r="K1545" s="9">
        <f>'1_Du_lieu'!O374</f>
        <v>22.2</v>
      </c>
      <c r="L1545" s="5">
        <f t="shared" si="198"/>
        <v>1</v>
      </c>
      <c r="M1545" s="5">
        <f t="shared" si="199"/>
        <v>0</v>
      </c>
      <c r="N1545" s="5">
        <f t="shared" si="200"/>
        <v>0</v>
      </c>
    </row>
    <row r="1546" spans="1:14" x14ac:dyDescent="0.25">
      <c r="A1546" t="s">
        <v>146</v>
      </c>
      <c r="B1546">
        <v>2022</v>
      </c>
      <c r="C1546" s="7">
        <f>'1_Du_lieu'!V375</f>
        <v>3.1738784589374651</v>
      </c>
      <c r="D1546" s="9">
        <f>'1_Du_lieu'!W375</f>
        <v>4.8528112089026889</v>
      </c>
      <c r="E1546" s="9">
        <f>'1_Du_lieu'!L375</f>
        <v>7.5990000000000002</v>
      </c>
      <c r="F1546" s="9">
        <f>'1_Du_lieu'!M375</f>
        <v>30.58</v>
      </c>
      <c r="G1546" s="9">
        <f>'1_Du_lieu'!N375</f>
        <v>34.9</v>
      </c>
      <c r="H1546" s="9">
        <f>'1_Du_lieu'!X375</f>
        <v>2.8517494702672472</v>
      </c>
      <c r="I1546" s="9">
        <f>'1_Du_lieu'!T375</f>
        <v>0.75150300601202413</v>
      </c>
      <c r="J1546" s="9">
        <f>'1_Du_lieu'!Y375</f>
        <v>8.6360068069538105</v>
      </c>
      <c r="K1546" s="9">
        <f>'1_Du_lieu'!O375</f>
        <v>34.9</v>
      </c>
      <c r="L1546" s="5">
        <f t="shared" si="198"/>
        <v>1</v>
      </c>
      <c r="M1546" s="5">
        <f t="shared" si="199"/>
        <v>0</v>
      </c>
      <c r="N1546" s="5">
        <f t="shared" si="200"/>
        <v>0</v>
      </c>
    </row>
    <row r="1547" spans="1:14" x14ac:dyDescent="0.25">
      <c r="A1547" t="s">
        <v>147</v>
      </c>
      <c r="B1547">
        <v>2022</v>
      </c>
      <c r="C1547" s="7">
        <f>'1_Du_lieu'!V376</f>
        <v>2.6246685921631592</v>
      </c>
      <c r="D1547" s="9">
        <f>'1_Du_lieu'!W376</f>
        <v>3.8607297110405954</v>
      </c>
      <c r="E1547" s="9">
        <f>'1_Du_lieu'!L376</f>
        <v>2.3839999999999999</v>
      </c>
      <c r="F1547" s="9">
        <f>'1_Du_lieu'!M376</f>
        <v>20.85</v>
      </c>
      <c r="G1547" s="9">
        <f>'1_Du_lieu'!N376</f>
        <v>22.9</v>
      </c>
      <c r="H1547" s="9">
        <f>'1_Du_lieu'!X376</f>
        <v>2.4947338729350159</v>
      </c>
      <c r="I1547" s="9">
        <f>'1_Du_lieu'!T376</f>
        <v>0.35410764872521244</v>
      </c>
      <c r="J1547" s="9">
        <f>'1_Du_lieu'!Y376</f>
        <v>6.2921245408500202</v>
      </c>
      <c r="K1547" s="9">
        <f>'1_Du_lieu'!O376</f>
        <v>14.2</v>
      </c>
      <c r="L1547" s="5">
        <f t="shared" si="198"/>
        <v>1</v>
      </c>
      <c r="M1547" s="5">
        <f t="shared" si="199"/>
        <v>0</v>
      </c>
      <c r="N1547" s="5">
        <f t="shared" si="200"/>
        <v>0</v>
      </c>
    </row>
    <row r="1548" spans="1:14" x14ac:dyDescent="0.25">
      <c r="A1548" t="s">
        <v>149</v>
      </c>
      <c r="B1548">
        <v>2022</v>
      </c>
      <c r="C1548" s="7">
        <f>'1_Du_lieu'!V378</f>
        <v>3.6000482404073204</v>
      </c>
      <c r="D1548" s="9">
        <f>'1_Du_lieu'!W378</f>
        <v>4.6337576428400036</v>
      </c>
      <c r="E1548" s="9">
        <f>'1_Du_lieu'!L378</f>
        <v>20.832000000000001</v>
      </c>
      <c r="F1548" s="9">
        <f>'1_Du_lieu'!M378</f>
        <v>87.45</v>
      </c>
      <c r="G1548" s="9">
        <f>'1_Du_lieu'!N378</f>
        <v>48.5</v>
      </c>
      <c r="H1548" s="9">
        <f>'1_Du_lieu'!X378</f>
        <v>3.2637573604553918</v>
      </c>
      <c r="I1548" s="9">
        <f>'1_Du_lieu'!T378</f>
        <v>6.6382560236026871</v>
      </c>
      <c r="J1548" s="9">
        <f>'1_Du_lieu'!Y378</f>
        <v>8.5247843058620507</v>
      </c>
      <c r="K1548" s="9">
        <f>'1_Du_lieu'!O378</f>
        <v>53.1</v>
      </c>
      <c r="L1548" s="5">
        <f t="shared" si="198"/>
        <v>1</v>
      </c>
      <c r="M1548" s="5">
        <f t="shared" si="199"/>
        <v>0</v>
      </c>
      <c r="N1548" s="5">
        <f t="shared" si="200"/>
        <v>0</v>
      </c>
    </row>
    <row r="1549" spans="1:14" x14ac:dyDescent="0.25">
      <c r="A1549" t="s">
        <v>150</v>
      </c>
      <c r="B1549">
        <v>2022</v>
      </c>
      <c r="C1549" s="7">
        <f>'1_Du_lieu'!V379</f>
        <v>2.8959119382717802</v>
      </c>
      <c r="D1549" s="9">
        <f>'1_Du_lieu'!W379</f>
        <v>4.0377742107337067</v>
      </c>
      <c r="E1549" s="9">
        <f>'1_Du_lieu'!L379</f>
        <v>3.843</v>
      </c>
      <c r="F1549" s="9">
        <f>'1_Du_lieu'!M379</f>
        <v>24.93</v>
      </c>
      <c r="G1549" s="9">
        <f>'1_Du_lieu'!N379</f>
        <v>18</v>
      </c>
      <c r="H1549" s="9">
        <f>'1_Du_lieu'!X379</f>
        <v>2.5445823186536418</v>
      </c>
      <c r="I1549" s="9">
        <f>'1_Du_lieu'!T379</f>
        <v>0.57339449541284393</v>
      </c>
      <c r="J1549" s="9">
        <f>'1_Du_lieu'!Y379</f>
        <v>5.824819469699035</v>
      </c>
      <c r="K1549" s="9">
        <f>'1_Du_lieu'!O379</f>
        <v>30.1</v>
      </c>
      <c r="L1549" s="5">
        <f t="shared" si="198"/>
        <v>1</v>
      </c>
      <c r="M1549" s="5">
        <f t="shared" si="199"/>
        <v>0</v>
      </c>
      <c r="N1549" s="5">
        <f t="shared" si="200"/>
        <v>0</v>
      </c>
    </row>
    <row r="1550" spans="1:14" x14ac:dyDescent="0.25">
      <c r="A1550" t="s">
        <v>151</v>
      </c>
      <c r="B1550">
        <v>2022</v>
      </c>
      <c r="C1550" s="7">
        <f>'1_Du_lieu'!V380</f>
        <v>2.4680995314716192</v>
      </c>
      <c r="D1550" s="9">
        <f>'1_Du_lieu'!W380</f>
        <v>4.0993321037331398</v>
      </c>
      <c r="E1550" s="9">
        <f>'1_Du_lieu'!L380</f>
        <v>3.8260000000000001</v>
      </c>
      <c r="F1550" s="9">
        <f>'1_Du_lieu'!M380</f>
        <v>16.760000000000002</v>
      </c>
      <c r="G1550" s="9">
        <f>'1_Du_lieu'!N380</f>
        <v>14.7</v>
      </c>
      <c r="H1550" s="9">
        <f>'1_Du_lieu'!X380</f>
        <v>1.0702283601634406</v>
      </c>
      <c r="I1550" s="9">
        <f>'1_Du_lieu'!T380</f>
        <v>0.44736057262153295</v>
      </c>
      <c r="J1550" s="9">
        <f>'1_Du_lieu'!Y380</f>
        <v>6.1444002033786953</v>
      </c>
      <c r="K1550" s="9">
        <f>'1_Du_lieu'!O380</f>
        <v>21.2</v>
      </c>
      <c r="L1550" s="5">
        <f t="shared" si="198"/>
        <v>1</v>
      </c>
      <c r="M1550" s="5">
        <f t="shared" si="199"/>
        <v>0</v>
      </c>
      <c r="N1550" s="5">
        <f t="shared" si="200"/>
        <v>0</v>
      </c>
    </row>
    <row r="1551" spans="1:14" x14ac:dyDescent="0.25">
      <c r="A1551" t="s">
        <v>152</v>
      </c>
      <c r="B1551">
        <v>2022</v>
      </c>
      <c r="C1551" s="7">
        <f>'1_Du_lieu'!V381</f>
        <v>3.4965075614664802</v>
      </c>
      <c r="D1551" s="9">
        <f>'1_Du_lieu'!W381</f>
        <v>4.8613615913485013</v>
      </c>
      <c r="E1551" s="9">
        <f>'1_Du_lieu'!L381</f>
        <v>7.9390000000000001</v>
      </c>
      <c r="F1551" s="9">
        <f>'1_Du_lieu'!M381</f>
        <v>45.16</v>
      </c>
      <c r="G1551" s="9">
        <f>'1_Du_lieu'!N381</f>
        <v>22.3</v>
      </c>
      <c r="H1551" s="9">
        <f>'1_Du_lieu'!X381</f>
        <v>2.7502634504879695</v>
      </c>
      <c r="I1551" s="9">
        <f>'1_Du_lieu'!T381</f>
        <v>0.55285951225505248</v>
      </c>
      <c r="J1551" s="9">
        <f>'1_Du_lieu'!Y381</f>
        <v>9.2943046111532688</v>
      </c>
      <c r="K1551" s="9">
        <f>'1_Du_lieu'!O381</f>
        <v>26.5</v>
      </c>
      <c r="L1551" s="5">
        <f t="shared" si="198"/>
        <v>1</v>
      </c>
      <c r="M1551" s="5">
        <f t="shared" si="199"/>
        <v>0</v>
      </c>
      <c r="N1551" s="5">
        <f t="shared" si="200"/>
        <v>0</v>
      </c>
    </row>
    <row r="1552" spans="1:14" x14ac:dyDescent="0.25">
      <c r="A1552" t="s">
        <v>153</v>
      </c>
      <c r="B1552">
        <v>2022</v>
      </c>
      <c r="C1552" s="7">
        <f>'1_Du_lieu'!V382</f>
        <v>2.6878474937846906</v>
      </c>
      <c r="D1552" s="9">
        <f>'1_Du_lieu'!W382</f>
        <v>4.1303549997451334</v>
      </c>
      <c r="E1552" s="9">
        <f>'1_Du_lieu'!L382</f>
        <v>2.4900000000000002</v>
      </c>
      <c r="F1552" s="9">
        <f>'1_Du_lieu'!M382</f>
        <v>20.239999999999998</v>
      </c>
      <c r="G1552" s="9">
        <f>'1_Du_lieu'!N382</f>
        <v>14.4</v>
      </c>
      <c r="H1552" s="9">
        <f>'1_Du_lieu'!X382</f>
        <v>0.70929530997063683</v>
      </c>
      <c r="I1552" s="9">
        <f>'1_Du_lieu'!T382</f>
        <v>0.62492188476440447</v>
      </c>
      <c r="J1552" s="9">
        <f>'1_Du_lieu'!Y382</f>
        <v>4.9815497132011588</v>
      </c>
      <c r="K1552" s="9">
        <f>'1_Du_lieu'!O382</f>
        <v>14.7</v>
      </c>
      <c r="L1552" s="5">
        <f t="shared" si="198"/>
        <v>1</v>
      </c>
      <c r="M1552" s="5">
        <f t="shared" si="199"/>
        <v>0</v>
      </c>
      <c r="N1552" s="5">
        <f t="shared" si="200"/>
        <v>0</v>
      </c>
    </row>
    <row r="1553" spans="1:14" x14ac:dyDescent="0.25">
      <c r="A1553" t="s">
        <v>85</v>
      </c>
      <c r="B1553">
        <v>2023</v>
      </c>
      <c r="C1553" s="7">
        <f>'1_Du_lieu'!V383</f>
        <v>2.6390573296152584</v>
      </c>
      <c r="D1553" s="9">
        <f>'1_Du_lieu'!W383</f>
        <v>4.0724397268340509</v>
      </c>
      <c r="E1553" s="9">
        <f>'1_Du_lieu'!L383</f>
        <v>2.7010000000000001</v>
      </c>
      <c r="F1553" s="9">
        <f>'1_Du_lieu'!M383</f>
        <v>37</v>
      </c>
      <c r="G1553" s="9">
        <f>'1_Du_lieu'!N383</f>
        <v>15.5</v>
      </c>
      <c r="H1553" s="9">
        <f>'1_Du_lieu'!X383</f>
        <v>1.8285635406587724</v>
      </c>
      <c r="I1553" s="9">
        <f>'1_Du_lieu'!T383</f>
        <v>0.52457640455332322</v>
      </c>
      <c r="J1553" s="9">
        <f>'1_Du_lieu'!Y383</f>
        <v>4.9572345173691401</v>
      </c>
      <c r="K1553" s="9">
        <f>'1_Du_lieu'!O383</f>
        <v>18</v>
      </c>
      <c r="L1553" s="5">
        <f t="shared" si="198"/>
        <v>0</v>
      </c>
      <c r="M1553" s="5">
        <f t="shared" si="199"/>
        <v>1</v>
      </c>
      <c r="N1553" s="5">
        <f t="shared" si="200"/>
        <v>0</v>
      </c>
    </row>
    <row r="1554" spans="1:14" x14ac:dyDescent="0.25">
      <c r="A1554" t="s">
        <v>87</v>
      </c>
      <c r="B1554">
        <v>2023</v>
      </c>
      <c r="C1554" s="7">
        <f>'1_Du_lieu'!V384</f>
        <v>3.1612467120315646</v>
      </c>
      <c r="D1554" s="9">
        <f>'1_Du_lieu'!W384</f>
        <v>5.8260001073804499</v>
      </c>
      <c r="E1554" s="9">
        <f>'1_Du_lieu'!L384</f>
        <v>10.393000000000001</v>
      </c>
      <c r="F1554" s="9">
        <f>'1_Du_lieu'!M384</f>
        <v>60.92</v>
      </c>
      <c r="G1554" s="9">
        <f>'1_Du_lieu'!N384</f>
        <v>28.8</v>
      </c>
      <c r="H1554" s="9">
        <f>'1_Du_lieu'!X384</f>
        <v>2.1258931339212706</v>
      </c>
      <c r="I1554" s="9">
        <f>'1_Du_lieu'!T384</f>
        <v>1.6</v>
      </c>
      <c r="J1554" s="9">
        <f>'1_Du_lieu'!Y384</f>
        <v>10.286049030204001</v>
      </c>
      <c r="K1554" s="9">
        <f>'1_Du_lieu'!O384</f>
        <v>29.2</v>
      </c>
      <c r="L1554" s="5">
        <f t="shared" si="198"/>
        <v>0</v>
      </c>
      <c r="M1554" s="5">
        <f t="shared" si="199"/>
        <v>1</v>
      </c>
      <c r="N1554" s="5">
        <f t="shared" si="200"/>
        <v>0</v>
      </c>
    </row>
    <row r="1555" spans="1:14" x14ac:dyDescent="0.25">
      <c r="A1555" t="s">
        <v>89</v>
      </c>
      <c r="B1555">
        <v>2023</v>
      </c>
      <c r="C1555" s="7">
        <f>'1_Du_lieu'!V385</f>
        <v>3.5751506887855933</v>
      </c>
      <c r="D1555" s="9">
        <f>'1_Du_lieu'!W385</f>
        <v>5.1143945283871082</v>
      </c>
      <c r="E1555" s="9">
        <f>'1_Du_lieu'!L385</f>
        <v>15.327</v>
      </c>
      <c r="F1555" s="9">
        <f>'1_Du_lieu'!M385</f>
        <v>84.22</v>
      </c>
      <c r="G1555" s="9">
        <f>'1_Du_lieu'!N385</f>
        <v>23.3</v>
      </c>
      <c r="H1555" s="9">
        <f>'1_Du_lieu'!X385</f>
        <v>3.3145658741693884</v>
      </c>
      <c r="I1555" s="9">
        <f>'1_Du_lieu'!T385</f>
        <v>0.77920238010908838</v>
      </c>
      <c r="J1555" s="9">
        <f>'1_Du_lieu'!Y385</f>
        <v>9.5690771887933312</v>
      </c>
      <c r="K1555" s="9">
        <f>'1_Du_lieu'!O385</f>
        <v>25.5</v>
      </c>
      <c r="L1555" s="5">
        <f t="shared" si="198"/>
        <v>0</v>
      </c>
      <c r="M1555" s="5">
        <f t="shared" si="199"/>
        <v>1</v>
      </c>
      <c r="N1555" s="5">
        <f t="shared" si="200"/>
        <v>0</v>
      </c>
    </row>
    <row r="1556" spans="1:14" x14ac:dyDescent="0.25">
      <c r="A1556" t="s">
        <v>90</v>
      </c>
      <c r="B1556">
        <v>2023</v>
      </c>
      <c r="C1556" s="7">
        <f>'1_Du_lieu'!V386</f>
        <v>2.5572273113676265</v>
      </c>
      <c r="D1556" s="9">
        <f>'1_Du_lieu'!W386</f>
        <v>4.5496574760578321</v>
      </c>
      <c r="E1556" s="9">
        <f>'1_Du_lieu'!L386</f>
        <v>6.6909999999999998</v>
      </c>
      <c r="F1556" s="9">
        <f>'1_Du_lieu'!M386</f>
        <v>29.4</v>
      </c>
      <c r="G1556" s="9">
        <f>'1_Du_lieu'!N386</f>
        <v>20</v>
      </c>
      <c r="H1556" s="9">
        <f>'1_Du_lieu'!X386</f>
        <v>1.234631418039809</v>
      </c>
      <c r="I1556" s="9">
        <f>'1_Du_lieu'!T386</f>
        <v>0.95648015303682454</v>
      </c>
      <c r="J1556" s="9">
        <f>'1_Du_lieu'!Y386</f>
        <v>8.4073560037313317</v>
      </c>
      <c r="K1556" s="9">
        <f>'1_Du_lieu'!O386</f>
        <v>22.6</v>
      </c>
      <c r="L1556" s="5">
        <f t="shared" si="198"/>
        <v>0</v>
      </c>
      <c r="M1556" s="5">
        <f t="shared" si="199"/>
        <v>1</v>
      </c>
      <c r="N1556" s="5">
        <f t="shared" si="200"/>
        <v>0</v>
      </c>
    </row>
    <row r="1557" spans="1:14" x14ac:dyDescent="0.25">
      <c r="A1557" t="s">
        <v>91</v>
      </c>
      <c r="B1557">
        <v>2023</v>
      </c>
      <c r="C1557" s="7">
        <f>'1_Du_lieu'!V387</f>
        <v>2.7212954278522306</v>
      </c>
      <c r="D1557" s="9">
        <f>'1_Du_lieu'!W387</f>
        <v>4.4091553020621346</v>
      </c>
      <c r="E1557" s="9">
        <f>'1_Du_lieu'!L387</f>
        <v>4.7080000000000002</v>
      </c>
      <c r="F1557" s="9">
        <f>'1_Du_lieu'!M387</f>
        <v>38.6</v>
      </c>
      <c r="G1557" s="9">
        <f>'1_Du_lieu'!N387</f>
        <v>19.5</v>
      </c>
      <c r="H1557" s="9">
        <f>'1_Du_lieu'!X387</f>
        <v>1.6732463053197808</v>
      </c>
      <c r="I1557" s="9">
        <f>'1_Du_lieu'!T387</f>
        <v>0.39720368605020656</v>
      </c>
      <c r="J1557" s="9">
        <f>'1_Du_lieu'!Y387</f>
        <v>8.0261701949464257</v>
      </c>
      <c r="K1557" s="9">
        <f>'1_Du_lieu'!O387</f>
        <v>19.899999999999999</v>
      </c>
      <c r="L1557" s="5">
        <f t="shared" si="198"/>
        <v>0</v>
      </c>
      <c r="M1557" s="5">
        <f t="shared" si="199"/>
        <v>1</v>
      </c>
      <c r="N1557" s="5">
        <f t="shared" si="200"/>
        <v>0</v>
      </c>
    </row>
    <row r="1558" spans="1:14" x14ac:dyDescent="0.25">
      <c r="A1558" t="s">
        <v>93</v>
      </c>
      <c r="B1558">
        <v>2023</v>
      </c>
      <c r="C1558" s="7">
        <f>'1_Du_lieu'!V388</f>
        <v>2.8094026953624978</v>
      </c>
      <c r="D1558" s="9">
        <f>'1_Du_lieu'!W388</f>
        <v>4.3579900568456402</v>
      </c>
      <c r="E1558" s="9">
        <f>'1_Du_lieu'!L388</f>
        <v>5.3680000000000003</v>
      </c>
      <c r="F1558" s="9">
        <f>'1_Du_lieu'!M388</f>
        <v>41.22</v>
      </c>
      <c r="G1558" s="9">
        <f>'1_Du_lieu'!N388</f>
        <v>25.6</v>
      </c>
      <c r="H1558" s="9">
        <f>'1_Du_lieu'!X388</f>
        <v>3.0736524047525142</v>
      </c>
      <c r="I1558" s="9">
        <f>'1_Du_lieu'!T388</f>
        <v>0.79665405297749459</v>
      </c>
      <c r="J1558" s="9">
        <f>'1_Du_lieu'!Y388</f>
        <v>6.7289874003874797</v>
      </c>
      <c r="K1558" s="9">
        <f>'1_Du_lieu'!O388</f>
        <v>20.7</v>
      </c>
      <c r="L1558" s="5">
        <f t="shared" si="198"/>
        <v>0</v>
      </c>
      <c r="M1558" s="5">
        <f t="shared" si="199"/>
        <v>1</v>
      </c>
      <c r="N1558" s="5">
        <f t="shared" si="200"/>
        <v>0</v>
      </c>
    </row>
    <row r="1559" spans="1:14" x14ac:dyDescent="0.25">
      <c r="A1559" t="s">
        <v>94</v>
      </c>
      <c r="B1559">
        <v>2023</v>
      </c>
      <c r="C1559" s="7">
        <f>'1_Du_lieu'!V389</f>
        <v>2.3702437414678603</v>
      </c>
      <c r="D1559" s="9">
        <f>'1_Du_lieu'!W389</f>
        <v>4.1666652238017265</v>
      </c>
      <c r="E1559" s="9">
        <f>'1_Du_lieu'!L389</f>
        <v>2.5099999999999998</v>
      </c>
      <c r="F1559" s="9">
        <f>'1_Du_lieu'!M389</f>
        <v>27.76</v>
      </c>
      <c r="G1559" s="9">
        <f>'1_Du_lieu'!N389</f>
        <v>13.1</v>
      </c>
      <c r="H1559" s="9">
        <f>'1_Du_lieu'!X389</f>
        <v>1.3538899662437562</v>
      </c>
      <c r="I1559" s="9">
        <f>'1_Du_lieu'!T389</f>
        <v>1.4051015996541287</v>
      </c>
      <c r="J1559" s="9">
        <f>'1_Du_lieu'!Y389</f>
        <v>8.5282715986232382</v>
      </c>
      <c r="K1559" s="9">
        <f>'1_Du_lieu'!O389</f>
        <v>14.1</v>
      </c>
      <c r="L1559" s="5">
        <f t="shared" si="198"/>
        <v>0</v>
      </c>
      <c r="M1559" s="5">
        <f t="shared" si="199"/>
        <v>1</v>
      </c>
      <c r="N1559" s="5">
        <f t="shared" si="200"/>
        <v>0</v>
      </c>
    </row>
    <row r="1560" spans="1:14" x14ac:dyDescent="0.25">
      <c r="A1560" t="s">
        <v>95</v>
      </c>
      <c r="B1560">
        <v>2023</v>
      </c>
      <c r="C1560" s="7">
        <f>'1_Du_lieu'!V390</f>
        <v>2.9444389791664403</v>
      </c>
      <c r="D1560" s="9">
        <f>'1_Du_lieu'!W390</f>
        <v>4.5664293576716606</v>
      </c>
      <c r="E1560" s="9">
        <f>'1_Du_lieu'!L390</f>
        <v>4.53</v>
      </c>
      <c r="F1560" s="9">
        <f>'1_Du_lieu'!M390</f>
        <v>19.73</v>
      </c>
      <c r="G1560" s="9">
        <f>'1_Du_lieu'!N390</f>
        <v>32.6</v>
      </c>
      <c r="H1560" s="9">
        <f>'1_Du_lieu'!X390</f>
        <v>2.9524628072988284</v>
      </c>
      <c r="I1560" s="9">
        <f>'1_Du_lieu'!T390</f>
        <v>0.52010193998023613</v>
      </c>
      <c r="J1560" s="9">
        <f>'1_Du_lieu'!Y390</f>
        <v>8.7743902828552987</v>
      </c>
      <c r="K1560" s="9">
        <f>'1_Du_lieu'!O390</f>
        <v>23.5</v>
      </c>
      <c r="L1560" s="5">
        <f t="shared" si="198"/>
        <v>0</v>
      </c>
      <c r="M1560" s="5">
        <f t="shared" si="199"/>
        <v>1</v>
      </c>
      <c r="N1560" s="5">
        <f t="shared" si="200"/>
        <v>0</v>
      </c>
    </row>
    <row r="1561" spans="1:14" x14ac:dyDescent="0.25">
      <c r="A1561" t="s">
        <v>97</v>
      </c>
      <c r="B1561">
        <v>2023</v>
      </c>
      <c r="C1561" s="7">
        <f>'1_Du_lieu'!V391</f>
        <v>2.379546134130174</v>
      </c>
      <c r="D1561" s="9">
        <f>'1_Du_lieu'!W391</f>
        <v>3.949318790171843</v>
      </c>
      <c r="E1561" s="9">
        <f>'1_Du_lieu'!L391</f>
        <v>2.282</v>
      </c>
      <c r="F1561" s="9">
        <f>'1_Du_lieu'!M391</f>
        <v>24.07</v>
      </c>
      <c r="G1561" s="9">
        <f>'1_Du_lieu'!N391</f>
        <v>28</v>
      </c>
      <c r="H1561" s="9">
        <f>'1_Du_lieu'!X391</f>
        <v>2.698716321347455</v>
      </c>
      <c r="I1561" s="9">
        <f>'1_Du_lieu'!T391</f>
        <v>0.91883614088820831</v>
      </c>
      <c r="J1561" s="9">
        <f>'1_Du_lieu'!Y391</f>
        <v>4.6434288981051814</v>
      </c>
      <c r="K1561" s="9">
        <f>'1_Du_lieu'!O391</f>
        <v>16.8</v>
      </c>
      <c r="L1561" s="5">
        <f t="shared" si="198"/>
        <v>0</v>
      </c>
      <c r="M1561" s="5">
        <f t="shared" si="199"/>
        <v>1</v>
      </c>
      <c r="N1561" s="5">
        <f t="shared" si="200"/>
        <v>0</v>
      </c>
    </row>
    <row r="1562" spans="1:14" x14ac:dyDescent="0.25">
      <c r="A1562" t="s">
        <v>98</v>
      </c>
      <c r="B1562">
        <v>2023</v>
      </c>
      <c r="C1562" s="7">
        <f>'1_Du_lieu'!V392</f>
        <v>3.068052935133617</v>
      </c>
      <c r="D1562" s="9">
        <f>'1_Du_lieu'!W392</f>
        <v>5.054333149361975</v>
      </c>
      <c r="E1562" s="9">
        <f>'1_Du_lieu'!L392</f>
        <v>10.885999999999999</v>
      </c>
      <c r="F1562" s="9">
        <f>'1_Du_lieu'!M392</f>
        <v>50.79</v>
      </c>
      <c r="G1562" s="9">
        <f>'1_Du_lieu'!N392</f>
        <v>34.4</v>
      </c>
      <c r="H1562" s="9">
        <f>'1_Du_lieu'!X392</f>
        <v>2.8655055877825726</v>
      </c>
      <c r="I1562" s="9">
        <f>'1_Du_lieu'!T392</f>
        <v>1.8452616317384998</v>
      </c>
      <c r="J1562" s="9">
        <f>'1_Du_lieu'!Y392</f>
        <v>9.7029062975185063</v>
      </c>
      <c r="K1562" s="9">
        <f>'1_Du_lieu'!O392</f>
        <v>31.3</v>
      </c>
      <c r="L1562" s="5">
        <f t="shared" si="198"/>
        <v>0</v>
      </c>
      <c r="M1562" s="5">
        <f t="shared" si="199"/>
        <v>1</v>
      </c>
      <c r="N1562" s="5">
        <f t="shared" si="200"/>
        <v>0</v>
      </c>
    </row>
    <row r="1563" spans="1:14" x14ac:dyDescent="0.25">
      <c r="A1563" t="s">
        <v>100</v>
      </c>
      <c r="B1563">
        <v>2023</v>
      </c>
      <c r="C1563" s="7">
        <f>'1_Du_lieu'!V393</f>
        <v>2.6741486494265287</v>
      </c>
      <c r="D1563" s="9">
        <f>'1_Du_lieu'!W393</f>
        <v>3.9473901492654373</v>
      </c>
      <c r="E1563" s="9">
        <f>'1_Du_lieu'!L393</f>
        <v>2.9569999999999999</v>
      </c>
      <c r="F1563" s="9">
        <f>'1_Du_lieu'!M393</f>
        <v>13.11</v>
      </c>
      <c r="G1563" s="9">
        <f>'1_Du_lieu'!N393</f>
        <v>12.7</v>
      </c>
      <c r="H1563" s="9">
        <f>'1_Du_lieu'!X393</f>
        <v>1.3894065761845245</v>
      </c>
      <c r="I1563" s="9">
        <f>'1_Du_lieu'!T393</f>
        <v>0.46178711613945972</v>
      </c>
      <c r="J1563" s="9">
        <f>'1_Du_lieu'!Y393</f>
        <v>7.1163941440934648</v>
      </c>
      <c r="K1563" s="9">
        <f>'1_Du_lieu'!O393</f>
        <v>13.9</v>
      </c>
      <c r="L1563" s="5">
        <f t="shared" si="198"/>
        <v>0</v>
      </c>
      <c r="M1563" s="5">
        <f t="shared" si="199"/>
        <v>1</v>
      </c>
      <c r="N1563" s="5">
        <f t="shared" si="200"/>
        <v>0</v>
      </c>
    </row>
    <row r="1564" spans="1:14" x14ac:dyDescent="0.25">
      <c r="A1564" t="s">
        <v>102</v>
      </c>
      <c r="B1564">
        <v>2023</v>
      </c>
      <c r="C1564" s="7">
        <f>'1_Du_lieu'!V395</f>
        <v>2.5952547069568657</v>
      </c>
      <c r="D1564" s="9">
        <f>'1_Du_lieu'!W395</f>
        <v>4.165113633110308</v>
      </c>
      <c r="E1564" s="9">
        <f>'1_Du_lieu'!L395</f>
        <v>3.2210000000000001</v>
      </c>
      <c r="F1564" s="9">
        <f>'1_Du_lieu'!M395</f>
        <v>23.06</v>
      </c>
      <c r="G1564" s="9">
        <f>'1_Du_lieu'!N395</f>
        <v>15.1</v>
      </c>
      <c r="H1564" s="9">
        <f>'1_Du_lieu'!X395</f>
        <v>4.0815368690784087E-2</v>
      </c>
      <c r="I1564" s="9">
        <f>'1_Du_lieu'!T395</f>
        <v>0.57975815802550934</v>
      </c>
      <c r="J1564" s="9">
        <f>'1_Du_lieu'!Y395</f>
        <v>4.8605872978525966</v>
      </c>
      <c r="K1564" s="9">
        <f>'1_Du_lieu'!O395</f>
        <v>16.3</v>
      </c>
      <c r="L1564" s="5">
        <f t="shared" si="198"/>
        <v>0</v>
      </c>
      <c r="M1564" s="5">
        <f t="shared" si="199"/>
        <v>1</v>
      </c>
      <c r="N1564" s="5">
        <f t="shared" si="200"/>
        <v>0</v>
      </c>
    </row>
    <row r="1565" spans="1:14" x14ac:dyDescent="0.25">
      <c r="A1565" t="s">
        <v>103</v>
      </c>
      <c r="B1565">
        <v>2023</v>
      </c>
      <c r="C1565" s="7">
        <f>'1_Du_lieu'!V396</f>
        <v>3.0773122605464138</v>
      </c>
      <c r="D1565" s="9">
        <f>'1_Du_lieu'!W396</f>
        <v>4.5464811896394117</v>
      </c>
      <c r="E1565" s="9">
        <f>'1_Du_lieu'!L396</f>
        <v>8.3379999999999992</v>
      </c>
      <c r="F1565" s="9">
        <f>'1_Du_lieu'!M396</f>
        <v>70.52</v>
      </c>
      <c r="G1565" s="9">
        <f>'1_Du_lieu'!N396</f>
        <v>23.3</v>
      </c>
      <c r="H1565" s="9">
        <f>'1_Du_lieu'!X396</f>
        <v>1.0432512147827513</v>
      </c>
      <c r="I1565" s="9">
        <f>'1_Du_lieu'!T396</f>
        <v>1.4298196838509809</v>
      </c>
      <c r="J1565" s="9">
        <f>'1_Du_lieu'!Y396</f>
        <v>7.5003636341634694</v>
      </c>
      <c r="K1565" s="9">
        <f>'1_Du_lieu'!O396</f>
        <v>31</v>
      </c>
      <c r="L1565" s="5">
        <f t="shared" si="198"/>
        <v>0</v>
      </c>
      <c r="M1565" s="5">
        <f t="shared" si="199"/>
        <v>1</v>
      </c>
      <c r="N1565" s="5">
        <f t="shared" si="200"/>
        <v>0</v>
      </c>
    </row>
    <row r="1566" spans="1:14" x14ac:dyDescent="0.25">
      <c r="A1566" t="s">
        <v>104</v>
      </c>
      <c r="B1566">
        <v>2023</v>
      </c>
      <c r="C1566" s="7">
        <f>'1_Du_lieu'!V397</f>
        <v>2.6100697927420065</v>
      </c>
      <c r="D1566" s="9">
        <f>'1_Du_lieu'!W397</f>
        <v>4.0569887756783318</v>
      </c>
      <c r="E1566" s="9">
        <f>'1_Du_lieu'!L397</f>
        <v>3.3820000000000001</v>
      </c>
      <c r="F1566" s="9">
        <f>'1_Du_lieu'!M397</f>
        <v>29.44</v>
      </c>
      <c r="G1566" s="9">
        <f>'1_Du_lieu'!N397</f>
        <v>15.3</v>
      </c>
      <c r="H1566" s="9">
        <f>'1_Du_lieu'!X397</f>
        <v>2.4558519854784486</v>
      </c>
      <c r="I1566" s="9">
        <f>'1_Du_lieu'!T397</f>
        <v>1.1772724456286014</v>
      </c>
      <c r="J1566" s="9">
        <f>'1_Du_lieu'!Y397</f>
        <v>4.0707346965829672</v>
      </c>
      <c r="K1566" s="9">
        <f>'1_Du_lieu'!O397</f>
        <v>15.9</v>
      </c>
      <c r="L1566" s="5">
        <f t="shared" si="198"/>
        <v>0</v>
      </c>
      <c r="M1566" s="5">
        <f t="shared" si="199"/>
        <v>1</v>
      </c>
      <c r="N1566" s="5">
        <f t="shared" si="200"/>
        <v>0</v>
      </c>
    </row>
    <row r="1567" spans="1:14" x14ac:dyDescent="0.25">
      <c r="A1567" t="s">
        <v>107</v>
      </c>
      <c r="B1567">
        <v>2023</v>
      </c>
      <c r="C1567" s="7">
        <f>'1_Du_lieu'!V399</f>
        <v>2.8791984572980396</v>
      </c>
      <c r="D1567" s="9">
        <f>'1_Du_lieu'!W399</f>
        <v>4.5622626849768144</v>
      </c>
      <c r="E1567" s="9">
        <f>'1_Du_lieu'!L399</f>
        <v>6.1210000000000004</v>
      </c>
      <c r="F1567" s="9">
        <f>'1_Du_lieu'!M399</f>
        <v>28.2</v>
      </c>
      <c r="G1567" s="9">
        <f>'1_Du_lieu'!N399</f>
        <v>29.5</v>
      </c>
      <c r="H1567" s="9">
        <f>'1_Du_lieu'!X399</f>
        <v>2.9797971999507391</v>
      </c>
      <c r="I1567" s="9">
        <f>'1_Du_lieu'!T399</f>
        <v>1.2416751326334801</v>
      </c>
      <c r="J1567" s="9">
        <f>'1_Du_lieu'!Y399</f>
        <v>8.828757792331265</v>
      </c>
      <c r="K1567" s="9">
        <f>'1_Du_lieu'!O399</f>
        <v>18</v>
      </c>
      <c r="L1567" s="5">
        <f t="shared" si="198"/>
        <v>0</v>
      </c>
      <c r="M1567" s="5">
        <f t="shared" si="199"/>
        <v>1</v>
      </c>
      <c r="N1567" s="5">
        <f t="shared" si="200"/>
        <v>0</v>
      </c>
    </row>
    <row r="1568" spans="1:14" x14ac:dyDescent="0.25">
      <c r="A1568" t="s">
        <v>108</v>
      </c>
      <c r="B1568">
        <v>2023</v>
      </c>
      <c r="C1568" s="7">
        <f>'1_Du_lieu'!V400</f>
        <v>4.4508528256037341</v>
      </c>
      <c r="D1568" s="9">
        <f>'1_Du_lieu'!W400</f>
        <v>5.0086332914255829</v>
      </c>
      <c r="E1568" s="9">
        <f>'1_Du_lieu'!L400</f>
        <v>22.382000000000001</v>
      </c>
      <c r="F1568" s="9">
        <f>'1_Du_lieu'!M400</f>
        <v>49.06</v>
      </c>
      <c r="G1568" s="9">
        <f>'1_Du_lieu'!N400</f>
        <v>50.8</v>
      </c>
      <c r="H1568" s="9">
        <f>'1_Du_lieu'!X400</f>
        <v>3.1935935495764549</v>
      </c>
      <c r="I1568" s="9">
        <f>'1_Du_lieu'!T400</f>
        <v>1.8516146312491992</v>
      </c>
      <c r="J1568" s="9">
        <f>'1_Du_lieu'!Y400</f>
        <v>8.4766211656511903</v>
      </c>
      <c r="K1568" s="9">
        <f>'1_Du_lieu'!O400</f>
        <v>52.2</v>
      </c>
      <c r="L1568" s="5">
        <f t="shared" si="198"/>
        <v>0</v>
      </c>
      <c r="M1568" s="5">
        <f t="shared" si="199"/>
        <v>1</v>
      </c>
      <c r="N1568" s="5">
        <f t="shared" si="200"/>
        <v>0</v>
      </c>
    </row>
    <row r="1569" spans="1:14" x14ac:dyDescent="0.25">
      <c r="A1569" t="s">
        <v>109</v>
      </c>
      <c r="B1569">
        <v>2023</v>
      </c>
      <c r="C1569" s="7">
        <f>'1_Du_lieu'!V401</f>
        <v>2.5877640352277083</v>
      </c>
      <c r="D1569" s="9">
        <f>'1_Du_lieu'!W401</f>
        <v>4.3372907408324899</v>
      </c>
      <c r="E1569" s="9">
        <f>'1_Du_lieu'!L401</f>
        <v>4.3719999999999999</v>
      </c>
      <c r="F1569" s="9">
        <f>'1_Du_lieu'!M401</f>
        <v>22.51</v>
      </c>
      <c r="G1569" s="9">
        <f>'1_Du_lieu'!N401</f>
        <v>31.6</v>
      </c>
      <c r="H1569" s="9">
        <f>'1_Du_lieu'!X401</f>
        <v>3.5347750450300257</v>
      </c>
      <c r="I1569" s="9">
        <f>'1_Du_lieu'!T401</f>
        <v>0.37772909269471933</v>
      </c>
      <c r="J1569" s="9">
        <f>'1_Du_lieu'!Y401</f>
        <v>9.1196495066916796</v>
      </c>
      <c r="K1569" s="9">
        <f>'1_Du_lieu'!O401</f>
        <v>16.3</v>
      </c>
      <c r="L1569" s="5">
        <f t="shared" si="198"/>
        <v>0</v>
      </c>
      <c r="M1569" s="5">
        <f t="shared" si="199"/>
        <v>1</v>
      </c>
      <c r="N1569" s="5">
        <f t="shared" si="200"/>
        <v>0</v>
      </c>
    </row>
    <row r="1570" spans="1:14" x14ac:dyDescent="0.25">
      <c r="A1570" t="s">
        <v>110</v>
      </c>
      <c r="B1570">
        <v>2023</v>
      </c>
      <c r="C1570" s="7">
        <f>'1_Du_lieu'!V402</f>
        <v>2.5014359517392109</v>
      </c>
      <c r="D1570" s="9">
        <f>'1_Du_lieu'!W402</f>
        <v>4.2456340097683265</v>
      </c>
      <c r="E1570" s="9">
        <f>'1_Du_lieu'!L402</f>
        <v>3.375</v>
      </c>
      <c r="F1570" s="9">
        <f>'1_Du_lieu'!M402</f>
        <v>25.68</v>
      </c>
      <c r="G1570" s="9">
        <f>'1_Du_lieu'!N402</f>
        <v>23.8</v>
      </c>
      <c r="H1570" s="9">
        <f>'1_Du_lieu'!X402</f>
        <v>2.2822317178119582</v>
      </c>
      <c r="I1570" s="9">
        <f>'1_Du_lieu'!T402</f>
        <v>1.0221465076660987</v>
      </c>
      <c r="J1570" s="9">
        <f>'1_Du_lieu'!Y402</f>
        <v>6.7878449823095792</v>
      </c>
      <c r="K1570" s="9">
        <f>'1_Du_lieu'!O402</f>
        <v>18.399999999999999</v>
      </c>
      <c r="L1570" s="5">
        <f t="shared" si="198"/>
        <v>0</v>
      </c>
      <c r="M1570" s="5">
        <f t="shared" si="199"/>
        <v>1</v>
      </c>
      <c r="N1570" s="5">
        <f t="shared" si="200"/>
        <v>0</v>
      </c>
    </row>
    <row r="1571" spans="1:14" x14ac:dyDescent="0.25">
      <c r="A1571" t="s">
        <v>111</v>
      </c>
      <c r="B1571">
        <v>2023</v>
      </c>
      <c r="C1571" s="7">
        <f>'1_Du_lieu'!V403</f>
        <v>3.0204248861443626</v>
      </c>
      <c r="D1571" s="9">
        <f>'1_Du_lieu'!W403</f>
        <v>4.6995708614095761</v>
      </c>
      <c r="E1571" s="9">
        <f>'1_Du_lieu'!L403</f>
        <v>7.4969999999999999</v>
      </c>
      <c r="F1571" s="9">
        <f>'1_Du_lieu'!M403</f>
        <v>16.989999999999998</v>
      </c>
      <c r="G1571" s="9">
        <f>'1_Du_lieu'!N403</f>
        <v>28.2</v>
      </c>
      <c r="H1571" s="9">
        <f>'1_Du_lieu'!X403</f>
        <v>3.3154290302726985</v>
      </c>
      <c r="I1571" s="9">
        <f>'1_Du_lieu'!T403</f>
        <v>1.8447348193697155</v>
      </c>
      <c r="J1571" s="9">
        <f>'1_Du_lieu'!Y403</f>
        <v>8.6638702992607257</v>
      </c>
      <c r="K1571" s="9">
        <f>'1_Du_lieu'!O403</f>
        <v>27.3</v>
      </c>
      <c r="L1571" s="5">
        <f t="shared" ref="L1571:L1634" si="201">IF(B1571=2022,1,0)</f>
        <v>0</v>
      </c>
      <c r="M1571" s="5">
        <f t="shared" ref="M1571:M1634" si="202">IF(B1571=2023,1,0)</f>
        <v>1</v>
      </c>
      <c r="N1571" s="5">
        <f t="shared" ref="N1571:N1634" si="203">IF(B1571=2024,1,0)</f>
        <v>0</v>
      </c>
    </row>
    <row r="1572" spans="1:14" x14ac:dyDescent="0.25">
      <c r="A1572" t="s">
        <v>112</v>
      </c>
      <c r="B1572">
        <v>2023</v>
      </c>
      <c r="C1572" s="7">
        <f>'1_Du_lieu'!V404</f>
        <v>2.9285235238605409</v>
      </c>
      <c r="D1572" s="9">
        <f>'1_Du_lieu'!W404</f>
        <v>4.5528237056158822</v>
      </c>
      <c r="E1572" s="9">
        <f>'1_Du_lieu'!L404</f>
        <v>5.7359999999999998</v>
      </c>
      <c r="F1572" s="9">
        <f>'1_Du_lieu'!M404</f>
        <v>31.68</v>
      </c>
      <c r="G1572" s="9">
        <f>'1_Du_lieu'!N404</f>
        <v>29.2</v>
      </c>
      <c r="H1572" s="9">
        <f>'1_Du_lieu'!X404</f>
        <v>3.2946589515718152</v>
      </c>
      <c r="I1572" s="9">
        <f>'1_Du_lieu'!T404</f>
        <v>0.56211354693648108</v>
      </c>
      <c r="J1572" s="9">
        <f>'1_Du_lieu'!Y404</f>
        <v>8.579303767479141</v>
      </c>
      <c r="K1572" s="9">
        <f>'1_Du_lieu'!O404</f>
        <v>27.2</v>
      </c>
      <c r="L1572" s="5">
        <f t="shared" si="201"/>
        <v>0</v>
      </c>
      <c r="M1572" s="5">
        <f t="shared" si="202"/>
        <v>1</v>
      </c>
      <c r="N1572" s="5">
        <f t="shared" si="203"/>
        <v>0</v>
      </c>
    </row>
    <row r="1573" spans="1:14" x14ac:dyDescent="0.25">
      <c r="A1573" t="s">
        <v>113</v>
      </c>
      <c r="B1573">
        <v>2023</v>
      </c>
      <c r="C1573" s="7">
        <f>'1_Du_lieu'!V405</f>
        <v>3.3534067178258069</v>
      </c>
      <c r="D1573" s="9">
        <f>'1_Du_lieu'!W405</f>
        <v>5.2208962195794522</v>
      </c>
      <c r="E1573" s="9">
        <f>'1_Du_lieu'!L405</f>
        <v>9.9939999999999998</v>
      </c>
      <c r="F1573" s="9">
        <f>'1_Du_lieu'!M405</f>
        <v>45.63</v>
      </c>
      <c r="G1573" s="9">
        <f>'1_Du_lieu'!N405</f>
        <v>36.5</v>
      </c>
      <c r="H1573" s="9">
        <f>'1_Du_lieu'!X405</f>
        <v>4.1304894126587515</v>
      </c>
      <c r="I1573" s="9">
        <f>'1_Du_lieu'!T405</f>
        <v>1.8527315914489311</v>
      </c>
      <c r="J1573" s="9">
        <f>'1_Du_lieu'!Y405</f>
        <v>9.5257567677856638</v>
      </c>
      <c r="K1573" s="9">
        <f>'1_Du_lieu'!O405</f>
        <v>28.3</v>
      </c>
      <c r="L1573" s="5">
        <f t="shared" si="201"/>
        <v>0</v>
      </c>
      <c r="M1573" s="5">
        <f t="shared" si="202"/>
        <v>1</v>
      </c>
      <c r="N1573" s="5">
        <f t="shared" si="203"/>
        <v>0</v>
      </c>
    </row>
    <row r="1574" spans="1:14" x14ac:dyDescent="0.25">
      <c r="A1574" t="s">
        <v>114</v>
      </c>
      <c r="B1574">
        <v>2023</v>
      </c>
      <c r="C1574" s="7">
        <f>'1_Du_lieu'!V406</f>
        <v>2.4680995314716192</v>
      </c>
      <c r="D1574" s="9">
        <f>'1_Du_lieu'!W406</f>
        <v>4.3757570216602861</v>
      </c>
      <c r="E1574" s="9">
        <f>'1_Du_lieu'!L406</f>
        <v>3.7349999999999999</v>
      </c>
      <c r="F1574" s="9">
        <f>'1_Du_lieu'!M406</f>
        <v>28.11</v>
      </c>
      <c r="G1574" s="9">
        <f>'1_Du_lieu'!N406</f>
        <v>13.7</v>
      </c>
      <c r="H1574" s="9">
        <f>'1_Du_lieu'!X406</f>
        <v>1.4593842792877025</v>
      </c>
      <c r="I1574" s="9">
        <f>'1_Du_lieu'!T406</f>
        <v>0.68653027598517091</v>
      </c>
      <c r="J1574" s="9">
        <f>'1_Du_lieu'!Y406</f>
        <v>6.9696966805223202</v>
      </c>
      <c r="K1574" s="9">
        <f>'1_Du_lieu'!O406</f>
        <v>14.8</v>
      </c>
      <c r="L1574" s="5">
        <f t="shared" si="201"/>
        <v>0</v>
      </c>
      <c r="M1574" s="5">
        <f t="shared" si="202"/>
        <v>1</v>
      </c>
      <c r="N1574" s="5">
        <f t="shared" si="203"/>
        <v>0</v>
      </c>
    </row>
    <row r="1575" spans="1:14" x14ac:dyDescent="0.25">
      <c r="A1575" t="s">
        <v>115</v>
      </c>
      <c r="B1575">
        <v>2023</v>
      </c>
      <c r="C1575" s="7">
        <f>'1_Du_lieu'!V407</f>
        <v>3.1484533605716547</v>
      </c>
      <c r="D1575" s="9">
        <f>'1_Du_lieu'!W407</f>
        <v>4.4830025520138834</v>
      </c>
      <c r="E1575" s="9">
        <f>'1_Du_lieu'!L407</f>
        <v>9.0820000000000007</v>
      </c>
      <c r="F1575" s="9">
        <f>'1_Du_lieu'!M407</f>
        <v>42.39</v>
      </c>
      <c r="G1575" s="9">
        <f>'1_Du_lieu'!N407</f>
        <v>25.3</v>
      </c>
      <c r="H1575" s="9">
        <f>'1_Du_lieu'!X407</f>
        <v>3.0975907097764734</v>
      </c>
      <c r="I1575" s="9">
        <f>'1_Du_lieu'!T407</f>
        <v>1.8245280025384738</v>
      </c>
      <c r="J1575" s="9">
        <f>'1_Du_lieu'!Y407</f>
        <v>8.1603468042105192</v>
      </c>
      <c r="K1575" s="9">
        <f>'1_Du_lieu'!O407</f>
        <v>31.1</v>
      </c>
      <c r="L1575" s="5">
        <f t="shared" si="201"/>
        <v>0</v>
      </c>
      <c r="M1575" s="5">
        <f t="shared" si="202"/>
        <v>1</v>
      </c>
      <c r="N1575" s="5">
        <f t="shared" si="203"/>
        <v>0</v>
      </c>
    </row>
    <row r="1576" spans="1:14" x14ac:dyDescent="0.25">
      <c r="A1576" t="s">
        <v>116</v>
      </c>
      <c r="B1576">
        <v>2023</v>
      </c>
      <c r="C1576" s="7">
        <f>'1_Du_lieu'!V408</f>
        <v>2.5802168295923251</v>
      </c>
      <c r="D1576" s="9">
        <f>'1_Du_lieu'!W408</f>
        <v>4.2835865618606288</v>
      </c>
      <c r="E1576" s="9">
        <f>'1_Du_lieu'!L408</f>
        <v>5.0250000000000004</v>
      </c>
      <c r="F1576" s="9">
        <f>'1_Du_lieu'!M408</f>
        <v>30.12</v>
      </c>
      <c r="G1576" s="9">
        <f>'1_Du_lieu'!N408</f>
        <v>16.8</v>
      </c>
      <c r="H1576" s="9">
        <f>'1_Du_lieu'!X408</f>
        <v>0.57791387397611804</v>
      </c>
      <c r="I1576" s="9">
        <f>'1_Du_lieu'!T408</f>
        <v>5.4691505725517011</v>
      </c>
      <c r="J1576" s="9">
        <f>'1_Du_lieu'!Y408</f>
        <v>7.9163334449462655</v>
      </c>
      <c r="K1576" s="9">
        <f>'1_Du_lieu'!O408</f>
        <v>16.3</v>
      </c>
      <c r="L1576" s="5">
        <f t="shared" si="201"/>
        <v>0</v>
      </c>
      <c r="M1576" s="5">
        <f t="shared" si="202"/>
        <v>1</v>
      </c>
      <c r="N1576" s="5">
        <f t="shared" si="203"/>
        <v>0</v>
      </c>
    </row>
    <row r="1577" spans="1:14" x14ac:dyDescent="0.25">
      <c r="A1577" t="s">
        <v>117</v>
      </c>
      <c r="B1577">
        <v>2023</v>
      </c>
      <c r="C1577" s="7">
        <f>'1_Du_lieu'!V409</f>
        <v>2.3223877202902252</v>
      </c>
      <c r="D1577" s="9">
        <f>'1_Du_lieu'!W409</f>
        <v>4.0775374439057197</v>
      </c>
      <c r="E1577" s="9">
        <f>'1_Du_lieu'!L409</f>
        <v>3.6360000000000001</v>
      </c>
      <c r="F1577" s="9">
        <f>'1_Du_lieu'!M409</f>
        <v>32.44</v>
      </c>
      <c r="G1577" s="9">
        <f>'1_Du_lieu'!N409</f>
        <v>17.8</v>
      </c>
      <c r="H1577" s="9">
        <f>'1_Du_lieu'!X409</f>
        <v>2.665450879720793</v>
      </c>
      <c r="I1577" s="9">
        <f>'1_Du_lieu'!T409</f>
        <v>0.84559445290038915</v>
      </c>
      <c r="J1577" s="9">
        <f>'1_Du_lieu'!Y409</f>
        <v>6.0224786006371511</v>
      </c>
      <c r="K1577" s="9">
        <f>'1_Du_lieu'!O409</f>
        <v>23.1</v>
      </c>
      <c r="L1577" s="5">
        <f t="shared" si="201"/>
        <v>0</v>
      </c>
      <c r="M1577" s="5">
        <f t="shared" si="202"/>
        <v>1</v>
      </c>
      <c r="N1577" s="5">
        <f t="shared" si="203"/>
        <v>0</v>
      </c>
    </row>
    <row r="1578" spans="1:14" x14ac:dyDescent="0.25">
      <c r="A1578" t="s">
        <v>119</v>
      </c>
      <c r="B1578">
        <v>2023</v>
      </c>
      <c r="C1578" s="7">
        <f>'1_Du_lieu'!V411</f>
        <v>2.8678989020441064</v>
      </c>
      <c r="D1578" s="9">
        <f>'1_Du_lieu'!W411</f>
        <v>4.5390303834835466</v>
      </c>
      <c r="E1578" s="9">
        <f>'1_Du_lieu'!L411</f>
        <v>7.0049999999999999</v>
      </c>
      <c r="F1578" s="9">
        <f>'1_Du_lieu'!M411</f>
        <v>18.399999999999999</v>
      </c>
      <c r="G1578" s="9">
        <f>'1_Du_lieu'!N411</f>
        <v>15.9</v>
      </c>
      <c r="H1578" s="9">
        <f>'1_Du_lieu'!X411</f>
        <v>1.5310142902595101</v>
      </c>
      <c r="I1578" s="9">
        <f>'1_Du_lieu'!T411</f>
        <v>0.45887346564184922</v>
      </c>
      <c r="J1578" s="9">
        <f>'1_Du_lieu'!Y411</f>
        <v>8.96078867488567</v>
      </c>
      <c r="K1578" s="9">
        <f>'1_Du_lieu'!O411</f>
        <v>21.6</v>
      </c>
      <c r="L1578" s="5">
        <f t="shared" si="201"/>
        <v>0</v>
      </c>
      <c r="M1578" s="5">
        <f t="shared" si="202"/>
        <v>1</v>
      </c>
      <c r="N1578" s="5">
        <f t="shared" si="203"/>
        <v>0</v>
      </c>
    </row>
    <row r="1579" spans="1:14" x14ac:dyDescent="0.25">
      <c r="A1579" t="s">
        <v>120</v>
      </c>
      <c r="B1579">
        <v>2023</v>
      </c>
      <c r="C1579" s="7">
        <f>'1_Du_lieu'!V412</f>
        <v>2.8903717578961645</v>
      </c>
      <c r="D1579" s="9">
        <f>'1_Du_lieu'!W412</f>
        <v>4.4461744544976334</v>
      </c>
      <c r="E1579" s="9">
        <f>'1_Du_lieu'!L412</f>
        <v>4.6020000000000003</v>
      </c>
      <c r="F1579" s="9">
        <f>'1_Du_lieu'!M412</f>
        <v>27.05</v>
      </c>
      <c r="G1579" s="9">
        <f>'1_Du_lieu'!N412</f>
        <v>22.8</v>
      </c>
      <c r="H1579" s="9">
        <f>'1_Du_lieu'!X412</f>
        <v>2.3051078729742289</v>
      </c>
      <c r="I1579" s="9">
        <f>'1_Du_lieu'!T412</f>
        <v>1.1539941018079241</v>
      </c>
      <c r="J1579" s="9">
        <f>'1_Du_lieu'!Y412</f>
        <v>6.7356612423436184</v>
      </c>
      <c r="K1579" s="9">
        <f>'1_Du_lieu'!O412</f>
        <v>14.7</v>
      </c>
      <c r="L1579" s="5">
        <f t="shared" si="201"/>
        <v>0</v>
      </c>
      <c r="M1579" s="5">
        <f t="shared" si="202"/>
        <v>1</v>
      </c>
      <c r="N1579" s="5">
        <f t="shared" si="203"/>
        <v>0</v>
      </c>
    </row>
    <row r="1580" spans="1:14" x14ac:dyDescent="0.25">
      <c r="A1580" t="s">
        <v>121</v>
      </c>
      <c r="B1580">
        <v>2023</v>
      </c>
      <c r="C1580" s="7">
        <f>'1_Du_lieu'!V413</f>
        <v>2.9856819377004897</v>
      </c>
      <c r="D1580" s="9">
        <f>'1_Du_lieu'!W413</f>
        <v>4.4426512564903167</v>
      </c>
      <c r="E1580" s="9">
        <f>'1_Du_lieu'!L413</f>
        <v>6.1319999999999997</v>
      </c>
      <c r="F1580" s="9">
        <f>'1_Du_lieu'!M413</f>
        <v>39.380000000000003</v>
      </c>
      <c r="G1580" s="9">
        <f>'1_Du_lieu'!N413</f>
        <v>22.7</v>
      </c>
      <c r="H1580" s="9">
        <f>'1_Du_lieu'!X413</f>
        <v>3.0583893790985237</v>
      </c>
      <c r="I1580" s="9">
        <f>'1_Du_lieu'!T413</f>
        <v>0.59479553903345728</v>
      </c>
      <c r="J1580" s="9">
        <f>'1_Du_lieu'!Y413</f>
        <v>6.0287603318516787</v>
      </c>
      <c r="K1580" s="9">
        <f>'1_Du_lieu'!O413</f>
        <v>33.200000000000003</v>
      </c>
      <c r="L1580" s="5">
        <f t="shared" si="201"/>
        <v>0</v>
      </c>
      <c r="M1580" s="5">
        <f t="shared" si="202"/>
        <v>1</v>
      </c>
      <c r="N1580" s="5">
        <f t="shared" si="203"/>
        <v>0</v>
      </c>
    </row>
    <row r="1581" spans="1:14" x14ac:dyDescent="0.25">
      <c r="A1581" t="s">
        <v>122</v>
      </c>
      <c r="B1581">
        <v>2023</v>
      </c>
      <c r="C1581" s="7">
        <f>'1_Du_lieu'!V414</f>
        <v>2.4765384001174837</v>
      </c>
      <c r="D1581" s="9">
        <f>'1_Du_lieu'!W414</f>
        <v>4.0569887756783318</v>
      </c>
      <c r="E1581" s="9">
        <f>'1_Du_lieu'!L414</f>
        <v>3.3919999999999999</v>
      </c>
      <c r="F1581" s="9">
        <f>'1_Du_lieu'!M414</f>
        <v>23.18</v>
      </c>
      <c r="G1581" s="9">
        <f>'1_Du_lieu'!N414</f>
        <v>27.6</v>
      </c>
      <c r="H1581" s="9">
        <f>'1_Du_lieu'!X414</f>
        <v>2.1331566502704176</v>
      </c>
      <c r="I1581" s="9">
        <f>'1_Du_lieu'!T414</f>
        <v>0.99095751269664323</v>
      </c>
      <c r="J1581" s="9">
        <f>'1_Du_lieu'!Y414</f>
        <v>6.4597479476082977</v>
      </c>
      <c r="K1581" s="9">
        <f>'1_Du_lieu'!O414</f>
        <v>15.7</v>
      </c>
      <c r="L1581" s="5">
        <f t="shared" si="201"/>
        <v>0</v>
      </c>
      <c r="M1581" s="5">
        <f t="shared" si="202"/>
        <v>1</v>
      </c>
      <c r="N1581" s="5">
        <f t="shared" si="203"/>
        <v>0</v>
      </c>
    </row>
    <row r="1582" spans="1:14" x14ac:dyDescent="0.25">
      <c r="A1582" t="s">
        <v>123</v>
      </c>
      <c r="B1582">
        <v>2023</v>
      </c>
      <c r="C1582" s="7">
        <f>'1_Du_lieu'!V415</f>
        <v>2.954910279033736</v>
      </c>
      <c r="D1582" s="9">
        <f>'1_Du_lieu'!W415</f>
        <v>3.9435216724875173</v>
      </c>
      <c r="E1582" s="9">
        <f>'1_Du_lieu'!L415</f>
        <v>3.7719999999999998</v>
      </c>
      <c r="F1582" s="9">
        <f>'1_Du_lieu'!M415</f>
        <v>20.420000000000002</v>
      </c>
      <c r="G1582" s="9">
        <f>'1_Du_lieu'!N415</f>
        <v>21.7</v>
      </c>
      <c r="H1582" s="9">
        <f>'1_Du_lieu'!X415</f>
        <v>2.2432298019540498</v>
      </c>
      <c r="I1582" s="9">
        <f>'1_Du_lieu'!T415</f>
        <v>1.1128186105664777</v>
      </c>
      <c r="J1582" s="9">
        <f>'1_Du_lieu'!Y415</f>
        <v>7.6741993886035393</v>
      </c>
      <c r="K1582" s="9">
        <f>'1_Du_lieu'!O415</f>
        <v>20.5</v>
      </c>
      <c r="L1582" s="5">
        <f t="shared" si="201"/>
        <v>0</v>
      </c>
      <c r="M1582" s="5">
        <f t="shared" si="202"/>
        <v>1</v>
      </c>
      <c r="N1582" s="5">
        <f t="shared" si="203"/>
        <v>0</v>
      </c>
    </row>
    <row r="1583" spans="1:14" x14ac:dyDescent="0.25">
      <c r="A1583" t="s">
        <v>124</v>
      </c>
      <c r="B1583">
        <v>2023</v>
      </c>
      <c r="C1583" s="7">
        <f>'1_Du_lieu'!V416</f>
        <v>2.9755295662364718</v>
      </c>
      <c r="D1583" s="9">
        <f>'1_Du_lieu'!W416</f>
        <v>4.0055133485154846</v>
      </c>
      <c r="E1583" s="9">
        <f>'1_Du_lieu'!L416</f>
        <v>3.9649999999999999</v>
      </c>
      <c r="F1583" s="9">
        <f>'1_Du_lieu'!M416</f>
        <v>15.69</v>
      </c>
      <c r="G1583" s="9">
        <f>'1_Du_lieu'!N416</f>
        <v>25.7</v>
      </c>
      <c r="H1583" s="9">
        <f>'1_Du_lieu'!X416</f>
        <v>3.8512133359859355</v>
      </c>
      <c r="I1583" s="9">
        <f>'1_Du_lieu'!T416</f>
        <v>2.9633933759442184</v>
      </c>
      <c r="J1583" s="9">
        <f>'1_Du_lieu'!Y416</f>
        <v>7.1087350175946247</v>
      </c>
      <c r="K1583" s="9">
        <f>'1_Du_lieu'!O416</f>
        <v>18.100000000000001</v>
      </c>
      <c r="L1583" s="5">
        <f t="shared" si="201"/>
        <v>0</v>
      </c>
      <c r="M1583" s="5">
        <f t="shared" si="202"/>
        <v>1</v>
      </c>
      <c r="N1583" s="5">
        <f t="shared" si="203"/>
        <v>0</v>
      </c>
    </row>
    <row r="1584" spans="1:14" x14ac:dyDescent="0.25">
      <c r="A1584" t="s">
        <v>125</v>
      </c>
      <c r="B1584">
        <v>2023</v>
      </c>
      <c r="C1584" s="7">
        <f>'1_Du_lieu'!V417</f>
        <v>2.8903717578961645</v>
      </c>
      <c r="D1584" s="9">
        <f>'1_Du_lieu'!W417</f>
        <v>4.4212473478271628</v>
      </c>
      <c r="E1584" s="9">
        <f>'1_Du_lieu'!L417</f>
        <v>5.4859999999999998</v>
      </c>
      <c r="F1584" s="9">
        <f>'1_Du_lieu'!M417</f>
        <v>21.69</v>
      </c>
      <c r="G1584" s="9">
        <f>'1_Du_lieu'!N417</f>
        <v>33.6</v>
      </c>
      <c r="H1584" s="9">
        <f>'1_Du_lieu'!X417</f>
        <v>3.9371821635260744</v>
      </c>
      <c r="I1584" s="9">
        <f>'1_Du_lieu'!T417</f>
        <v>3.4411562284927735</v>
      </c>
      <c r="J1584" s="9">
        <f>'1_Du_lieu'!Y417</f>
        <v>7.4516481064523239</v>
      </c>
      <c r="K1584" s="9">
        <f>'1_Du_lieu'!O417</f>
        <v>24.5</v>
      </c>
      <c r="L1584" s="5">
        <f t="shared" si="201"/>
        <v>0</v>
      </c>
      <c r="M1584" s="5">
        <f t="shared" si="202"/>
        <v>1</v>
      </c>
      <c r="N1584" s="5">
        <f t="shared" si="203"/>
        <v>0</v>
      </c>
    </row>
    <row r="1585" spans="1:14" x14ac:dyDescent="0.25">
      <c r="A1585" t="s">
        <v>126</v>
      </c>
      <c r="B1585">
        <v>2023</v>
      </c>
      <c r="C1585" s="7">
        <f>'1_Du_lieu'!V418</f>
        <v>2.6173958328340792</v>
      </c>
      <c r="D1585" s="9">
        <f>'1_Du_lieu'!W418</f>
        <v>4.4485163759427149</v>
      </c>
      <c r="E1585" s="9">
        <f>'1_Du_lieu'!L418</f>
        <v>5.16</v>
      </c>
      <c r="F1585" s="9">
        <f>'1_Du_lieu'!M418</f>
        <v>35.5</v>
      </c>
      <c r="G1585" s="9">
        <f>'1_Du_lieu'!N418</f>
        <v>18.600000000000001</v>
      </c>
      <c r="H1585" s="9">
        <f>'1_Du_lieu'!X418</f>
        <v>2.6536588840470872</v>
      </c>
      <c r="I1585" s="9">
        <f>'1_Du_lieu'!T418</f>
        <v>0.99800399201596801</v>
      </c>
      <c r="J1585" s="9">
        <f>'1_Du_lieu'!Y418</f>
        <v>7.9624505105837899</v>
      </c>
      <c r="K1585" s="9">
        <f>'1_Du_lieu'!O418</f>
        <v>18.399999999999999</v>
      </c>
      <c r="L1585" s="5">
        <f t="shared" si="201"/>
        <v>0</v>
      </c>
      <c r="M1585" s="5">
        <f t="shared" si="202"/>
        <v>1</v>
      </c>
      <c r="N1585" s="5">
        <f t="shared" si="203"/>
        <v>0</v>
      </c>
    </row>
    <row r="1586" spans="1:14" x14ac:dyDescent="0.25">
      <c r="A1586" t="s">
        <v>127</v>
      </c>
      <c r="B1586">
        <v>2023</v>
      </c>
      <c r="C1586" s="7">
        <f>'1_Du_lieu'!V419</f>
        <v>2.8791984572980396</v>
      </c>
      <c r="D1586" s="9">
        <f>'1_Du_lieu'!W419</f>
        <v>4.1759245492145238</v>
      </c>
      <c r="E1586" s="9">
        <f>'1_Du_lieu'!L419</f>
        <v>4.2779999999999996</v>
      </c>
      <c r="F1586" s="9">
        <f>'1_Du_lieu'!M419</f>
        <v>19.420000000000002</v>
      </c>
      <c r="G1586" s="9">
        <f>'1_Du_lieu'!N419</f>
        <v>34.1</v>
      </c>
      <c r="H1586" s="9">
        <f>'1_Du_lieu'!X419</f>
        <v>3.1316354267149693</v>
      </c>
      <c r="I1586" s="9">
        <f>'1_Du_lieu'!T419</f>
        <v>1.3065064018813692</v>
      </c>
      <c r="J1586" s="9">
        <f>'1_Du_lieu'!Y419</f>
        <v>7.6855193052619608</v>
      </c>
      <c r="K1586" s="9">
        <f>'1_Du_lieu'!O419</f>
        <v>24.1</v>
      </c>
      <c r="L1586" s="5">
        <f t="shared" si="201"/>
        <v>0</v>
      </c>
      <c r="M1586" s="5">
        <f t="shared" si="202"/>
        <v>1</v>
      </c>
      <c r="N1586" s="5">
        <f t="shared" si="203"/>
        <v>0</v>
      </c>
    </row>
    <row r="1587" spans="1:14" x14ac:dyDescent="0.25">
      <c r="A1587" t="s">
        <v>128</v>
      </c>
      <c r="B1587">
        <v>2023</v>
      </c>
      <c r="C1587" s="7">
        <f>'1_Du_lieu'!V420</f>
        <v>2.5416019934645457</v>
      </c>
      <c r="D1587" s="9">
        <f>'1_Du_lieu'!W420</f>
        <v>4.1447207695471677</v>
      </c>
      <c r="E1587" s="9">
        <f>'1_Du_lieu'!L420</f>
        <v>3.871</v>
      </c>
      <c r="F1587" s="9">
        <f>'1_Du_lieu'!M420</f>
        <v>32.71</v>
      </c>
      <c r="G1587" s="9">
        <f>'1_Du_lieu'!N420</f>
        <v>23.1</v>
      </c>
      <c r="H1587" s="9">
        <f>'1_Du_lieu'!X420</f>
        <v>2.5767721638564964</v>
      </c>
      <c r="I1587" s="9">
        <f>'1_Du_lieu'!T420</f>
        <v>0.45573658425430102</v>
      </c>
      <c r="J1587" s="9">
        <f>'1_Du_lieu'!Y420</f>
        <v>7.7508299485250332</v>
      </c>
      <c r="K1587" s="9">
        <f>'1_Du_lieu'!O420</f>
        <v>21</v>
      </c>
      <c r="L1587" s="5">
        <f t="shared" si="201"/>
        <v>0</v>
      </c>
      <c r="M1587" s="5">
        <f t="shared" si="202"/>
        <v>1</v>
      </c>
      <c r="N1587" s="5">
        <f t="shared" si="203"/>
        <v>0</v>
      </c>
    </row>
    <row r="1588" spans="1:14" x14ac:dyDescent="0.25">
      <c r="A1588" t="s">
        <v>129</v>
      </c>
      <c r="B1588">
        <v>2023</v>
      </c>
      <c r="C1588" s="7">
        <f>'1_Du_lieu'!V421</f>
        <v>2.5494451709255714</v>
      </c>
      <c r="D1588" s="9">
        <f>'1_Du_lieu'!W421</f>
        <v>4.0826093060036799</v>
      </c>
      <c r="E1588" s="9">
        <f>'1_Du_lieu'!L421</f>
        <v>5.6340000000000003</v>
      </c>
      <c r="F1588" s="9">
        <f>'1_Du_lieu'!M421</f>
        <v>23.39</v>
      </c>
      <c r="G1588" s="9">
        <f>'1_Du_lieu'!N421</f>
        <v>27.7</v>
      </c>
      <c r="H1588" s="9">
        <f>'1_Du_lieu'!X421</f>
        <v>3.484044469482082</v>
      </c>
      <c r="I1588" s="9">
        <f>'1_Du_lieu'!T421</f>
        <v>0.87079568956133657</v>
      </c>
      <c r="J1588" s="9">
        <f>'1_Du_lieu'!Y421</f>
        <v>7.1034042959869534</v>
      </c>
      <c r="K1588" s="9">
        <f>'1_Du_lieu'!O421</f>
        <v>20.5</v>
      </c>
      <c r="L1588" s="5">
        <f t="shared" si="201"/>
        <v>0</v>
      </c>
      <c r="M1588" s="5">
        <f t="shared" si="202"/>
        <v>1</v>
      </c>
      <c r="N1588" s="5">
        <f t="shared" si="203"/>
        <v>0</v>
      </c>
    </row>
    <row r="1589" spans="1:14" x14ac:dyDescent="0.25">
      <c r="A1589" t="s">
        <v>130</v>
      </c>
      <c r="B1589">
        <v>2023</v>
      </c>
      <c r="C1589" s="7">
        <f>'1_Du_lieu'!V422</f>
        <v>2.8094026953624978</v>
      </c>
      <c r="D1589" s="9">
        <f>'1_Du_lieu'!W422</f>
        <v>4.3320482648676402</v>
      </c>
      <c r="E1589" s="9">
        <f>'1_Du_lieu'!L422</f>
        <v>5.4539999999999997</v>
      </c>
      <c r="F1589" s="9">
        <f>'1_Du_lieu'!M422</f>
        <v>30.74</v>
      </c>
      <c r="G1589" s="9">
        <f>'1_Du_lieu'!N422</f>
        <v>27.5</v>
      </c>
      <c r="H1589" s="9">
        <f>'1_Du_lieu'!X422</f>
        <v>2.6152570004470386</v>
      </c>
      <c r="I1589" s="9">
        <f>'1_Du_lieu'!T422</f>
        <v>0.19657951641438962</v>
      </c>
      <c r="J1589" s="9">
        <f>'1_Du_lieu'!Y422</f>
        <v>8.3387361577244334</v>
      </c>
      <c r="K1589" s="9">
        <f>'1_Du_lieu'!O422</f>
        <v>15.6</v>
      </c>
      <c r="L1589" s="5">
        <f t="shared" si="201"/>
        <v>0</v>
      </c>
      <c r="M1589" s="5">
        <f t="shared" si="202"/>
        <v>1</v>
      </c>
      <c r="N1589" s="5">
        <f t="shared" si="203"/>
        <v>0</v>
      </c>
    </row>
    <row r="1590" spans="1:14" x14ac:dyDescent="0.25">
      <c r="A1590" t="s">
        <v>131</v>
      </c>
      <c r="B1590">
        <v>2023</v>
      </c>
      <c r="C1590" s="7">
        <f>'1_Du_lieu'!V423</f>
        <v>2.6026896854443837</v>
      </c>
      <c r="D1590" s="9">
        <f>'1_Du_lieu'!W423</f>
        <v>4.6141299273595635</v>
      </c>
      <c r="E1590" s="9">
        <f>'1_Du_lieu'!L423</f>
        <v>4.5919999999999996</v>
      </c>
      <c r="F1590" s="9">
        <f>'1_Du_lieu'!M423</f>
        <v>21.87</v>
      </c>
      <c r="G1590" s="9">
        <f>'1_Du_lieu'!N423</f>
        <v>26.1</v>
      </c>
      <c r="H1590" s="9">
        <f>'1_Du_lieu'!X423</f>
        <v>2.5484130705097932</v>
      </c>
      <c r="I1590" s="9">
        <f>'1_Du_lieu'!T423</f>
        <v>0.72109606602035092</v>
      </c>
      <c r="J1590" s="9">
        <f>'1_Du_lieu'!Y423</f>
        <v>7.5147452630909077</v>
      </c>
      <c r="K1590" s="9">
        <f>'1_Du_lieu'!O423</f>
        <v>21.7</v>
      </c>
      <c r="L1590" s="5">
        <f t="shared" si="201"/>
        <v>0</v>
      </c>
      <c r="M1590" s="5">
        <f t="shared" si="202"/>
        <v>1</v>
      </c>
      <c r="N1590" s="5">
        <f t="shared" si="203"/>
        <v>0</v>
      </c>
    </row>
    <row r="1591" spans="1:14" x14ac:dyDescent="0.25">
      <c r="A1591" t="s">
        <v>132</v>
      </c>
      <c r="B1591">
        <v>2023</v>
      </c>
      <c r="C1591" s="7">
        <f>'1_Du_lieu'!V424</f>
        <v>3.0252910757955354</v>
      </c>
      <c r="D1591" s="9">
        <f>'1_Du_lieu'!W424</f>
        <v>5.3622306922916891</v>
      </c>
      <c r="E1591" s="9">
        <f>'1_Du_lieu'!L424</f>
        <v>7.4489999999999998</v>
      </c>
      <c r="F1591" s="9">
        <f>'1_Du_lieu'!M424</f>
        <v>67.36</v>
      </c>
      <c r="G1591" s="9">
        <f>'1_Du_lieu'!N424</f>
        <v>41.9</v>
      </c>
      <c r="H1591" s="9">
        <f>'1_Du_lieu'!X424</f>
        <v>3.9967676005152759</v>
      </c>
      <c r="I1591" s="9">
        <f>'1_Du_lieu'!T424</f>
        <v>2.3892267593397043</v>
      </c>
      <c r="J1591" s="9">
        <f>'1_Du_lieu'!Y424</f>
        <v>9.1526265097857102</v>
      </c>
      <c r="K1591" s="9">
        <f>'1_Du_lieu'!O424</f>
        <v>17</v>
      </c>
      <c r="L1591" s="5">
        <f t="shared" si="201"/>
        <v>0</v>
      </c>
      <c r="M1591" s="5">
        <f t="shared" si="202"/>
        <v>1</v>
      </c>
      <c r="N1591" s="5">
        <f t="shared" si="203"/>
        <v>0</v>
      </c>
    </row>
    <row r="1592" spans="1:14" x14ac:dyDescent="0.25">
      <c r="A1592" t="s">
        <v>133</v>
      </c>
      <c r="B1592">
        <v>2023</v>
      </c>
      <c r="C1592" s="7">
        <f>'1_Du_lieu'!V425</f>
        <v>2.6100697927420065</v>
      </c>
      <c r="D1592" s="9">
        <f>'1_Du_lieu'!W425</f>
        <v>4.2612704335380815</v>
      </c>
      <c r="E1592" s="9">
        <f>'1_Du_lieu'!L425</f>
        <v>5.1349999999999998</v>
      </c>
      <c r="F1592" s="9">
        <f>'1_Du_lieu'!M425</f>
        <v>32.76</v>
      </c>
      <c r="G1592" s="9">
        <f>'1_Du_lieu'!N425</f>
        <v>28</v>
      </c>
      <c r="H1592" s="9">
        <f>'1_Du_lieu'!X425</f>
        <v>3.0069198408392999</v>
      </c>
      <c r="I1592" s="9">
        <f>'1_Du_lieu'!T425</f>
        <v>6.1143381228981957</v>
      </c>
      <c r="J1592" s="9">
        <f>'1_Du_lieu'!Y425</f>
        <v>8.2586037931677296</v>
      </c>
      <c r="K1592" s="9">
        <f>'1_Du_lieu'!O425</f>
        <v>28</v>
      </c>
      <c r="L1592" s="5">
        <f t="shared" si="201"/>
        <v>0</v>
      </c>
      <c r="M1592" s="5">
        <f t="shared" si="202"/>
        <v>1</v>
      </c>
      <c r="N1592" s="5">
        <f t="shared" si="203"/>
        <v>0</v>
      </c>
    </row>
    <row r="1593" spans="1:14" x14ac:dyDescent="0.25">
      <c r="A1593" t="s">
        <v>134</v>
      </c>
      <c r="B1593">
        <v>2023</v>
      </c>
      <c r="C1593" s="7">
        <f>'1_Du_lieu'!V426</f>
        <v>2.388762789235098</v>
      </c>
      <c r="D1593" s="9">
        <f>'1_Du_lieu'!W426</f>
        <v>4.0926765051214034</v>
      </c>
      <c r="E1593" s="9">
        <f>'1_Du_lieu'!L426</f>
        <v>2.387</v>
      </c>
      <c r="F1593" s="9">
        <f>'1_Du_lieu'!M426</f>
        <v>33.869999999999997</v>
      </c>
      <c r="G1593" s="9">
        <f>'1_Du_lieu'!N426</f>
        <v>12.2</v>
      </c>
      <c r="H1593" s="9">
        <f>'1_Du_lieu'!X426</f>
        <v>1.7353662339180389</v>
      </c>
      <c r="I1593" s="9">
        <f>'1_Du_lieu'!T426</f>
        <v>3.9205872539205879</v>
      </c>
      <c r="J1593" s="9">
        <f>'1_Du_lieu'!Y426</f>
        <v>5.8897086381535946</v>
      </c>
      <c r="K1593" s="9">
        <f>'1_Du_lieu'!O426</f>
        <v>15</v>
      </c>
      <c r="L1593" s="5">
        <f t="shared" si="201"/>
        <v>0</v>
      </c>
      <c r="M1593" s="5">
        <f t="shared" si="202"/>
        <v>1</v>
      </c>
      <c r="N1593" s="5">
        <f t="shared" si="203"/>
        <v>0</v>
      </c>
    </row>
    <row r="1594" spans="1:14" x14ac:dyDescent="0.25">
      <c r="A1594" t="s">
        <v>136</v>
      </c>
      <c r="B1594">
        <v>2023</v>
      </c>
      <c r="C1594" s="7">
        <f>'1_Du_lieu'!V428</f>
        <v>4.4908810395859637</v>
      </c>
      <c r="D1594" s="9">
        <f>'1_Du_lieu'!W428</f>
        <v>5.1293068238137547</v>
      </c>
      <c r="E1594" s="9">
        <f>'1_Du_lieu'!L428</f>
        <v>28.876000000000001</v>
      </c>
      <c r="F1594" s="9">
        <f>'1_Du_lieu'!M428</f>
        <v>77.66</v>
      </c>
      <c r="G1594" s="9">
        <f>'1_Du_lieu'!N428</f>
        <v>36</v>
      </c>
      <c r="H1594" s="9">
        <f>'1_Du_lieu'!X428</f>
        <v>2.5606313407704517</v>
      </c>
      <c r="I1594" s="9">
        <f>'1_Du_lieu'!T428</f>
        <v>3.330971692027874</v>
      </c>
      <c r="J1594" s="9">
        <f>'1_Du_lieu'!Y428</f>
        <v>8.7140256210606033</v>
      </c>
      <c r="K1594" s="9">
        <f>'1_Du_lieu'!O428</f>
        <v>52.4</v>
      </c>
      <c r="L1594" s="5">
        <f t="shared" si="201"/>
        <v>0</v>
      </c>
      <c r="M1594" s="5">
        <f t="shared" si="202"/>
        <v>1</v>
      </c>
      <c r="N1594" s="5">
        <f t="shared" si="203"/>
        <v>0</v>
      </c>
    </row>
    <row r="1595" spans="1:14" x14ac:dyDescent="0.25">
      <c r="A1595" t="s">
        <v>137</v>
      </c>
      <c r="B1595">
        <v>2023</v>
      </c>
      <c r="C1595" s="7">
        <f>'1_Du_lieu'!V429</f>
        <v>2.917770732084279</v>
      </c>
      <c r="D1595" s="9">
        <f>'1_Du_lieu'!W429</f>
        <v>4.28496492183075</v>
      </c>
      <c r="E1595" s="9">
        <f>'1_Du_lieu'!L429</f>
        <v>4.4429999999999996</v>
      </c>
      <c r="F1595" s="9">
        <f>'1_Du_lieu'!M429</f>
        <v>27.71</v>
      </c>
      <c r="G1595" s="9">
        <f>'1_Du_lieu'!N429</f>
        <v>27.6</v>
      </c>
      <c r="H1595" s="9">
        <f>'1_Du_lieu'!X429</f>
        <v>2.8583173541466627</v>
      </c>
      <c r="I1595" s="9">
        <f>'1_Du_lieu'!T429</f>
        <v>0.77550474662388025</v>
      </c>
      <c r="J1595" s="9">
        <f>'1_Du_lieu'!Y429</f>
        <v>8.302959826231783</v>
      </c>
      <c r="K1595" s="9">
        <f>'1_Du_lieu'!O429</f>
        <v>16.2</v>
      </c>
      <c r="L1595" s="5">
        <f t="shared" si="201"/>
        <v>0</v>
      </c>
      <c r="M1595" s="5">
        <f t="shared" si="202"/>
        <v>1</v>
      </c>
      <c r="N1595" s="5">
        <f t="shared" si="203"/>
        <v>0</v>
      </c>
    </row>
    <row r="1596" spans="1:14" x14ac:dyDescent="0.25">
      <c r="A1596" t="s">
        <v>138</v>
      </c>
      <c r="B1596">
        <v>2023</v>
      </c>
      <c r="C1596" s="7">
        <f>'1_Du_lieu'!V430</f>
        <v>2.7343675094195836</v>
      </c>
      <c r="D1596" s="9">
        <f>'1_Du_lieu'!W430</f>
        <v>4.1367652781060524</v>
      </c>
      <c r="E1596" s="9">
        <f>'1_Du_lieu'!L430</f>
        <v>3.44</v>
      </c>
      <c r="F1596" s="9">
        <f>'1_Du_lieu'!M430</f>
        <v>11.78</v>
      </c>
      <c r="G1596" s="9">
        <f>'1_Du_lieu'!N430</f>
        <v>22.9</v>
      </c>
      <c r="H1596" s="9">
        <f>'1_Du_lieu'!X430</f>
        <v>1.9910358300052735</v>
      </c>
      <c r="I1596" s="9">
        <f>'1_Du_lieu'!T430</f>
        <v>0.90315040110503109</v>
      </c>
      <c r="J1596" s="9">
        <f>'1_Du_lieu'!Y430</f>
        <v>7.8277192562225881</v>
      </c>
      <c r="K1596" s="9">
        <f>'1_Du_lieu'!O430</f>
        <v>22</v>
      </c>
      <c r="L1596" s="5">
        <f t="shared" si="201"/>
        <v>0</v>
      </c>
      <c r="M1596" s="5">
        <f t="shared" si="202"/>
        <v>1</v>
      </c>
      <c r="N1596" s="5">
        <f t="shared" si="203"/>
        <v>0</v>
      </c>
    </row>
    <row r="1597" spans="1:14" x14ac:dyDescent="0.25">
      <c r="A1597" t="s">
        <v>139</v>
      </c>
      <c r="B1597">
        <v>2023</v>
      </c>
      <c r="C1597" s="7">
        <f>'1_Du_lieu'!V431</f>
        <v>2.8390784635086144</v>
      </c>
      <c r="D1597" s="9">
        <f>'1_Du_lieu'!W431</f>
        <v>4.7041101338429954</v>
      </c>
      <c r="E1597" s="9">
        <f>'1_Du_lieu'!L431</f>
        <v>4.2539999999999996</v>
      </c>
      <c r="F1597" s="9">
        <f>'1_Du_lieu'!M431</f>
        <v>40.65</v>
      </c>
      <c r="G1597" s="9">
        <f>'1_Du_lieu'!N431</f>
        <v>36.6</v>
      </c>
      <c r="H1597" s="9">
        <f>'1_Du_lieu'!X431</f>
        <v>3.7041660015095488</v>
      </c>
      <c r="I1597" s="9">
        <f>'1_Du_lieu'!T431</f>
        <v>1.2589794860401393</v>
      </c>
      <c r="J1597" s="9">
        <f>'1_Du_lieu'!Y431</f>
        <v>8.9949045397301752</v>
      </c>
      <c r="K1597" s="9">
        <f>'1_Du_lieu'!O431</f>
        <v>28.2</v>
      </c>
      <c r="L1597" s="5">
        <f t="shared" si="201"/>
        <v>0</v>
      </c>
      <c r="M1597" s="5">
        <f t="shared" si="202"/>
        <v>1</v>
      </c>
      <c r="N1597" s="5">
        <f t="shared" si="203"/>
        <v>0</v>
      </c>
    </row>
    <row r="1598" spans="1:14" x14ac:dyDescent="0.25">
      <c r="A1598" t="s">
        <v>141</v>
      </c>
      <c r="B1598">
        <v>2023</v>
      </c>
      <c r="C1598" s="7">
        <f>'1_Du_lieu'!V433</f>
        <v>2.5176964726109912</v>
      </c>
      <c r="D1598" s="9">
        <f>'1_Du_lieu'!W433</f>
        <v>4.2355547307736243</v>
      </c>
      <c r="E1598" s="9">
        <f>'1_Du_lieu'!L433</f>
        <v>3.2749999999999999</v>
      </c>
      <c r="F1598" s="9">
        <f>'1_Du_lieu'!M433</f>
        <v>15.28</v>
      </c>
      <c r="G1598" s="9">
        <f>'1_Du_lieu'!N433</f>
        <v>14.2</v>
      </c>
      <c r="H1598" s="9">
        <f>'1_Du_lieu'!X433</f>
        <v>0.53717991903893936</v>
      </c>
      <c r="I1598" s="9">
        <f>'1_Du_lieu'!T433</f>
        <v>0.94934941642932924</v>
      </c>
      <c r="J1598" s="9">
        <f>'1_Du_lieu'!Y433</f>
        <v>7.3317804126112112</v>
      </c>
      <c r="K1598" s="9">
        <f>'1_Du_lieu'!O433</f>
        <v>14.7</v>
      </c>
      <c r="L1598" s="5">
        <f t="shared" si="201"/>
        <v>0</v>
      </c>
      <c r="M1598" s="5">
        <f t="shared" si="202"/>
        <v>1</v>
      </c>
      <c r="N1598" s="5">
        <f t="shared" si="203"/>
        <v>0</v>
      </c>
    </row>
    <row r="1599" spans="1:14" x14ac:dyDescent="0.25">
      <c r="A1599" t="s">
        <v>142</v>
      </c>
      <c r="B1599">
        <v>2023</v>
      </c>
      <c r="C1599" s="7">
        <f>'1_Du_lieu'!V434</f>
        <v>2.4159137783010487</v>
      </c>
      <c r="D1599" s="9">
        <f>'1_Du_lieu'!W434</f>
        <v>4.4115854369154262</v>
      </c>
      <c r="E1599" s="9">
        <f>'1_Du_lieu'!L434</f>
        <v>2.7429999999999999</v>
      </c>
      <c r="F1599" s="9">
        <f>'1_Du_lieu'!M434</f>
        <v>18.329999999999998</v>
      </c>
      <c r="G1599" s="9">
        <f>'1_Du_lieu'!N434</f>
        <v>16.8</v>
      </c>
      <c r="H1599" s="9">
        <f>'1_Du_lieu'!X434</f>
        <v>1.8352487534496564</v>
      </c>
      <c r="I1599" s="9">
        <f>'1_Du_lieu'!T434</f>
        <v>0.8824394548485146</v>
      </c>
      <c r="J1599" s="9">
        <f>'1_Du_lieu'!Y434</f>
        <v>8.0516595568419529</v>
      </c>
      <c r="K1599" s="9">
        <f>'1_Du_lieu'!O434</f>
        <v>7.4</v>
      </c>
      <c r="L1599" s="5">
        <f t="shared" si="201"/>
        <v>0</v>
      </c>
      <c r="M1599" s="5">
        <f t="shared" si="202"/>
        <v>1</v>
      </c>
      <c r="N1599" s="5">
        <f t="shared" si="203"/>
        <v>0</v>
      </c>
    </row>
    <row r="1600" spans="1:14" x14ac:dyDescent="0.25">
      <c r="A1600" t="s">
        <v>143</v>
      </c>
      <c r="B1600">
        <v>2023</v>
      </c>
      <c r="C1600" s="7">
        <f>'1_Du_lieu'!V435</f>
        <v>2.5416019934645457</v>
      </c>
      <c r="D1600" s="9">
        <f>'1_Du_lieu'!W435</f>
        <v>3.9852734671677386</v>
      </c>
      <c r="E1600" s="9">
        <f>'1_Du_lieu'!L435</f>
        <v>2.3149999999999999</v>
      </c>
      <c r="F1600" s="9">
        <f>'1_Du_lieu'!M435</f>
        <v>15.12</v>
      </c>
      <c r="G1600" s="9">
        <f>'1_Du_lieu'!N435</f>
        <v>21.8</v>
      </c>
      <c r="H1600" s="9">
        <f>'1_Du_lieu'!X435</f>
        <v>3.3430375540206008</v>
      </c>
      <c r="I1600" s="9">
        <f>'1_Du_lieu'!T435</f>
        <v>0.73873430189608469</v>
      </c>
      <c r="J1600" s="9">
        <f>'1_Du_lieu'!Y435</f>
        <v>5.6517871795378207</v>
      </c>
      <c r="K1600" s="9">
        <f>'1_Du_lieu'!O435</f>
        <v>12.6</v>
      </c>
      <c r="L1600" s="5">
        <f t="shared" si="201"/>
        <v>0</v>
      </c>
      <c r="M1600" s="5">
        <f t="shared" si="202"/>
        <v>1</v>
      </c>
      <c r="N1600" s="5">
        <f t="shared" si="203"/>
        <v>0</v>
      </c>
    </row>
    <row r="1601" spans="1:14" x14ac:dyDescent="0.25">
      <c r="A1601" t="s">
        <v>144</v>
      </c>
      <c r="B1601">
        <v>2023</v>
      </c>
      <c r="C1601" s="7">
        <f>'1_Du_lieu'!V436</f>
        <v>2.6810215287142909</v>
      </c>
      <c r="D1601" s="9">
        <f>'1_Du_lieu'!W436</f>
        <v>4.5347477216915459</v>
      </c>
      <c r="E1601" s="9">
        <f>'1_Du_lieu'!L436</f>
        <v>4.3029999999999999</v>
      </c>
      <c r="F1601" s="9">
        <f>'1_Du_lieu'!M436</f>
        <v>32.57</v>
      </c>
      <c r="G1601" s="9">
        <f>'1_Du_lieu'!N436</f>
        <v>18.2</v>
      </c>
      <c r="H1601" s="9">
        <f>'1_Du_lieu'!X436</f>
        <v>2.7450291859298734</v>
      </c>
      <c r="I1601" s="9">
        <f>'1_Du_lieu'!T436</f>
        <v>1.2553351744915893</v>
      </c>
      <c r="J1601" s="9">
        <f>'1_Du_lieu'!Y436</f>
        <v>9.0023070834663255</v>
      </c>
      <c r="K1601" s="9">
        <f>'1_Du_lieu'!O436</f>
        <v>17.3</v>
      </c>
      <c r="L1601" s="5">
        <f t="shared" si="201"/>
        <v>0</v>
      </c>
      <c r="M1601" s="5">
        <f t="shared" si="202"/>
        <v>1</v>
      </c>
      <c r="N1601" s="5">
        <f t="shared" si="203"/>
        <v>0</v>
      </c>
    </row>
    <row r="1602" spans="1:14" x14ac:dyDescent="0.25">
      <c r="A1602" t="s">
        <v>145</v>
      </c>
      <c r="B1602">
        <v>2023</v>
      </c>
      <c r="C1602" s="7">
        <f>'1_Du_lieu'!V437</f>
        <v>2.3702437414678603</v>
      </c>
      <c r="D1602" s="9">
        <f>'1_Du_lieu'!W437</f>
        <v>4.2931954209672663</v>
      </c>
      <c r="E1602" s="9">
        <f>'1_Du_lieu'!L437</f>
        <v>2.968</v>
      </c>
      <c r="F1602" s="9">
        <f>'1_Du_lieu'!M437</f>
        <v>22.87</v>
      </c>
      <c r="G1602" s="9">
        <f>'1_Du_lieu'!N437</f>
        <v>15.9</v>
      </c>
      <c r="H1602" s="9">
        <f>'1_Du_lieu'!X437</f>
        <v>0.6333113889492803</v>
      </c>
      <c r="I1602" s="9">
        <f>'1_Du_lieu'!T437</f>
        <v>0.67987567987567987</v>
      </c>
      <c r="J1602" s="9">
        <f>'1_Du_lieu'!Y437</f>
        <v>6.9693206346402921</v>
      </c>
      <c r="K1602" s="9">
        <f>'1_Du_lieu'!O437</f>
        <v>20.8</v>
      </c>
      <c r="L1602" s="5">
        <f t="shared" si="201"/>
        <v>0</v>
      </c>
      <c r="M1602" s="5">
        <f t="shared" si="202"/>
        <v>1</v>
      </c>
      <c r="N1602" s="5">
        <f t="shared" si="203"/>
        <v>0</v>
      </c>
    </row>
    <row r="1603" spans="1:14" x14ac:dyDescent="0.25">
      <c r="A1603" t="s">
        <v>146</v>
      </c>
      <c r="B1603">
        <v>2023</v>
      </c>
      <c r="C1603" s="7">
        <f>'1_Du_lieu'!V438</f>
        <v>2.9755295662364718</v>
      </c>
      <c r="D1603" s="9">
        <f>'1_Du_lieu'!W438</f>
        <v>4.8652240913223981</v>
      </c>
      <c r="E1603" s="9">
        <f>'1_Du_lieu'!L438</f>
        <v>8.0709999999999997</v>
      </c>
      <c r="F1603" s="9">
        <f>'1_Du_lieu'!M438</f>
        <v>33.93</v>
      </c>
      <c r="G1603" s="9">
        <f>'1_Du_lieu'!N438</f>
        <v>35.799999999999997</v>
      </c>
      <c r="H1603" s="9">
        <f>'1_Du_lieu'!X438</f>
        <v>3.0987317940675676</v>
      </c>
      <c r="I1603" s="9">
        <f>'1_Du_lieu'!T438</f>
        <v>0.7430033847931975</v>
      </c>
      <c r="J1603" s="9">
        <f>'1_Du_lieu'!Y438</f>
        <v>8.6696739061991703</v>
      </c>
      <c r="K1603" s="9">
        <f>'1_Du_lieu'!O438</f>
        <v>33.9</v>
      </c>
      <c r="L1603" s="5">
        <f t="shared" si="201"/>
        <v>0</v>
      </c>
      <c r="M1603" s="5">
        <f t="shared" si="202"/>
        <v>1</v>
      </c>
      <c r="N1603" s="5">
        <f t="shared" si="203"/>
        <v>0</v>
      </c>
    </row>
    <row r="1604" spans="1:14" x14ac:dyDescent="0.25">
      <c r="A1604" t="s">
        <v>147</v>
      </c>
      <c r="B1604">
        <v>2023</v>
      </c>
      <c r="C1604" s="7">
        <f>'1_Du_lieu'!V439</f>
        <v>2.5877640352277083</v>
      </c>
      <c r="D1604" s="9">
        <f>'1_Du_lieu'!W439</f>
        <v>3.9140210080908191</v>
      </c>
      <c r="E1604" s="9">
        <f>'1_Du_lieu'!L439</f>
        <v>2.56</v>
      </c>
      <c r="F1604" s="9">
        <f>'1_Du_lieu'!M439</f>
        <v>20.95</v>
      </c>
      <c r="G1604" s="9">
        <f>'1_Du_lieu'!N439</f>
        <v>23.2</v>
      </c>
      <c r="H1604" s="9">
        <f>'1_Du_lieu'!X439</f>
        <v>2.758077157298735</v>
      </c>
      <c r="I1604" s="9">
        <f>'1_Du_lieu'!T439</f>
        <v>0.23378141437755698</v>
      </c>
      <c r="J1604" s="9">
        <f>'1_Du_lieu'!Y439</f>
        <v>5.7104270173748697</v>
      </c>
      <c r="K1604" s="9">
        <f>'1_Du_lieu'!O439</f>
        <v>18.2</v>
      </c>
      <c r="L1604" s="5">
        <f t="shared" si="201"/>
        <v>0</v>
      </c>
      <c r="M1604" s="5">
        <f t="shared" si="202"/>
        <v>1</v>
      </c>
      <c r="N1604" s="5">
        <f t="shared" si="203"/>
        <v>0</v>
      </c>
    </row>
    <row r="1605" spans="1:14" x14ac:dyDescent="0.25">
      <c r="A1605" t="s">
        <v>149</v>
      </c>
      <c r="B1605">
        <v>2023</v>
      </c>
      <c r="C1605" s="7">
        <f>'1_Du_lieu'!V441</f>
        <v>3.6763006719070761</v>
      </c>
      <c r="D1605" s="9">
        <f>'1_Du_lieu'!W441</f>
        <v>4.6849051540069446</v>
      </c>
      <c r="E1605" s="9">
        <f>'1_Du_lieu'!L441</f>
        <v>20.716999999999999</v>
      </c>
      <c r="F1605" s="9">
        <f>'1_Du_lieu'!M441</f>
        <v>87.64</v>
      </c>
      <c r="G1605" s="9">
        <f>'1_Du_lieu'!N441</f>
        <v>49.7</v>
      </c>
      <c r="H1605" s="9">
        <f>'1_Du_lieu'!X441</f>
        <v>3.6083664972247567</v>
      </c>
      <c r="I1605" s="9">
        <f>'1_Du_lieu'!T441</f>
        <v>6.4246707356247992</v>
      </c>
      <c r="J1605" s="9">
        <f>'1_Du_lieu'!Y441</f>
        <v>8.5604250798082386</v>
      </c>
      <c r="K1605" s="9">
        <f>'1_Du_lieu'!O441</f>
        <v>53.4</v>
      </c>
      <c r="L1605" s="5">
        <f t="shared" si="201"/>
        <v>0</v>
      </c>
      <c r="M1605" s="5">
        <f t="shared" si="202"/>
        <v>1</v>
      </c>
      <c r="N1605" s="5">
        <f t="shared" si="203"/>
        <v>0</v>
      </c>
    </row>
    <row r="1606" spans="1:14" x14ac:dyDescent="0.25">
      <c r="A1606" t="s">
        <v>150</v>
      </c>
      <c r="B1606">
        <v>2023</v>
      </c>
      <c r="C1606" s="7">
        <f>'1_Du_lieu'!V442</f>
        <v>2.9338568698359038</v>
      </c>
      <c r="D1606" s="9">
        <f>'1_Du_lieu'!W442</f>
        <v>4.1026433650367959</v>
      </c>
      <c r="E1606" s="9">
        <f>'1_Du_lieu'!L442</f>
        <v>4.016</v>
      </c>
      <c r="F1606" s="9">
        <f>'1_Du_lieu'!M442</f>
        <v>26.01</v>
      </c>
      <c r="G1606" s="9">
        <f>'1_Du_lieu'!N442</f>
        <v>18.3</v>
      </c>
      <c r="H1606" s="9">
        <f>'1_Du_lieu'!X442</f>
        <v>2.5524177094632949</v>
      </c>
      <c r="I1606" s="9">
        <f>'1_Du_lieu'!T442</f>
        <v>0.56950556562257315</v>
      </c>
      <c r="J1606" s="9">
        <f>'1_Du_lieu'!Y442</f>
        <v>5.9050893313612365</v>
      </c>
      <c r="K1606" s="9">
        <f>'1_Du_lieu'!O442</f>
        <v>18.7</v>
      </c>
      <c r="L1606" s="5">
        <f t="shared" si="201"/>
        <v>0</v>
      </c>
      <c r="M1606" s="5">
        <f t="shared" si="202"/>
        <v>1</v>
      </c>
      <c r="N1606" s="5">
        <f t="shared" si="203"/>
        <v>0</v>
      </c>
    </row>
    <row r="1607" spans="1:14" x14ac:dyDescent="0.25">
      <c r="A1607" t="s">
        <v>151</v>
      </c>
      <c r="B1607">
        <v>2023</v>
      </c>
      <c r="C1607" s="7">
        <f>'1_Du_lieu'!V443</f>
        <v>2.3608540011180215</v>
      </c>
      <c r="D1607" s="9">
        <f>'1_Du_lieu'!W443</f>
        <v>4.180522258463153</v>
      </c>
      <c r="E1607" s="9">
        <f>'1_Du_lieu'!L443</f>
        <v>3.883</v>
      </c>
      <c r="F1607" s="9">
        <f>'1_Du_lieu'!M443</f>
        <v>16.940000000000001</v>
      </c>
      <c r="G1607" s="9">
        <f>'1_Du_lieu'!N443</f>
        <v>16.7</v>
      </c>
      <c r="H1607" s="9">
        <f>'1_Du_lieu'!X443</f>
        <v>1.2401345948674423</v>
      </c>
      <c r="I1607" s="9">
        <f>'1_Du_lieu'!T443</f>
        <v>0.43994720633523976</v>
      </c>
      <c r="J1607" s="9">
        <f>'1_Du_lieu'!Y443</f>
        <v>6.1277421654005302</v>
      </c>
      <c r="K1607" s="9">
        <f>'1_Du_lieu'!O443</f>
        <v>21.1</v>
      </c>
      <c r="L1607" s="5">
        <f t="shared" si="201"/>
        <v>0</v>
      </c>
      <c r="M1607" s="5">
        <f t="shared" si="202"/>
        <v>1</v>
      </c>
      <c r="N1607" s="5">
        <f t="shared" si="203"/>
        <v>0</v>
      </c>
    </row>
    <row r="1608" spans="1:14" x14ac:dyDescent="0.25">
      <c r="A1608" t="s">
        <v>152</v>
      </c>
      <c r="B1608">
        <v>2023</v>
      </c>
      <c r="C1608" s="7">
        <f>'1_Du_lieu'!V444</f>
        <v>3.2542429687054919</v>
      </c>
      <c r="D1608" s="9">
        <f>'1_Du_lieu'!W444</f>
        <v>4.8895969657191998</v>
      </c>
      <c r="E1608" s="9">
        <f>'1_Du_lieu'!L444</f>
        <v>8.048</v>
      </c>
      <c r="F1608" s="9">
        <f>'1_Du_lieu'!M444</f>
        <v>45.26</v>
      </c>
      <c r="G1608" s="9">
        <f>'1_Du_lieu'!N444</f>
        <v>22.8</v>
      </c>
      <c r="H1608" s="9">
        <f>'1_Du_lieu'!X444</f>
        <v>2.9083693785797728</v>
      </c>
      <c r="I1608" s="9">
        <f>'1_Du_lieu'!T444</f>
        <v>0.5436588238847444</v>
      </c>
      <c r="J1608" s="9">
        <f>'1_Du_lieu'!Y444</f>
        <v>9.2919295755159954</v>
      </c>
      <c r="K1608" s="9">
        <f>'1_Du_lieu'!O444</f>
        <v>28.4</v>
      </c>
      <c r="L1608" s="5">
        <f t="shared" si="201"/>
        <v>0</v>
      </c>
      <c r="M1608" s="5">
        <f t="shared" si="202"/>
        <v>1</v>
      </c>
      <c r="N1608" s="5">
        <f t="shared" si="203"/>
        <v>0</v>
      </c>
    </row>
    <row r="1609" spans="1:14" x14ac:dyDescent="0.25">
      <c r="A1609" t="s">
        <v>153</v>
      </c>
      <c r="B1609">
        <v>2023</v>
      </c>
      <c r="C1609" s="7">
        <f>'1_Du_lieu'!V445</f>
        <v>2.7536607123542622</v>
      </c>
      <c r="D1609" s="9">
        <f>'1_Du_lieu'!W445</f>
        <v>4.2312037449392976</v>
      </c>
      <c r="E1609" s="9">
        <f>'1_Du_lieu'!L445</f>
        <v>2.605</v>
      </c>
      <c r="F1609" s="9">
        <f>'1_Du_lieu'!M445</f>
        <v>20.36</v>
      </c>
      <c r="G1609" s="9">
        <f>'1_Du_lieu'!N445</f>
        <v>14.6</v>
      </c>
      <c r="H1609" s="9">
        <f>'1_Du_lieu'!X445</f>
        <v>0.85303955406626408</v>
      </c>
      <c r="I1609" s="9">
        <f>'1_Du_lieu'!T445</f>
        <v>0.68741407324084491</v>
      </c>
      <c r="J1609" s="9">
        <f>'1_Du_lieu'!Y445</f>
        <v>4.9815497132011588</v>
      </c>
      <c r="K1609" s="9">
        <f>'1_Du_lieu'!O445</f>
        <v>14.6</v>
      </c>
      <c r="L1609" s="5">
        <f t="shared" si="201"/>
        <v>0</v>
      </c>
      <c r="M1609" s="5">
        <f t="shared" si="202"/>
        <v>1</v>
      </c>
      <c r="N1609" s="5">
        <f t="shared" si="203"/>
        <v>0</v>
      </c>
    </row>
    <row r="1610" spans="1:14" x14ac:dyDescent="0.25">
      <c r="A1610" t="s">
        <v>85</v>
      </c>
      <c r="B1610">
        <v>2024</v>
      </c>
      <c r="C1610" s="7">
        <f>'1_Du_lieu'!V446</f>
        <v>2.7725887222397811</v>
      </c>
      <c r="D1610" s="9">
        <f>'1_Du_lieu'!W446</f>
        <v>4.1896547420264252</v>
      </c>
      <c r="E1610" s="9">
        <f>'1_Du_lieu'!L446</f>
        <v>2.7749999999999999</v>
      </c>
      <c r="F1610" s="9">
        <f>'1_Du_lieu'!M446</f>
        <v>36.94</v>
      </c>
      <c r="G1610" s="9">
        <f>'1_Du_lieu'!N446</f>
        <v>16.2</v>
      </c>
      <c r="H1610" s="9">
        <f>'1_Du_lieu'!X446</f>
        <v>1.9679463726137187</v>
      </c>
      <c r="I1610" s="9">
        <f>'1_Du_lieu'!T446</f>
        <v>0.52284847851092753</v>
      </c>
      <c r="J1610" s="9">
        <f>'1_Du_lieu'!Y446</f>
        <v>4.9537121466966347</v>
      </c>
      <c r="K1610" s="9">
        <f>'1_Du_lieu'!O446</f>
        <v>13.6</v>
      </c>
      <c r="L1610" s="5">
        <f t="shared" si="201"/>
        <v>0</v>
      </c>
      <c r="M1610" s="5">
        <f t="shared" si="202"/>
        <v>0</v>
      </c>
      <c r="N1610" s="5">
        <f t="shared" si="203"/>
        <v>1</v>
      </c>
    </row>
    <row r="1611" spans="1:14" x14ac:dyDescent="0.25">
      <c r="A1611" t="s">
        <v>87</v>
      </c>
      <c r="B1611">
        <v>2024</v>
      </c>
      <c r="C1611" s="7">
        <f>'1_Du_lieu'!V447</f>
        <v>3.3322045101752038</v>
      </c>
      <c r="D1611" s="9">
        <f>'1_Du_lieu'!W447</f>
        <v>5.8260001073804499</v>
      </c>
      <c r="E1611" s="9">
        <f>'1_Du_lieu'!L447</f>
        <v>10.509</v>
      </c>
      <c r="F1611" s="9">
        <f>'1_Du_lieu'!M447</f>
        <v>62.1</v>
      </c>
      <c r="G1611" s="9">
        <f>'1_Du_lieu'!N447</f>
        <v>30.1</v>
      </c>
      <c r="H1611" s="9">
        <f>'1_Du_lieu'!X447</f>
        <v>2.174610926525149</v>
      </c>
      <c r="I1611" s="9">
        <f>'1_Du_lieu'!T447</f>
        <v>1.5067805123053744</v>
      </c>
      <c r="J1611" s="9">
        <f>'1_Du_lieu'!Y447</f>
        <v>10.327038128190678</v>
      </c>
      <c r="K1611" s="9">
        <f>'1_Du_lieu'!O447</f>
        <v>22.2</v>
      </c>
      <c r="L1611" s="5">
        <f t="shared" si="201"/>
        <v>0</v>
      </c>
      <c r="M1611" s="5">
        <f t="shared" si="202"/>
        <v>0</v>
      </c>
      <c r="N1611" s="5">
        <f t="shared" si="203"/>
        <v>1</v>
      </c>
    </row>
    <row r="1612" spans="1:14" x14ac:dyDescent="0.25">
      <c r="A1612" t="s">
        <v>89</v>
      </c>
      <c r="B1612">
        <v>2024</v>
      </c>
      <c r="C1612" s="7">
        <f>'1_Du_lieu'!V448</f>
        <v>3.9318256327243257</v>
      </c>
      <c r="D1612" s="9">
        <f>'1_Du_lieu'!W448</f>
        <v>5.1772790381709806</v>
      </c>
      <c r="E1612" s="9">
        <f>'1_Du_lieu'!L448</f>
        <v>15.816000000000001</v>
      </c>
      <c r="F1612" s="9">
        <f>'1_Du_lieu'!M448</f>
        <v>85.85</v>
      </c>
      <c r="G1612" s="9">
        <f>'1_Du_lieu'!N448</f>
        <v>23.8</v>
      </c>
      <c r="H1612" s="9">
        <f>'1_Du_lieu'!X448</f>
        <v>3.3653395022314503</v>
      </c>
      <c r="I1612" s="9">
        <f>'1_Du_lieu'!T448</f>
        <v>0.80122622448268666</v>
      </c>
      <c r="J1612" s="9">
        <f>'1_Du_lieu'!Y448</f>
        <v>9.6024162429653313</v>
      </c>
      <c r="K1612" s="9">
        <f>'1_Du_lieu'!O448</f>
        <v>19.899999999999999</v>
      </c>
      <c r="L1612" s="5">
        <f t="shared" si="201"/>
        <v>0</v>
      </c>
      <c r="M1612" s="5">
        <f t="shared" si="202"/>
        <v>0</v>
      </c>
      <c r="N1612" s="5">
        <f t="shared" si="203"/>
        <v>1</v>
      </c>
    </row>
    <row r="1613" spans="1:14" x14ac:dyDescent="0.25">
      <c r="A1613" t="s">
        <v>90</v>
      </c>
      <c r="B1613">
        <v>2024</v>
      </c>
      <c r="C1613" s="7">
        <f>'1_Du_lieu'!V449</f>
        <v>2.7725887222397811</v>
      </c>
      <c r="D1613" s="9">
        <f>'1_Du_lieu'!W449</f>
        <v>4.678420647727684</v>
      </c>
      <c r="E1613" s="9">
        <f>'1_Du_lieu'!L449</f>
        <v>6.6920000000000002</v>
      </c>
      <c r="F1613" s="9">
        <f>'1_Du_lieu'!M449</f>
        <v>29.45</v>
      </c>
      <c r="G1613" s="9">
        <f>'1_Du_lieu'!N449</f>
        <v>21.6</v>
      </c>
      <c r="H1613" s="9">
        <f>'1_Du_lieu'!X449</f>
        <v>1.3767887209846028</v>
      </c>
      <c r="I1613" s="9">
        <f>'1_Du_lieu'!T449</f>
        <v>1.0354890332297844</v>
      </c>
      <c r="J1613" s="9">
        <f>'1_Du_lieu'!Y449</f>
        <v>8.5243673951642371</v>
      </c>
      <c r="K1613" s="9">
        <f>'1_Du_lieu'!O449</f>
        <v>20.6</v>
      </c>
      <c r="L1613" s="5">
        <f t="shared" si="201"/>
        <v>0</v>
      </c>
      <c r="M1613" s="5">
        <f t="shared" si="202"/>
        <v>0</v>
      </c>
      <c r="N1613" s="5">
        <f t="shared" si="203"/>
        <v>1</v>
      </c>
    </row>
    <row r="1614" spans="1:14" x14ac:dyDescent="0.25">
      <c r="A1614" t="s">
        <v>91</v>
      </c>
      <c r="B1614">
        <v>2024</v>
      </c>
      <c r="C1614" s="7">
        <f>'1_Du_lieu'!V450</f>
        <v>2.9957322735539909</v>
      </c>
      <c r="D1614" s="9">
        <f>'1_Du_lieu'!W450</f>
        <v>4.5217885770490405</v>
      </c>
      <c r="E1614" s="9">
        <f>'1_Du_lieu'!L450</f>
        <v>4.6929999999999996</v>
      </c>
      <c r="F1614" s="9">
        <f>'1_Du_lieu'!M450</f>
        <v>38.6</v>
      </c>
      <c r="G1614" s="9">
        <f>'1_Du_lieu'!N450</f>
        <v>21.4</v>
      </c>
      <c r="H1614" s="9">
        <f>'1_Du_lieu'!X450</f>
        <v>1.7739907853339476</v>
      </c>
      <c r="I1614" s="9">
        <f>'1_Du_lieu'!T450</f>
        <v>0.39488232506712995</v>
      </c>
      <c r="J1614" s="9">
        <f>'1_Du_lieu'!Y450</f>
        <v>8.046869510959576</v>
      </c>
      <c r="K1614" s="9">
        <f>'1_Du_lieu'!O450</f>
        <v>11.9</v>
      </c>
      <c r="L1614" s="5">
        <f t="shared" si="201"/>
        <v>0</v>
      </c>
      <c r="M1614" s="5">
        <f t="shared" si="202"/>
        <v>0</v>
      </c>
      <c r="N1614" s="5">
        <f t="shared" si="203"/>
        <v>1</v>
      </c>
    </row>
    <row r="1615" spans="1:14" x14ac:dyDescent="0.25">
      <c r="A1615" t="s">
        <v>93</v>
      </c>
      <c r="B1615">
        <v>2024</v>
      </c>
      <c r="C1615" s="7">
        <f>'1_Du_lieu'!V451</f>
        <v>3.044522437723423</v>
      </c>
      <c r="D1615" s="9">
        <f>'1_Du_lieu'!W451</f>
        <v>4.4461744544976334</v>
      </c>
      <c r="E1615" s="9">
        <f>'1_Du_lieu'!L451</f>
        <v>5.5460000000000003</v>
      </c>
      <c r="F1615" s="9">
        <f>'1_Du_lieu'!M451</f>
        <v>41.34</v>
      </c>
      <c r="G1615" s="9">
        <f>'1_Du_lieu'!N451</f>
        <v>26.1</v>
      </c>
      <c r="H1615" s="9">
        <f>'1_Du_lieu'!X451</f>
        <v>3.1665151187207949</v>
      </c>
      <c r="I1615" s="9">
        <f>'1_Du_lieu'!T451</f>
        <v>0.8561080013170892</v>
      </c>
      <c r="J1615" s="9">
        <f>'1_Du_lieu'!Y451</f>
        <v>6.7389815347334512</v>
      </c>
      <c r="K1615" s="9">
        <f>'1_Du_lieu'!O451</f>
        <v>18.399999999999999</v>
      </c>
      <c r="L1615" s="5">
        <f t="shared" si="201"/>
        <v>0</v>
      </c>
      <c r="M1615" s="5">
        <f t="shared" si="202"/>
        <v>0</v>
      </c>
      <c r="N1615" s="5">
        <f t="shared" si="203"/>
        <v>1</v>
      </c>
    </row>
    <row r="1616" spans="1:14" x14ac:dyDescent="0.25">
      <c r="A1616" t="s">
        <v>94</v>
      </c>
      <c r="B1616">
        <v>2024</v>
      </c>
      <c r="C1616" s="7">
        <f>'1_Du_lieu'!V452</f>
        <v>2.6390573296152584</v>
      </c>
      <c r="D1616" s="9">
        <f>'1_Du_lieu'!W452</f>
        <v>4.2598590006996737</v>
      </c>
      <c r="E1616" s="9">
        <f>'1_Du_lieu'!L452</f>
        <v>2.4630000000000001</v>
      </c>
      <c r="F1616" s="9">
        <f>'1_Du_lieu'!M452</f>
        <v>27.77</v>
      </c>
      <c r="G1616" s="9">
        <f>'1_Du_lieu'!N452</f>
        <v>14.3</v>
      </c>
      <c r="H1616" s="9">
        <f>'1_Du_lieu'!X452</f>
        <v>1.4155802736934249</v>
      </c>
      <c r="I1616" s="9">
        <f>'1_Du_lieu'!T452</f>
        <v>1.5074835791967267</v>
      </c>
      <c r="J1616" s="9">
        <f>'1_Du_lieu'!Y452</f>
        <v>8.5289834127907138</v>
      </c>
      <c r="K1616" s="9">
        <f>'1_Du_lieu'!O452</f>
        <v>12.3</v>
      </c>
      <c r="L1616" s="5">
        <f t="shared" si="201"/>
        <v>0</v>
      </c>
      <c r="M1616" s="5">
        <f t="shared" si="202"/>
        <v>0</v>
      </c>
      <c r="N1616" s="5">
        <f t="shared" si="203"/>
        <v>1</v>
      </c>
    </row>
    <row r="1617" spans="1:14" x14ac:dyDescent="0.25">
      <c r="A1617" t="s">
        <v>95</v>
      </c>
      <c r="B1617">
        <v>2024</v>
      </c>
      <c r="C1617" s="7">
        <f>'1_Du_lieu'!V453</f>
        <v>3.0910424533583161</v>
      </c>
      <c r="D1617" s="9">
        <f>'1_Du_lieu'!W453</f>
        <v>4.6931810633108046</v>
      </c>
      <c r="E1617" s="9">
        <f>'1_Du_lieu'!L453</f>
        <v>4.8220000000000001</v>
      </c>
      <c r="F1617" s="9">
        <f>'1_Du_lieu'!M453</f>
        <v>24.23</v>
      </c>
      <c r="G1617" s="9">
        <f>'1_Du_lieu'!N453</f>
        <v>33.700000000000003</v>
      </c>
      <c r="H1617" s="9">
        <f>'1_Du_lieu'!X453</f>
        <v>3.0169391132682017</v>
      </c>
      <c r="I1617" s="9">
        <f>'1_Du_lieu'!T453</f>
        <v>0.61143381228981963</v>
      </c>
      <c r="J1617" s="9">
        <f>'1_Du_lieu'!Y453</f>
        <v>8.8378118501142797</v>
      </c>
      <c r="K1617" s="9">
        <f>'1_Du_lieu'!O453</f>
        <v>19.3</v>
      </c>
      <c r="L1617" s="5">
        <f t="shared" si="201"/>
        <v>0</v>
      </c>
      <c r="M1617" s="5">
        <f t="shared" si="202"/>
        <v>0</v>
      </c>
      <c r="N1617" s="5">
        <f t="shared" si="203"/>
        <v>1</v>
      </c>
    </row>
    <row r="1618" spans="1:14" x14ac:dyDescent="0.25">
      <c r="A1618" t="s">
        <v>97</v>
      </c>
      <c r="B1618">
        <v>2024</v>
      </c>
      <c r="C1618" s="7">
        <f>'1_Du_lieu'!V454</f>
        <v>2.3978952727983707</v>
      </c>
      <c r="D1618" s="9">
        <f>'1_Du_lieu'!W454</f>
        <v>4.0430512678345503</v>
      </c>
      <c r="E1618" s="9">
        <f>'1_Du_lieu'!L454</f>
        <v>2.3199999999999998</v>
      </c>
      <c r="F1618" s="9">
        <f>'1_Du_lieu'!M454</f>
        <v>24.57</v>
      </c>
      <c r="G1618" s="9">
        <f>'1_Du_lieu'!N454</f>
        <v>29</v>
      </c>
      <c r="H1618" s="9">
        <f>'1_Du_lieu'!X454</f>
        <v>2.8204493552852776</v>
      </c>
      <c r="I1618" s="9">
        <f>'1_Du_lieu'!T454</f>
        <v>0.91102338293349516</v>
      </c>
      <c r="J1618" s="9">
        <f>'1_Du_lieu'!Y454</f>
        <v>4.5900565481780431</v>
      </c>
      <c r="K1618" s="9">
        <f>'1_Du_lieu'!O454</f>
        <v>20.100000000000001</v>
      </c>
      <c r="L1618" s="5">
        <f t="shared" si="201"/>
        <v>0</v>
      </c>
      <c r="M1618" s="5">
        <f t="shared" si="202"/>
        <v>0</v>
      </c>
      <c r="N1618" s="5">
        <f t="shared" si="203"/>
        <v>1</v>
      </c>
    </row>
    <row r="1619" spans="1:14" x14ac:dyDescent="0.25">
      <c r="A1619" t="s">
        <v>98</v>
      </c>
      <c r="B1619">
        <v>2024</v>
      </c>
      <c r="C1619" s="7">
        <f>'1_Du_lieu'!V455</f>
        <v>3.4011973816621555</v>
      </c>
      <c r="D1619" s="9">
        <f>'1_Du_lieu'!W455</f>
        <v>5.0695329353437408</v>
      </c>
      <c r="E1619" s="9">
        <f>'1_Du_lieu'!L455</f>
        <v>11.715999999999999</v>
      </c>
      <c r="F1619" s="9">
        <f>'1_Du_lieu'!M455</f>
        <v>50.94</v>
      </c>
      <c r="G1619" s="9">
        <f>'1_Du_lieu'!N455</f>
        <v>35.9</v>
      </c>
      <c r="H1619" s="9">
        <f>'1_Du_lieu'!X455</f>
        <v>2.8962026782069579</v>
      </c>
      <c r="I1619" s="9">
        <f>'1_Du_lieu'!T455</f>
        <v>1.8750808224492437</v>
      </c>
      <c r="J1619" s="9">
        <f>'1_Du_lieu'!Y455</f>
        <v>9.904681839091948</v>
      </c>
      <c r="K1619" s="9">
        <f>'1_Du_lieu'!O455</f>
        <v>25.8</v>
      </c>
      <c r="L1619" s="5">
        <f t="shared" si="201"/>
        <v>0</v>
      </c>
      <c r="M1619" s="5">
        <f t="shared" si="202"/>
        <v>0</v>
      </c>
      <c r="N1619" s="5">
        <f t="shared" si="203"/>
        <v>1</v>
      </c>
    </row>
    <row r="1620" spans="1:14" x14ac:dyDescent="0.25">
      <c r="A1620" t="s">
        <v>100</v>
      </c>
      <c r="B1620">
        <v>2024</v>
      </c>
      <c r="C1620" s="7">
        <f>'1_Du_lieu'!V456</f>
        <v>2.9444389791664403</v>
      </c>
      <c r="D1620" s="9">
        <f>'1_Du_lieu'!W456</f>
        <v>4.0324691585040133</v>
      </c>
      <c r="E1620" s="9">
        <f>'1_Du_lieu'!L456</f>
        <v>3.0470000000000002</v>
      </c>
      <c r="F1620" s="9">
        <f>'1_Du_lieu'!M456</f>
        <v>13.37</v>
      </c>
      <c r="G1620" s="9">
        <f>'1_Du_lieu'!N456</f>
        <v>13.7</v>
      </c>
      <c r="H1620" s="9">
        <f>'1_Du_lieu'!X456</f>
        <v>1.4972580731896656</v>
      </c>
      <c r="I1620" s="9">
        <f>'1_Du_lieu'!T456</f>
        <v>0.45931256219857614</v>
      </c>
      <c r="J1620" s="9">
        <f>'1_Du_lieu'!Y456</f>
        <v>7.1132235386163387</v>
      </c>
      <c r="K1620" s="9">
        <f>'1_Du_lieu'!O456</f>
        <v>17.899999999999999</v>
      </c>
      <c r="L1620" s="5">
        <f t="shared" si="201"/>
        <v>0</v>
      </c>
      <c r="M1620" s="5">
        <f t="shared" si="202"/>
        <v>0</v>
      </c>
      <c r="N1620" s="5">
        <f t="shared" si="203"/>
        <v>1</v>
      </c>
    </row>
    <row r="1621" spans="1:14" x14ac:dyDescent="0.25">
      <c r="A1621" t="s">
        <v>102</v>
      </c>
      <c r="B1621">
        <v>2024</v>
      </c>
      <c r="C1621" s="7">
        <f>'1_Du_lieu'!V458</f>
        <v>2.7725887222397811</v>
      </c>
      <c r="D1621" s="9">
        <f>'1_Du_lieu'!W458</f>
        <v>4.2682978693455391</v>
      </c>
      <c r="E1621" s="9">
        <f>'1_Du_lieu'!L458</f>
        <v>3.1110000000000002</v>
      </c>
      <c r="F1621" s="9">
        <f>'1_Du_lieu'!M458</f>
        <v>23.51</v>
      </c>
      <c r="G1621" s="9">
        <f>'1_Du_lieu'!N458</f>
        <v>16.399999999999999</v>
      </c>
      <c r="H1621" s="9">
        <f>'1_Du_lieu'!X458</f>
        <v>0.14996939029400611</v>
      </c>
      <c r="I1621" s="9">
        <f>'1_Du_lieu'!T458</f>
        <v>0.57755775577557755</v>
      </c>
      <c r="J1621" s="9">
        <f>'1_Du_lieu'!Y458</f>
        <v>4.9030500834163186</v>
      </c>
      <c r="K1621" s="9">
        <f>'1_Du_lieu'!O458</f>
        <v>12.3</v>
      </c>
      <c r="L1621" s="5">
        <f t="shared" si="201"/>
        <v>0</v>
      </c>
      <c r="M1621" s="5">
        <f t="shared" si="202"/>
        <v>0</v>
      </c>
      <c r="N1621" s="5">
        <f t="shared" si="203"/>
        <v>1</v>
      </c>
    </row>
    <row r="1622" spans="1:14" x14ac:dyDescent="0.25">
      <c r="A1622" t="s">
        <v>103</v>
      </c>
      <c r="B1622">
        <v>2024</v>
      </c>
      <c r="C1622" s="7">
        <f>'1_Du_lieu'!V459</f>
        <v>3.3322045101752038</v>
      </c>
      <c r="D1622" s="9">
        <f>'1_Du_lieu'!W459</f>
        <v>4.6472713620067267</v>
      </c>
      <c r="E1622" s="9">
        <f>'1_Du_lieu'!L459</f>
        <v>8.5429999999999993</v>
      </c>
      <c r="F1622" s="9">
        <f>'1_Du_lieu'!M459</f>
        <v>70.67</v>
      </c>
      <c r="G1622" s="9">
        <f>'1_Du_lieu'!N459</f>
        <v>25.2</v>
      </c>
      <c r="H1622" s="9">
        <f>'1_Du_lieu'!X459</f>
        <v>1.153238075556438</v>
      </c>
      <c r="I1622" s="9">
        <f>'1_Du_lieu'!T459</f>
        <v>1.4154281670205235</v>
      </c>
      <c r="J1622" s="9">
        <f>'1_Du_lieu'!Y459</f>
        <v>7.4655980675111842</v>
      </c>
      <c r="K1622" s="9">
        <f>'1_Du_lieu'!O459</f>
        <v>20.8</v>
      </c>
      <c r="L1622" s="5">
        <f t="shared" si="201"/>
        <v>0</v>
      </c>
      <c r="M1622" s="5">
        <f t="shared" si="202"/>
        <v>0</v>
      </c>
      <c r="N1622" s="5">
        <f t="shared" si="203"/>
        <v>1</v>
      </c>
    </row>
    <row r="1623" spans="1:14" x14ac:dyDescent="0.25">
      <c r="A1623" t="s">
        <v>104</v>
      </c>
      <c r="B1623">
        <v>2024</v>
      </c>
      <c r="C1623" s="7">
        <f>'1_Du_lieu'!V460</f>
        <v>2.7080502011022101</v>
      </c>
      <c r="D1623" s="9">
        <f>'1_Du_lieu'!W460</f>
        <v>4.2002049529215784</v>
      </c>
      <c r="E1623" s="9">
        <f>'1_Du_lieu'!L460</f>
        <v>3.39</v>
      </c>
      <c r="F1623" s="9">
        <f>'1_Du_lieu'!M460</f>
        <v>29.53</v>
      </c>
      <c r="G1623" s="9">
        <f>'1_Du_lieu'!N460</f>
        <v>16.2</v>
      </c>
      <c r="H1623" s="9">
        <f>'1_Du_lieu'!X460</f>
        <v>2.4457426153554831</v>
      </c>
      <c r="I1623" s="9">
        <f>'1_Du_lieu'!T460</f>
        <v>1.8961404367239587</v>
      </c>
      <c r="J1623" s="9">
        <f>'1_Du_lieu'!Y460</f>
        <v>4.0587173845789497</v>
      </c>
      <c r="K1623" s="9">
        <f>'1_Du_lieu'!O460</f>
        <v>11.5</v>
      </c>
      <c r="L1623" s="5">
        <f t="shared" si="201"/>
        <v>0</v>
      </c>
      <c r="M1623" s="5">
        <f t="shared" si="202"/>
        <v>0</v>
      </c>
      <c r="N1623" s="5">
        <f t="shared" si="203"/>
        <v>1</v>
      </c>
    </row>
    <row r="1624" spans="1:14" x14ac:dyDescent="0.25">
      <c r="A1624" t="s">
        <v>107</v>
      </c>
      <c r="B1624">
        <v>2024</v>
      </c>
      <c r="C1624" s="7">
        <f>'1_Du_lieu'!V462</f>
        <v>3.1354942159291497</v>
      </c>
      <c r="D1624" s="9">
        <f>'1_Du_lieu'!W462</f>
        <v>4.677490847567717</v>
      </c>
      <c r="E1624" s="9">
        <f>'1_Du_lieu'!L462</f>
        <v>6.5060000000000002</v>
      </c>
      <c r="F1624" s="9">
        <f>'1_Du_lieu'!M462</f>
        <v>28.74</v>
      </c>
      <c r="G1624" s="9">
        <f>'1_Du_lieu'!N462</f>
        <v>32.299999999999997</v>
      </c>
      <c r="H1624" s="9">
        <f>'1_Du_lieu'!X462</f>
        <v>3.0323602921703454</v>
      </c>
      <c r="I1624" s="9">
        <f>'1_Du_lieu'!T462</f>
        <v>1.1183180496533214</v>
      </c>
      <c r="J1624" s="9">
        <f>'1_Du_lieu'!Y462</f>
        <v>8.909113650174131</v>
      </c>
      <c r="K1624" s="9">
        <f>'1_Du_lieu'!O462</f>
        <v>13.9</v>
      </c>
      <c r="L1624" s="5">
        <f t="shared" si="201"/>
        <v>0</v>
      </c>
      <c r="M1624" s="5">
        <f t="shared" si="202"/>
        <v>0</v>
      </c>
      <c r="N1624" s="5">
        <f t="shared" si="203"/>
        <v>1</v>
      </c>
    </row>
    <row r="1625" spans="1:14" x14ac:dyDescent="0.25">
      <c r="A1625" t="s">
        <v>108</v>
      </c>
      <c r="B1625">
        <v>2024</v>
      </c>
      <c r="C1625" s="7">
        <f>'1_Du_lieu'!V463</f>
        <v>4.4308167988433134</v>
      </c>
      <c r="D1625" s="9">
        <f>'1_Du_lieu'!W463</f>
        <v>5.0931365156079993</v>
      </c>
      <c r="E1625" s="9">
        <f>'1_Du_lieu'!L463</f>
        <v>22.579000000000001</v>
      </c>
      <c r="F1625" s="9">
        <f>'1_Du_lieu'!M463</f>
        <v>49.11</v>
      </c>
      <c r="G1625" s="9">
        <f>'1_Du_lieu'!N463</f>
        <v>53.9</v>
      </c>
      <c r="H1625" s="9">
        <f>'1_Du_lieu'!X463</f>
        <v>3.3194894766662983</v>
      </c>
      <c r="I1625" s="9">
        <f>'1_Du_lieu'!T463</f>
        <v>1.8468385794255298</v>
      </c>
      <c r="J1625" s="9">
        <f>'1_Du_lieu'!Y463</f>
        <v>8.4883203538471221</v>
      </c>
      <c r="K1625" s="9">
        <f>'1_Du_lieu'!O463</f>
        <v>43.9</v>
      </c>
      <c r="L1625" s="5">
        <f t="shared" si="201"/>
        <v>0</v>
      </c>
      <c r="M1625" s="5">
        <f t="shared" si="202"/>
        <v>0</v>
      </c>
      <c r="N1625" s="5">
        <f t="shared" si="203"/>
        <v>1</v>
      </c>
    </row>
    <row r="1626" spans="1:14" x14ac:dyDescent="0.25">
      <c r="A1626" t="s">
        <v>109</v>
      </c>
      <c r="B1626">
        <v>2024</v>
      </c>
      <c r="C1626" s="7">
        <f>'1_Du_lieu'!V464</f>
        <v>2.8903717578961645</v>
      </c>
      <c r="D1626" s="9">
        <f>'1_Du_lieu'!W464</f>
        <v>4.4164280613912137</v>
      </c>
      <c r="E1626" s="9">
        <f>'1_Du_lieu'!L464</f>
        <v>4.484</v>
      </c>
      <c r="F1626" s="9">
        <f>'1_Du_lieu'!M464</f>
        <v>22.59</v>
      </c>
      <c r="G1626" s="9">
        <f>'1_Du_lieu'!N464</f>
        <v>32.299999999999997</v>
      </c>
      <c r="H1626" s="9">
        <f>'1_Du_lieu'!X464</f>
        <v>3.5761073893199447</v>
      </c>
      <c r="I1626" s="9">
        <f>'1_Du_lieu'!T464</f>
        <v>0.37599639043465183</v>
      </c>
      <c r="J1626" s="9">
        <f>'1_Du_lieu'!Y464</f>
        <v>9.1150511919513608</v>
      </c>
      <c r="K1626" s="9">
        <f>'1_Du_lieu'!O464</f>
        <v>21.1</v>
      </c>
      <c r="L1626" s="5">
        <f t="shared" si="201"/>
        <v>0</v>
      </c>
      <c r="M1626" s="5">
        <f t="shared" si="202"/>
        <v>0</v>
      </c>
      <c r="N1626" s="5">
        <f t="shared" si="203"/>
        <v>1</v>
      </c>
    </row>
    <row r="1627" spans="1:14" x14ac:dyDescent="0.25">
      <c r="A1627" t="s">
        <v>110</v>
      </c>
      <c r="B1627">
        <v>2024</v>
      </c>
      <c r="C1627" s="7">
        <f>'1_Du_lieu'!V465</f>
        <v>2.6390573296152584</v>
      </c>
      <c r="D1627" s="9">
        <f>'1_Du_lieu'!W465</f>
        <v>4.3744983682530902</v>
      </c>
      <c r="E1627" s="9">
        <f>'1_Du_lieu'!L465</f>
        <v>3.4889999999999999</v>
      </c>
      <c r="F1627" s="9">
        <f>'1_Du_lieu'!M465</f>
        <v>26.17</v>
      </c>
      <c r="G1627" s="9">
        <f>'1_Du_lieu'!N465</f>
        <v>25.6</v>
      </c>
      <c r="H1627" s="9">
        <f>'1_Du_lieu'!X465</f>
        <v>2.367937285247359</v>
      </c>
      <c r="I1627" s="9">
        <f>'1_Du_lieu'!T465</f>
        <v>1.1179429849077696</v>
      </c>
      <c r="J1627" s="9">
        <f>'1_Du_lieu'!Y465</f>
        <v>6.7923444274708089</v>
      </c>
      <c r="K1627" s="9">
        <f>'1_Du_lieu'!O465</f>
        <v>14.2</v>
      </c>
      <c r="L1627" s="5">
        <f t="shared" si="201"/>
        <v>0</v>
      </c>
      <c r="M1627" s="5">
        <f t="shared" si="202"/>
        <v>0</v>
      </c>
      <c r="N1627" s="5">
        <f t="shared" si="203"/>
        <v>1</v>
      </c>
    </row>
    <row r="1628" spans="1:14" x14ac:dyDescent="0.25">
      <c r="A1628" t="s">
        <v>111</v>
      </c>
      <c r="B1628">
        <v>2024</v>
      </c>
      <c r="C1628" s="7">
        <f>'1_Du_lieu'!V466</f>
        <v>3.2958368660043291</v>
      </c>
      <c r="D1628" s="9">
        <f>'1_Du_lieu'!W466</f>
        <v>4.7681390142662314</v>
      </c>
      <c r="E1628" s="9">
        <f>'1_Du_lieu'!L466</f>
        <v>8.2309999999999999</v>
      </c>
      <c r="F1628" s="9">
        <f>'1_Du_lieu'!M466</f>
        <v>17.09</v>
      </c>
      <c r="G1628" s="9">
        <f>'1_Du_lieu'!N466</f>
        <v>29.3</v>
      </c>
      <c r="H1628" s="9">
        <f>'1_Du_lieu'!X466</f>
        <v>3.3521150877319186</v>
      </c>
      <c r="I1628" s="9">
        <f>'1_Du_lieu'!T466</f>
        <v>1.8966694484485247</v>
      </c>
      <c r="J1628" s="9">
        <f>'1_Du_lieu'!Y466</f>
        <v>8.8265144389714987</v>
      </c>
      <c r="K1628" s="9">
        <f>'1_Du_lieu'!O466</f>
        <v>23.6</v>
      </c>
      <c r="L1628" s="5">
        <f t="shared" si="201"/>
        <v>0</v>
      </c>
      <c r="M1628" s="5">
        <f t="shared" si="202"/>
        <v>0</v>
      </c>
      <c r="N1628" s="5">
        <f t="shared" si="203"/>
        <v>1</v>
      </c>
    </row>
    <row r="1629" spans="1:14" x14ac:dyDescent="0.25">
      <c r="A1629" t="s">
        <v>112</v>
      </c>
      <c r="B1629">
        <v>2024</v>
      </c>
      <c r="C1629" s="7">
        <f>'1_Du_lieu'!V467</f>
        <v>3.044522437723423</v>
      </c>
      <c r="D1629" s="9">
        <f>'1_Du_lieu'!W467</f>
        <v>4.6653241088078383</v>
      </c>
      <c r="E1629" s="9">
        <f>'1_Du_lieu'!L467</f>
        <v>6.0410000000000004</v>
      </c>
      <c r="F1629" s="9">
        <f>'1_Du_lieu'!M467</f>
        <v>31.87</v>
      </c>
      <c r="G1629" s="9">
        <f>'1_Du_lieu'!N467</f>
        <v>29.4</v>
      </c>
      <c r="H1629" s="9">
        <f>'1_Du_lieu'!X467</f>
        <v>3.400809748829857</v>
      </c>
      <c r="I1629" s="9">
        <f>'1_Du_lieu'!T467</f>
        <v>0.45495905368516831</v>
      </c>
      <c r="J1629" s="9">
        <f>'1_Du_lieu'!Y467</f>
        <v>8.6407727281864286</v>
      </c>
      <c r="K1629" s="9">
        <f>'1_Du_lieu'!O467</f>
        <v>23.1</v>
      </c>
      <c r="L1629" s="5">
        <f t="shared" si="201"/>
        <v>0</v>
      </c>
      <c r="M1629" s="5">
        <f t="shared" si="202"/>
        <v>0</v>
      </c>
      <c r="N1629" s="5">
        <f t="shared" si="203"/>
        <v>1</v>
      </c>
    </row>
    <row r="1630" spans="1:14" x14ac:dyDescent="0.25">
      <c r="A1630" t="s">
        <v>113</v>
      </c>
      <c r="B1630">
        <v>2024</v>
      </c>
      <c r="C1630" s="7">
        <f>'1_Du_lieu'!V468</f>
        <v>3.5835189384561099</v>
      </c>
      <c r="D1630" s="9">
        <f>'1_Du_lieu'!W468</f>
        <v>5.3288465715828597</v>
      </c>
      <c r="E1630" s="9">
        <f>'1_Du_lieu'!L468</f>
        <v>10.497999999999999</v>
      </c>
      <c r="F1630" s="9">
        <f>'1_Du_lieu'!M468</f>
        <v>45.67</v>
      </c>
      <c r="G1630" s="9">
        <f>'1_Du_lieu'!N468</f>
        <v>38</v>
      </c>
      <c r="H1630" s="9">
        <f>'1_Du_lieu'!X468</f>
        <v>4.2098513587657651</v>
      </c>
      <c r="I1630" s="9">
        <f>'1_Du_lieu'!T468</f>
        <v>1.8357260531889856</v>
      </c>
      <c r="J1630" s="9">
        <f>'1_Du_lieu'!Y468</f>
        <v>9.6381343255674103</v>
      </c>
      <c r="K1630" s="9">
        <f>'1_Du_lieu'!O468</f>
        <v>26.1</v>
      </c>
      <c r="L1630" s="5">
        <f t="shared" si="201"/>
        <v>0</v>
      </c>
      <c r="M1630" s="5">
        <f t="shared" si="202"/>
        <v>0</v>
      </c>
      <c r="N1630" s="5">
        <f t="shared" si="203"/>
        <v>1</v>
      </c>
    </row>
    <row r="1631" spans="1:14" x14ac:dyDescent="0.25">
      <c r="A1631" t="s">
        <v>114</v>
      </c>
      <c r="B1631">
        <v>2024</v>
      </c>
      <c r="C1631" s="7">
        <f>'1_Du_lieu'!V469</f>
        <v>2.7080502011022101</v>
      </c>
      <c r="D1631" s="9">
        <f>'1_Du_lieu'!W469</f>
        <v>4.5020294270685781</v>
      </c>
      <c r="E1631" s="9">
        <f>'1_Du_lieu'!L469</f>
        <v>3.9809999999999999</v>
      </c>
      <c r="F1631" s="9">
        <f>'1_Du_lieu'!M469</f>
        <v>28.11</v>
      </c>
      <c r="G1631" s="9">
        <f>'1_Du_lieu'!N469</f>
        <v>14.1</v>
      </c>
      <c r="H1631" s="9">
        <f>'1_Du_lieu'!X469</f>
        <v>1.2939387164844527</v>
      </c>
      <c r="I1631" s="9">
        <f>'1_Du_lieu'!T469</f>
        <v>0.68493150684931503</v>
      </c>
      <c r="J1631" s="9">
        <f>'1_Du_lieu'!Y469</f>
        <v>6.9676266760195276</v>
      </c>
      <c r="K1631" s="9">
        <f>'1_Du_lieu'!O469</f>
        <v>21</v>
      </c>
      <c r="L1631" s="5">
        <f t="shared" si="201"/>
        <v>0</v>
      </c>
      <c r="M1631" s="5">
        <f t="shared" si="202"/>
        <v>0</v>
      </c>
      <c r="N1631" s="5">
        <f t="shared" si="203"/>
        <v>1</v>
      </c>
    </row>
    <row r="1632" spans="1:14" x14ac:dyDescent="0.25">
      <c r="A1632" t="s">
        <v>115</v>
      </c>
      <c r="B1632">
        <v>2024</v>
      </c>
      <c r="C1632" s="7">
        <f>'1_Du_lieu'!V470</f>
        <v>3.2188758248682006</v>
      </c>
      <c r="D1632" s="9">
        <f>'1_Du_lieu'!W470</f>
        <v>4.6472713620067267</v>
      </c>
      <c r="E1632" s="9">
        <f>'1_Du_lieu'!L470</f>
        <v>9.0359999999999996</v>
      </c>
      <c r="F1632" s="9">
        <f>'1_Du_lieu'!M470</f>
        <v>42.39</v>
      </c>
      <c r="G1632" s="9">
        <f>'1_Du_lieu'!N470</f>
        <v>26.2</v>
      </c>
      <c r="H1632" s="9">
        <f>'1_Du_lieu'!X470</f>
        <v>3.1546257150891464</v>
      </c>
      <c r="I1632" s="9">
        <f>'1_Du_lieu'!T470</f>
        <v>1.7332387930355315</v>
      </c>
      <c r="J1632" s="9">
        <f>'1_Du_lieu'!Y470</f>
        <v>8.1587738697921548</v>
      </c>
      <c r="K1632" s="9">
        <f>'1_Du_lieu'!O470</f>
        <v>24.4</v>
      </c>
      <c r="L1632" s="5">
        <f t="shared" si="201"/>
        <v>0</v>
      </c>
      <c r="M1632" s="5">
        <f t="shared" si="202"/>
        <v>0</v>
      </c>
      <c r="N1632" s="5">
        <f t="shared" si="203"/>
        <v>1</v>
      </c>
    </row>
    <row r="1633" spans="1:14" x14ac:dyDescent="0.25">
      <c r="A1633" t="s">
        <v>116</v>
      </c>
      <c r="B1633">
        <v>2024</v>
      </c>
      <c r="C1633" s="7">
        <f>'1_Du_lieu'!V471</f>
        <v>2.8332133440562162</v>
      </c>
      <c r="D1633" s="9">
        <f>'1_Du_lieu'!W471</f>
        <v>4.3956829611213672</v>
      </c>
      <c r="E1633" s="9">
        <f>'1_Du_lieu'!L471</f>
        <v>4.9249999999999998</v>
      </c>
      <c r="F1633" s="9">
        <f>'1_Du_lieu'!M471</f>
        <v>29.85</v>
      </c>
      <c r="G1633" s="9">
        <f>'1_Du_lieu'!N471</f>
        <v>17.399999999999999</v>
      </c>
      <c r="H1633" s="9">
        <f>'1_Du_lieu'!X471</f>
        <v>0.60361638494950653</v>
      </c>
      <c r="I1633" s="9">
        <f>'1_Du_lieu'!T471</f>
        <v>4.8112299767928901</v>
      </c>
      <c r="J1633" s="9">
        <f>'1_Du_lieu'!Y471</f>
        <v>7.914252278742441</v>
      </c>
      <c r="K1633" s="9">
        <f>'1_Du_lieu'!O471</f>
        <v>19.399999999999999</v>
      </c>
      <c r="L1633" s="5">
        <f t="shared" si="201"/>
        <v>0</v>
      </c>
      <c r="M1633" s="5">
        <f t="shared" si="202"/>
        <v>0</v>
      </c>
      <c r="N1633" s="5">
        <f t="shared" si="203"/>
        <v>1</v>
      </c>
    </row>
    <row r="1634" spans="1:14" x14ac:dyDescent="0.25">
      <c r="A1634" t="s">
        <v>117</v>
      </c>
      <c r="B1634">
        <v>2024</v>
      </c>
      <c r="C1634" s="7">
        <f>'1_Du_lieu'!V472</f>
        <v>2.5649493574615367</v>
      </c>
      <c r="D1634" s="9">
        <f>'1_Du_lieu'!W472</f>
        <v>4.2150861799182291</v>
      </c>
      <c r="E1634" s="9">
        <f>'1_Du_lieu'!L472</f>
        <v>3.6059999999999999</v>
      </c>
      <c r="F1634" s="9">
        <f>'1_Du_lieu'!M472</f>
        <v>32.369999999999997</v>
      </c>
      <c r="G1634" s="9">
        <f>'1_Du_lieu'!N472</f>
        <v>18.7</v>
      </c>
      <c r="H1634" s="9">
        <f>'1_Du_lieu'!X472</f>
        <v>2.7554520297049514</v>
      </c>
      <c r="I1634" s="9">
        <f>'1_Du_lieu'!T472</f>
        <v>0.83084081090063144</v>
      </c>
      <c r="J1634" s="9">
        <f>'1_Du_lieu'!Y472</f>
        <v>6.0051208735554678</v>
      </c>
      <c r="K1634" s="9">
        <f>'1_Du_lieu'!O472</f>
        <v>21.7</v>
      </c>
      <c r="L1634" s="5">
        <f t="shared" si="201"/>
        <v>0</v>
      </c>
      <c r="M1634" s="5">
        <f t="shared" si="202"/>
        <v>0</v>
      </c>
      <c r="N1634" s="5">
        <f t="shared" si="203"/>
        <v>1</v>
      </c>
    </row>
    <row r="1635" spans="1:14" x14ac:dyDescent="0.25">
      <c r="A1635" t="s">
        <v>119</v>
      </c>
      <c r="B1635">
        <v>2024</v>
      </c>
      <c r="C1635" s="7">
        <f>'1_Du_lieu'!V474</f>
        <v>3.0910424533583161</v>
      </c>
      <c r="D1635" s="9">
        <f>'1_Du_lieu'!W474</f>
        <v>4.6395716127054234</v>
      </c>
      <c r="E1635" s="9">
        <f>'1_Du_lieu'!L474</f>
        <v>7.73</v>
      </c>
      <c r="F1635" s="9">
        <f>'1_Du_lieu'!M474</f>
        <v>18.61</v>
      </c>
      <c r="G1635" s="9">
        <f>'1_Du_lieu'!N474</f>
        <v>17.2</v>
      </c>
      <c r="H1635" s="9">
        <f>'1_Du_lieu'!X474</f>
        <v>1.6112242672103196</v>
      </c>
      <c r="I1635" s="9">
        <f>'1_Du_lieu'!T474</f>
        <v>0.45552898303154543</v>
      </c>
      <c r="J1635" s="9">
        <f>'1_Du_lieu'!Y474</f>
        <v>9.0020115387999873</v>
      </c>
      <c r="K1635" s="9">
        <f>'1_Du_lieu'!O474</f>
        <v>19</v>
      </c>
      <c r="L1635" s="5">
        <f t="shared" ref="L1635:L1666" si="204">IF(B1635=2022,1,0)</f>
        <v>0</v>
      </c>
      <c r="M1635" s="5">
        <f t="shared" ref="M1635:M1666" si="205">IF(B1635=2023,1,0)</f>
        <v>0</v>
      </c>
      <c r="N1635" s="5">
        <f t="shared" ref="N1635:N1666" si="206">IF(B1635=2024,1,0)</f>
        <v>1</v>
      </c>
    </row>
    <row r="1636" spans="1:14" x14ac:dyDescent="0.25">
      <c r="A1636" t="s">
        <v>120</v>
      </c>
      <c r="B1636">
        <v>2024</v>
      </c>
      <c r="C1636" s="7">
        <f>'1_Du_lieu'!V475</f>
        <v>2.9957322735539909</v>
      </c>
      <c r="D1636" s="9">
        <f>'1_Du_lieu'!W475</f>
        <v>4.5325994931532563</v>
      </c>
      <c r="E1636" s="9">
        <f>'1_Du_lieu'!L475</f>
        <v>4.7409999999999997</v>
      </c>
      <c r="F1636" s="9">
        <f>'1_Du_lieu'!M475</f>
        <v>27.14</v>
      </c>
      <c r="G1636" s="9">
        <f>'1_Du_lieu'!N475</f>
        <v>24</v>
      </c>
      <c r="H1636" s="9">
        <f>'1_Du_lieu'!X475</f>
        <v>2.3943545508393007</v>
      </c>
      <c r="I1636" s="9">
        <f>'1_Du_lieu'!T475</f>
        <v>1.1360767482958847</v>
      </c>
      <c r="J1636" s="9">
        <f>'1_Du_lieu'!Y475</f>
        <v>6.7199788715052184</v>
      </c>
      <c r="K1636" s="9">
        <f>'1_Du_lieu'!O475</f>
        <v>14.1</v>
      </c>
      <c r="L1636" s="5">
        <f t="shared" si="204"/>
        <v>0</v>
      </c>
      <c r="M1636" s="5">
        <f t="shared" si="205"/>
        <v>0</v>
      </c>
      <c r="N1636" s="5">
        <f t="shared" si="206"/>
        <v>1</v>
      </c>
    </row>
    <row r="1637" spans="1:14" x14ac:dyDescent="0.25">
      <c r="A1637" t="s">
        <v>121</v>
      </c>
      <c r="B1637">
        <v>2024</v>
      </c>
      <c r="C1637" s="7">
        <f>'1_Du_lieu'!V476</f>
        <v>3.2580965380214821</v>
      </c>
      <c r="D1637" s="9">
        <f>'1_Du_lieu'!W476</f>
        <v>4.604169685654508</v>
      </c>
      <c r="E1637" s="9">
        <f>'1_Du_lieu'!L476</f>
        <v>5.9939999999999998</v>
      </c>
      <c r="F1637" s="9">
        <f>'1_Du_lieu'!M476</f>
        <v>39.659999999999997</v>
      </c>
      <c r="G1637" s="9">
        <f>'1_Du_lieu'!N476</f>
        <v>23</v>
      </c>
      <c r="H1637" s="9">
        <f>'1_Du_lieu'!X476</f>
        <v>3.0564112921639643</v>
      </c>
      <c r="I1637" s="9">
        <f>'1_Du_lieu'!T476</f>
        <v>0.44036697247706424</v>
      </c>
      <c r="J1637" s="9">
        <f>'1_Du_lieu'!Y476</f>
        <v>6.0100409326809174</v>
      </c>
      <c r="K1637" s="9">
        <f>'1_Du_lieu'!O476</f>
        <v>30.1</v>
      </c>
      <c r="L1637" s="5">
        <f t="shared" si="204"/>
        <v>0</v>
      </c>
      <c r="M1637" s="5">
        <f t="shared" si="205"/>
        <v>0</v>
      </c>
      <c r="N1637" s="5">
        <f t="shared" si="206"/>
        <v>1</v>
      </c>
    </row>
    <row r="1638" spans="1:14" x14ac:dyDescent="0.25">
      <c r="A1638" t="s">
        <v>122</v>
      </c>
      <c r="B1638">
        <v>2024</v>
      </c>
      <c r="C1638" s="7">
        <f>'1_Du_lieu'!V477</f>
        <v>2.5649493574615367</v>
      </c>
      <c r="D1638" s="9">
        <f>'1_Du_lieu'!W477</f>
        <v>4.133565275375382</v>
      </c>
      <c r="E1638" s="9">
        <f>'1_Du_lieu'!L477</f>
        <v>3.44</v>
      </c>
      <c r="F1638" s="9">
        <f>'1_Du_lieu'!M477</f>
        <v>23.62</v>
      </c>
      <c r="G1638" s="9">
        <f>'1_Du_lieu'!N477</f>
        <v>29</v>
      </c>
      <c r="H1638" s="9">
        <f>'1_Du_lieu'!X477</f>
        <v>2.2984734576914283</v>
      </c>
      <c r="I1638" s="9">
        <f>'1_Du_lieu'!T477</f>
        <v>0.98280098280098283</v>
      </c>
      <c r="J1638" s="9">
        <f>'1_Du_lieu'!Y477</f>
        <v>6.4515756563294717</v>
      </c>
      <c r="K1638" s="9">
        <f>'1_Du_lieu'!O477</f>
        <v>12.1</v>
      </c>
      <c r="L1638" s="5">
        <f t="shared" si="204"/>
        <v>0</v>
      </c>
      <c r="M1638" s="5">
        <f t="shared" si="205"/>
        <v>0</v>
      </c>
      <c r="N1638" s="5">
        <f t="shared" si="206"/>
        <v>1</v>
      </c>
    </row>
    <row r="1639" spans="1:14" x14ac:dyDescent="0.25">
      <c r="A1639" t="s">
        <v>123</v>
      </c>
      <c r="B1639">
        <v>2024</v>
      </c>
      <c r="C1639" s="7">
        <f>'1_Du_lieu'!V478</f>
        <v>3.2580965380214821</v>
      </c>
      <c r="D1639" s="9">
        <f>'1_Du_lieu'!W478</f>
        <v>4.0724397268340509</v>
      </c>
      <c r="E1639" s="9">
        <f>'1_Du_lieu'!L478</f>
        <v>3.9430000000000001</v>
      </c>
      <c r="F1639" s="9">
        <f>'1_Du_lieu'!M478</f>
        <v>20.48</v>
      </c>
      <c r="G1639" s="9">
        <f>'1_Du_lieu'!N478</f>
        <v>23.8</v>
      </c>
      <c r="H1639" s="9">
        <f>'1_Du_lieu'!X478</f>
        <v>2.3705870819969586</v>
      </c>
      <c r="I1639" s="9">
        <f>'1_Du_lieu'!T478</f>
        <v>1.1614401858304297</v>
      </c>
      <c r="J1639" s="9">
        <f>'1_Du_lieu'!Y478</f>
        <v>7.7445264996249579</v>
      </c>
      <c r="K1639" s="9">
        <f>'1_Du_lieu'!O478</f>
        <v>14.8</v>
      </c>
      <c r="L1639" s="5">
        <f t="shared" si="204"/>
        <v>0</v>
      </c>
      <c r="M1639" s="5">
        <f t="shared" si="205"/>
        <v>0</v>
      </c>
      <c r="N1639" s="5">
        <f t="shared" si="206"/>
        <v>1</v>
      </c>
    </row>
    <row r="1640" spans="1:14" x14ac:dyDescent="0.25">
      <c r="A1640" t="s">
        <v>124</v>
      </c>
      <c r="B1640">
        <v>2024</v>
      </c>
      <c r="C1640" s="7">
        <f>'1_Du_lieu'!V479</f>
        <v>3.0910424533583161</v>
      </c>
      <c r="D1640" s="9">
        <f>'1_Du_lieu'!W479</f>
        <v>4.1059436980654525</v>
      </c>
      <c r="E1640" s="9">
        <f>'1_Du_lieu'!L479</f>
        <v>4.1280000000000001</v>
      </c>
      <c r="F1640" s="9">
        <f>'1_Du_lieu'!M479</f>
        <v>15.72</v>
      </c>
      <c r="G1640" s="9">
        <f>'1_Du_lieu'!N479</f>
        <v>26.5</v>
      </c>
      <c r="H1640" s="9">
        <f>'1_Du_lieu'!X479</f>
        <v>3.9513035308374196</v>
      </c>
      <c r="I1640" s="9">
        <f>'1_Du_lieu'!T479</f>
        <v>3.5423206520173944</v>
      </c>
      <c r="J1640" s="9">
        <f>'1_Du_lieu'!Y479</f>
        <v>7.4016585235521788</v>
      </c>
      <c r="K1640" s="9">
        <f>'1_Du_lieu'!O479</f>
        <v>17.8</v>
      </c>
      <c r="L1640" s="5">
        <f t="shared" si="204"/>
        <v>0</v>
      </c>
      <c r="M1640" s="5">
        <f t="shared" si="205"/>
        <v>0</v>
      </c>
      <c r="N1640" s="5">
        <f t="shared" si="206"/>
        <v>1</v>
      </c>
    </row>
    <row r="1641" spans="1:14" x14ac:dyDescent="0.25">
      <c r="A1641" t="s">
        <v>125</v>
      </c>
      <c r="B1641">
        <v>2024</v>
      </c>
      <c r="C1641" s="7">
        <f>'1_Du_lieu'!V480</f>
        <v>3.1780538303479458</v>
      </c>
      <c r="D1641" s="9">
        <f>'1_Du_lieu'!W480</f>
        <v>4.5152454784601046</v>
      </c>
      <c r="E1641" s="9">
        <f>'1_Du_lieu'!L480</f>
        <v>5.6769999999999996</v>
      </c>
      <c r="F1641" s="9">
        <f>'1_Du_lieu'!M480</f>
        <v>21.81</v>
      </c>
      <c r="G1641" s="9">
        <f>'1_Du_lieu'!N480</f>
        <v>33.9</v>
      </c>
      <c r="H1641" s="9">
        <f>'1_Du_lieu'!X480</f>
        <v>4.1157324997764873</v>
      </c>
      <c r="I1641" s="9">
        <f>'1_Du_lieu'!T480</f>
        <v>3.3970688149082795</v>
      </c>
      <c r="J1641" s="9">
        <f>'1_Du_lieu'!Y480</f>
        <v>7.4975953896761531</v>
      </c>
      <c r="K1641" s="9">
        <f>'1_Du_lieu'!O480</f>
        <v>26</v>
      </c>
      <c r="L1641" s="5">
        <f t="shared" si="204"/>
        <v>0</v>
      </c>
      <c r="M1641" s="5">
        <f t="shared" si="205"/>
        <v>0</v>
      </c>
      <c r="N1641" s="5">
        <f t="shared" si="206"/>
        <v>1</v>
      </c>
    </row>
    <row r="1642" spans="1:14" x14ac:dyDescent="0.25">
      <c r="A1642" t="s">
        <v>126</v>
      </c>
      <c r="B1642">
        <v>2024</v>
      </c>
      <c r="C1642" s="7">
        <f>'1_Du_lieu'!V481</f>
        <v>2.8332133440562162</v>
      </c>
      <c r="D1642" s="9">
        <f>'1_Du_lieu'!W481</f>
        <v>4.5507140001920323</v>
      </c>
      <c r="E1642" s="9">
        <f>'1_Du_lieu'!L481</f>
        <v>5.2469999999999999</v>
      </c>
      <c r="F1642" s="9">
        <f>'1_Du_lieu'!M481</f>
        <v>36.18</v>
      </c>
      <c r="G1642" s="9">
        <f>'1_Du_lieu'!N481</f>
        <v>18.600000000000001</v>
      </c>
      <c r="H1642" s="9">
        <f>'1_Du_lieu'!X481</f>
        <v>2.7565786736801647</v>
      </c>
      <c r="I1642" s="9">
        <f>'1_Du_lieu'!T481</f>
        <v>1.3056960992329034</v>
      </c>
      <c r="J1642" s="9">
        <f>'1_Du_lieu'!Y481</f>
        <v>8.379033964007025</v>
      </c>
      <c r="K1642" s="9">
        <f>'1_Du_lieu'!O481</f>
        <v>14.3</v>
      </c>
      <c r="L1642" s="5">
        <f t="shared" si="204"/>
        <v>0</v>
      </c>
      <c r="M1642" s="5">
        <f t="shared" si="205"/>
        <v>0</v>
      </c>
      <c r="N1642" s="5">
        <f t="shared" si="206"/>
        <v>1</v>
      </c>
    </row>
    <row r="1643" spans="1:14" x14ac:dyDescent="0.25">
      <c r="A1643" t="s">
        <v>127</v>
      </c>
      <c r="B1643">
        <v>2024</v>
      </c>
      <c r="C1643" s="7">
        <f>'1_Du_lieu'!V482</f>
        <v>3.044522437723423</v>
      </c>
      <c r="D1643" s="9">
        <f>'1_Du_lieu'!W482</f>
        <v>4.2918283667557331</v>
      </c>
      <c r="E1643" s="9">
        <f>'1_Du_lieu'!L482</f>
        <v>4.4370000000000003</v>
      </c>
      <c r="F1643" s="9">
        <f>'1_Du_lieu'!M482</f>
        <v>19.52</v>
      </c>
      <c r="G1643" s="9">
        <f>'1_Du_lieu'!N482</f>
        <v>35.200000000000003</v>
      </c>
      <c r="H1643" s="9">
        <f>'1_Du_lieu'!X482</f>
        <v>3.1923093156516198</v>
      </c>
      <c r="I1643" s="9">
        <f>'1_Du_lieu'!T482</f>
        <v>1.230649653474966</v>
      </c>
      <c r="J1643" s="9">
        <f>'1_Du_lieu'!Y482</f>
        <v>7.7511311727887735</v>
      </c>
      <c r="K1643" s="9">
        <f>'1_Du_lieu'!O482</f>
        <v>29.3</v>
      </c>
      <c r="L1643" s="5">
        <f t="shared" si="204"/>
        <v>0</v>
      </c>
      <c r="M1643" s="5">
        <f t="shared" si="205"/>
        <v>0</v>
      </c>
      <c r="N1643" s="5">
        <f t="shared" si="206"/>
        <v>1</v>
      </c>
    </row>
    <row r="1644" spans="1:14" x14ac:dyDescent="0.25">
      <c r="A1644" t="s">
        <v>128</v>
      </c>
      <c r="B1644">
        <v>2024</v>
      </c>
      <c r="C1644" s="7">
        <f>'1_Du_lieu'!V483</f>
        <v>2.7725887222397811</v>
      </c>
      <c r="D1644" s="9">
        <f>'1_Du_lieu'!W483</f>
        <v>4.2224445648494164</v>
      </c>
      <c r="E1644" s="9">
        <f>'1_Du_lieu'!L483</f>
        <v>3.9340000000000002</v>
      </c>
      <c r="F1644" s="9">
        <f>'1_Du_lieu'!M483</f>
        <v>33</v>
      </c>
      <c r="G1644" s="9">
        <f>'1_Du_lieu'!N483</f>
        <v>23.9</v>
      </c>
      <c r="H1644" s="9">
        <f>'1_Du_lieu'!X483</f>
        <v>2.6120265570220109</v>
      </c>
      <c r="I1644" s="9">
        <f>'1_Du_lieu'!T483</f>
        <v>0.45187528242205149</v>
      </c>
      <c r="J1644" s="9">
        <f>'1_Du_lieu'!Y483</f>
        <v>7.6383909039530744</v>
      </c>
      <c r="K1644" s="9">
        <f>'1_Du_lieu'!O483</f>
        <v>19.8</v>
      </c>
      <c r="L1644" s="5">
        <f t="shared" si="204"/>
        <v>0</v>
      </c>
      <c r="M1644" s="5">
        <f t="shared" si="205"/>
        <v>0</v>
      </c>
      <c r="N1644" s="5">
        <f t="shared" si="206"/>
        <v>1</v>
      </c>
    </row>
    <row r="1645" spans="1:14" x14ac:dyDescent="0.25">
      <c r="A1645" t="s">
        <v>129</v>
      </c>
      <c r="B1645">
        <v>2024</v>
      </c>
      <c r="C1645" s="7">
        <f>'1_Du_lieu'!V484</f>
        <v>2.8332133440562162</v>
      </c>
      <c r="D1645" s="9">
        <f>'1_Du_lieu'!W484</f>
        <v>4.169761201506855</v>
      </c>
      <c r="E1645" s="9">
        <f>'1_Du_lieu'!L484</f>
        <v>5.6120000000000001</v>
      </c>
      <c r="F1645" s="9">
        <f>'1_Du_lieu'!M484</f>
        <v>23.5</v>
      </c>
      <c r="G1645" s="9">
        <f>'1_Du_lieu'!N484</f>
        <v>28.4</v>
      </c>
      <c r="H1645" s="9">
        <f>'1_Du_lieu'!X484</f>
        <v>3.5835880200760712</v>
      </c>
      <c r="I1645" s="9">
        <f>'1_Du_lieu'!T484</f>
        <v>0.97318339100346019</v>
      </c>
      <c r="J1645" s="9">
        <f>'1_Du_lieu'!Y484</f>
        <v>7.0968041565255184</v>
      </c>
      <c r="K1645" s="9">
        <f>'1_Du_lieu'!O484</f>
        <v>15.4</v>
      </c>
      <c r="L1645" s="5">
        <f t="shared" si="204"/>
        <v>0</v>
      </c>
      <c r="M1645" s="5">
        <f t="shared" si="205"/>
        <v>0</v>
      </c>
      <c r="N1645" s="5">
        <f t="shared" si="206"/>
        <v>1</v>
      </c>
    </row>
    <row r="1646" spans="1:14" x14ac:dyDescent="0.25">
      <c r="A1646" t="s">
        <v>130</v>
      </c>
      <c r="B1646">
        <v>2024</v>
      </c>
      <c r="C1646" s="7">
        <f>'1_Du_lieu'!V485</f>
        <v>2.9957322735539909</v>
      </c>
      <c r="D1646" s="9">
        <f>'1_Du_lieu'!W485</f>
        <v>4.4200447018614026</v>
      </c>
      <c r="E1646" s="9">
        <f>'1_Du_lieu'!L485</f>
        <v>5.468</v>
      </c>
      <c r="F1646" s="9">
        <f>'1_Du_lieu'!M485</f>
        <v>30.75</v>
      </c>
      <c r="G1646" s="9">
        <f>'1_Du_lieu'!N485</f>
        <v>28.5</v>
      </c>
      <c r="H1646" s="9">
        <f>'1_Du_lieu'!X485</f>
        <v>2.6971526851914871</v>
      </c>
      <c r="I1646" s="9">
        <f>'1_Du_lieu'!T485</f>
        <v>0.19431310318025777</v>
      </c>
      <c r="J1646" s="9">
        <f>'1_Du_lieu'!Y485</f>
        <v>8.3375879421165102</v>
      </c>
      <c r="K1646" s="9">
        <f>'1_Du_lieu'!O485</f>
        <v>18</v>
      </c>
      <c r="L1646" s="5">
        <f t="shared" si="204"/>
        <v>0</v>
      </c>
      <c r="M1646" s="5">
        <f t="shared" si="205"/>
        <v>0</v>
      </c>
      <c r="N1646" s="5">
        <f t="shared" si="206"/>
        <v>1</v>
      </c>
    </row>
    <row r="1647" spans="1:14" x14ac:dyDescent="0.25">
      <c r="A1647" t="s">
        <v>131</v>
      </c>
      <c r="B1647">
        <v>2024</v>
      </c>
      <c r="C1647" s="7">
        <f>'1_Du_lieu'!V486</f>
        <v>2.8332133440562162</v>
      </c>
      <c r="D1647" s="9">
        <f>'1_Du_lieu'!W486</f>
        <v>4.6472713620067267</v>
      </c>
      <c r="E1647" s="9">
        <f>'1_Du_lieu'!L486</f>
        <v>4.4930000000000003</v>
      </c>
      <c r="F1647" s="9">
        <f>'1_Du_lieu'!M486</f>
        <v>22.3</v>
      </c>
      <c r="G1647" s="9">
        <f>'1_Du_lieu'!N486</f>
        <v>27.4</v>
      </c>
      <c r="H1647" s="9">
        <f>'1_Du_lieu'!X486</f>
        <v>2.6075957169644401</v>
      </c>
      <c r="I1647" s="9">
        <f>'1_Du_lieu'!T486</f>
        <v>0.79371378680847671</v>
      </c>
      <c r="J1647" s="9">
        <f>'1_Du_lieu'!Y486</f>
        <v>7.5643422042302797</v>
      </c>
      <c r="K1647" s="9">
        <f>'1_Du_lieu'!O486</f>
        <v>21.9</v>
      </c>
      <c r="L1647" s="5">
        <f t="shared" si="204"/>
        <v>0</v>
      </c>
      <c r="M1647" s="5">
        <f t="shared" si="205"/>
        <v>0</v>
      </c>
      <c r="N1647" s="5">
        <f t="shared" si="206"/>
        <v>1</v>
      </c>
    </row>
    <row r="1648" spans="1:14" x14ac:dyDescent="0.25">
      <c r="A1648" t="s">
        <v>132</v>
      </c>
      <c r="B1648">
        <v>2024</v>
      </c>
      <c r="C1648" s="7">
        <f>'1_Du_lieu'!V487</f>
        <v>3.2580965380214821</v>
      </c>
      <c r="D1648" s="9">
        <f>'1_Du_lieu'!W487</f>
        <v>5.4557483744968653</v>
      </c>
      <c r="E1648" s="9">
        <f>'1_Du_lieu'!L487</f>
        <v>7.7060000000000004</v>
      </c>
      <c r="F1648" s="9">
        <f>'1_Du_lieu'!M487</f>
        <v>69.34</v>
      </c>
      <c r="G1648" s="9">
        <f>'1_Du_lieu'!N487</f>
        <v>42.4</v>
      </c>
      <c r="H1648" s="9">
        <f>'1_Du_lieu'!X487</f>
        <v>4.2224025653807038</v>
      </c>
      <c r="I1648" s="9">
        <f>'1_Du_lieu'!T487</f>
        <v>2.3630504833512354</v>
      </c>
      <c r="J1648" s="9">
        <f>'1_Du_lieu'!Y487</f>
        <v>9.3590275827711498</v>
      </c>
      <c r="K1648" s="9">
        <f>'1_Du_lieu'!O487</f>
        <v>6.7</v>
      </c>
      <c r="L1648" s="5">
        <f t="shared" si="204"/>
        <v>0</v>
      </c>
      <c r="M1648" s="5">
        <f t="shared" si="205"/>
        <v>0</v>
      </c>
      <c r="N1648" s="5">
        <f t="shared" si="206"/>
        <v>1</v>
      </c>
    </row>
    <row r="1649" spans="1:14" x14ac:dyDescent="0.25">
      <c r="A1649" t="s">
        <v>133</v>
      </c>
      <c r="B1649">
        <v>2024</v>
      </c>
      <c r="C1649" s="7">
        <f>'1_Du_lieu'!V488</f>
        <v>2.8332133440562162</v>
      </c>
      <c r="D1649" s="9">
        <f>'1_Du_lieu'!W488</f>
        <v>4.3438054218536841</v>
      </c>
      <c r="E1649" s="9">
        <f>'1_Du_lieu'!L488</f>
        <v>5.0620000000000003</v>
      </c>
      <c r="F1649" s="9">
        <f>'1_Du_lieu'!M488</f>
        <v>32.770000000000003</v>
      </c>
      <c r="G1649" s="9">
        <f>'1_Du_lieu'!N488</f>
        <v>30</v>
      </c>
      <c r="H1649" s="9">
        <f>'1_Du_lieu'!X488</f>
        <v>3.0647949241597212</v>
      </c>
      <c r="I1649" s="9">
        <f>'1_Du_lieu'!T488</f>
        <v>6.2196601941747565</v>
      </c>
      <c r="J1649" s="9">
        <f>'1_Du_lieu'!Y488</f>
        <v>8.2894641427603997</v>
      </c>
      <c r="K1649" s="9">
        <f>'1_Du_lieu'!O488</f>
        <v>24.5</v>
      </c>
      <c r="L1649" s="5">
        <f t="shared" si="204"/>
        <v>0</v>
      </c>
      <c r="M1649" s="5">
        <f t="shared" si="205"/>
        <v>0</v>
      </c>
      <c r="N1649" s="5">
        <f t="shared" si="206"/>
        <v>1</v>
      </c>
    </row>
    <row r="1650" spans="1:14" x14ac:dyDescent="0.25">
      <c r="A1650" t="s">
        <v>134</v>
      </c>
      <c r="B1650">
        <v>2024</v>
      </c>
      <c r="C1650" s="7">
        <f>'1_Du_lieu'!V489</f>
        <v>2.6390573296152584</v>
      </c>
      <c r="D1650" s="9">
        <f>'1_Du_lieu'!W489</f>
        <v>4.1835756959500436</v>
      </c>
      <c r="E1650" s="9">
        <f>'1_Du_lieu'!L489</f>
        <v>2.452</v>
      </c>
      <c r="F1650" s="9">
        <f>'1_Du_lieu'!M489</f>
        <v>34.11</v>
      </c>
      <c r="G1650" s="9">
        <f>'1_Du_lieu'!N489</f>
        <v>12.9</v>
      </c>
      <c r="H1650" s="9">
        <f>'1_Du_lieu'!X489</f>
        <v>1.9109703593385061</v>
      </c>
      <c r="I1650" s="9">
        <f>'1_Du_lieu'!T489</f>
        <v>3.8994441217954035</v>
      </c>
      <c r="J1650" s="9">
        <f>'1_Du_lieu'!Y489</f>
        <v>5.9215784196438159</v>
      </c>
      <c r="K1650" s="9">
        <f>'1_Du_lieu'!O489</f>
        <v>10.5</v>
      </c>
      <c r="L1650" s="5">
        <f t="shared" si="204"/>
        <v>0</v>
      </c>
      <c r="M1650" s="5">
        <f t="shared" si="205"/>
        <v>0</v>
      </c>
      <c r="N1650" s="5">
        <f t="shared" si="206"/>
        <v>1</v>
      </c>
    </row>
    <row r="1651" spans="1:14" x14ac:dyDescent="0.25">
      <c r="A1651" t="s">
        <v>136</v>
      </c>
      <c r="B1651">
        <v>2024</v>
      </c>
      <c r="C1651" s="7">
        <f>'1_Du_lieu'!V491</f>
        <v>4.4659081186545837</v>
      </c>
      <c r="D1651" s="9">
        <f>'1_Du_lieu'!W491</f>
        <v>5.2187328872051939</v>
      </c>
      <c r="E1651" s="9">
        <f>'1_Du_lieu'!L491</f>
        <v>28.277999999999999</v>
      </c>
      <c r="F1651" s="9">
        <f>'1_Du_lieu'!M491</f>
        <v>77.84</v>
      </c>
      <c r="G1651" s="9">
        <f>'1_Du_lieu'!N491</f>
        <v>37.5</v>
      </c>
      <c r="H1651" s="9">
        <f>'1_Du_lieu'!X491</f>
        <v>2.7320389062615984</v>
      </c>
      <c r="I1651" s="9">
        <f>'1_Du_lieu'!T491</f>
        <v>3.4054235299048572</v>
      </c>
      <c r="J1651" s="9">
        <f>'1_Du_lieu'!Y491</f>
        <v>8.728846987571476</v>
      </c>
      <c r="K1651" s="9">
        <f>'1_Du_lieu'!O491</f>
        <v>40.4</v>
      </c>
      <c r="L1651" s="5">
        <f t="shared" si="204"/>
        <v>0</v>
      </c>
      <c r="M1651" s="5">
        <f t="shared" si="205"/>
        <v>0</v>
      </c>
      <c r="N1651" s="5">
        <f t="shared" si="206"/>
        <v>1</v>
      </c>
    </row>
    <row r="1652" spans="1:14" x14ac:dyDescent="0.25">
      <c r="A1652" t="s">
        <v>137</v>
      </c>
      <c r="B1652">
        <v>2024</v>
      </c>
      <c r="C1652" s="7">
        <f>'1_Du_lieu'!V492</f>
        <v>3.1354942159291497</v>
      </c>
      <c r="D1652" s="9">
        <f>'1_Du_lieu'!W492</f>
        <v>4.3981460165537651</v>
      </c>
      <c r="E1652" s="9">
        <f>'1_Du_lieu'!L492</f>
        <v>4.4729999999999999</v>
      </c>
      <c r="F1652" s="9">
        <f>'1_Du_lieu'!M492</f>
        <v>28.11</v>
      </c>
      <c r="G1652" s="9">
        <f>'1_Du_lieu'!N492</f>
        <v>27.9</v>
      </c>
      <c r="H1652" s="9">
        <f>'1_Du_lieu'!X492</f>
        <v>3.0315516050419387</v>
      </c>
      <c r="I1652" s="9">
        <f>'1_Du_lieu'!T492</f>
        <v>0.77041602465331283</v>
      </c>
      <c r="J1652" s="9">
        <f>'1_Du_lieu'!Y492</f>
        <v>8.3268313983763704</v>
      </c>
      <c r="K1652" s="9">
        <f>'1_Du_lieu'!O492</f>
        <v>14.8</v>
      </c>
      <c r="L1652" s="5">
        <f t="shared" si="204"/>
        <v>0</v>
      </c>
      <c r="M1652" s="5">
        <f t="shared" si="205"/>
        <v>0</v>
      </c>
      <c r="N1652" s="5">
        <f t="shared" si="206"/>
        <v>1</v>
      </c>
    </row>
    <row r="1653" spans="1:14" x14ac:dyDescent="0.25">
      <c r="A1653" t="s">
        <v>138</v>
      </c>
      <c r="B1653">
        <v>2024</v>
      </c>
      <c r="C1653" s="7">
        <f>'1_Du_lieu'!V493</f>
        <v>3.0910424533583161</v>
      </c>
      <c r="D1653" s="9">
        <f>'1_Du_lieu'!W493</f>
        <v>4.2326561780196128</v>
      </c>
      <c r="E1653" s="9">
        <f>'1_Du_lieu'!L493</f>
        <v>3.673</v>
      </c>
      <c r="F1653" s="9">
        <f>'1_Du_lieu'!M493</f>
        <v>11.88</v>
      </c>
      <c r="G1653" s="9">
        <f>'1_Du_lieu'!N493</f>
        <v>23.9</v>
      </c>
      <c r="H1653" s="9">
        <f>'1_Du_lieu'!X493</f>
        <v>2.0788859493644658</v>
      </c>
      <c r="I1653" s="9">
        <f>'1_Du_lieu'!T493</f>
        <v>0.89928057553956831</v>
      </c>
      <c r="J1653" s="9">
        <f>'1_Du_lieu'!Y493</f>
        <v>8.0432457957366807</v>
      </c>
      <c r="K1653" s="9">
        <f>'1_Du_lieu'!O493</f>
        <v>20.3</v>
      </c>
      <c r="L1653" s="5">
        <f t="shared" si="204"/>
        <v>0</v>
      </c>
      <c r="M1653" s="5">
        <f t="shared" si="205"/>
        <v>0</v>
      </c>
      <c r="N1653" s="5">
        <f t="shared" si="206"/>
        <v>1</v>
      </c>
    </row>
    <row r="1654" spans="1:14" x14ac:dyDescent="0.25">
      <c r="A1654" t="s">
        <v>139</v>
      </c>
      <c r="B1654">
        <v>2024</v>
      </c>
      <c r="C1654" s="7">
        <f>'1_Du_lieu'!V494</f>
        <v>2.9957322735539909</v>
      </c>
      <c r="D1654" s="9">
        <f>'1_Du_lieu'!W494</f>
        <v>4.7405748229942946</v>
      </c>
      <c r="E1654" s="9">
        <f>'1_Du_lieu'!L494</f>
        <v>4.4560000000000004</v>
      </c>
      <c r="F1654" s="9">
        <f>'1_Du_lieu'!M494</f>
        <v>40.729999999999997</v>
      </c>
      <c r="G1654" s="9">
        <f>'1_Du_lieu'!N494</f>
        <v>38.1</v>
      </c>
      <c r="H1654" s="9">
        <f>'1_Du_lieu'!X494</f>
        <v>3.7905172932687372</v>
      </c>
      <c r="I1654" s="9">
        <f>'1_Du_lieu'!T494</f>
        <v>1.1719894520949312</v>
      </c>
      <c r="J1654" s="9">
        <f>'1_Du_lieu'!Y494</f>
        <v>8.9982974797328783</v>
      </c>
      <c r="K1654" s="9">
        <f>'1_Du_lieu'!O494</f>
        <v>17.7</v>
      </c>
      <c r="L1654" s="5">
        <f t="shared" si="204"/>
        <v>0</v>
      </c>
      <c r="M1654" s="5">
        <f t="shared" si="205"/>
        <v>0</v>
      </c>
      <c r="N1654" s="5">
        <f t="shared" si="206"/>
        <v>1</v>
      </c>
    </row>
    <row r="1655" spans="1:14" x14ac:dyDescent="0.25">
      <c r="A1655" t="s">
        <v>141</v>
      </c>
      <c r="B1655">
        <v>2024</v>
      </c>
      <c r="C1655" s="7">
        <f>'1_Du_lieu'!V496</f>
        <v>2.8332133440562162</v>
      </c>
      <c r="D1655" s="9">
        <f>'1_Du_lieu'!W496</f>
        <v>4.3412046401536264</v>
      </c>
      <c r="E1655" s="9">
        <f>'1_Du_lieu'!L496</f>
        <v>3.3769999999999998</v>
      </c>
      <c r="F1655" s="9">
        <f>'1_Du_lieu'!M496</f>
        <v>16.850000000000001</v>
      </c>
      <c r="G1655" s="9">
        <f>'1_Du_lieu'!N496</f>
        <v>15.3</v>
      </c>
      <c r="H1655" s="9">
        <f>'1_Du_lieu'!X496</f>
        <v>0.72374167202848938</v>
      </c>
      <c r="I1655" s="9">
        <f>'1_Du_lieu'!T496</f>
        <v>0.890818996715105</v>
      </c>
      <c r="J1655" s="9">
        <f>'1_Du_lieu'!Y496</f>
        <v>7.4226725206513811</v>
      </c>
      <c r="K1655" s="9">
        <f>'1_Du_lieu'!O496</f>
        <v>18.7</v>
      </c>
      <c r="L1655" s="5">
        <f t="shared" si="204"/>
        <v>0</v>
      </c>
      <c r="M1655" s="5">
        <f t="shared" si="205"/>
        <v>0</v>
      </c>
      <c r="N1655" s="5">
        <f t="shared" si="206"/>
        <v>1</v>
      </c>
    </row>
    <row r="1656" spans="1:14" x14ac:dyDescent="0.25">
      <c r="A1656" t="s">
        <v>142</v>
      </c>
      <c r="B1656">
        <v>2024</v>
      </c>
      <c r="C1656" s="7">
        <f>'1_Du_lieu'!V497</f>
        <v>2.6390573296152584</v>
      </c>
      <c r="D1656" s="9">
        <f>'1_Du_lieu'!W497</f>
        <v>4.5538768916005408</v>
      </c>
      <c r="E1656" s="9">
        <f>'1_Du_lieu'!L497</f>
        <v>2.7360000000000002</v>
      </c>
      <c r="F1656" s="9">
        <f>'1_Du_lieu'!M497</f>
        <v>18.46</v>
      </c>
      <c r="G1656" s="9">
        <f>'1_Du_lieu'!N497</f>
        <v>17.399999999999999</v>
      </c>
      <c r="H1656" s="9">
        <f>'1_Du_lieu'!X497</f>
        <v>2.1194779948103237</v>
      </c>
      <c r="I1656" s="9">
        <f>'1_Du_lieu'!T497</f>
        <v>0.8789920890711983</v>
      </c>
      <c r="J1656" s="9">
        <f>'1_Du_lieu'!Y497</f>
        <v>8.0470295493691371</v>
      </c>
      <c r="K1656" s="9">
        <f>'1_Du_lieu'!O497</f>
        <v>4.3</v>
      </c>
      <c r="L1656" s="5">
        <f t="shared" si="204"/>
        <v>0</v>
      </c>
      <c r="M1656" s="5">
        <f t="shared" si="205"/>
        <v>0</v>
      </c>
      <c r="N1656" s="5">
        <f t="shared" si="206"/>
        <v>1</v>
      </c>
    </row>
    <row r="1657" spans="1:14" x14ac:dyDescent="0.25">
      <c r="A1657" t="s">
        <v>143</v>
      </c>
      <c r="B1657">
        <v>2024</v>
      </c>
      <c r="C1657" s="7">
        <f>'1_Du_lieu'!V498</f>
        <v>2.5649493574615367</v>
      </c>
      <c r="D1657" s="9">
        <f>'1_Du_lieu'!W498</f>
        <v>4.0943445622221004</v>
      </c>
      <c r="E1657" s="9">
        <f>'1_Du_lieu'!L498</f>
        <v>2.3330000000000002</v>
      </c>
      <c r="F1657" s="9">
        <f>'1_Du_lieu'!M498</f>
        <v>19.41</v>
      </c>
      <c r="G1657" s="9">
        <f>'1_Du_lieu'!N498</f>
        <v>22.5</v>
      </c>
      <c r="H1657" s="9">
        <f>'1_Du_lieu'!X498</f>
        <v>3.5099812641148551</v>
      </c>
      <c r="I1657" s="9">
        <f>'1_Du_lieu'!T498</f>
        <v>0.7314397171766428</v>
      </c>
      <c r="J1657" s="9">
        <f>'1_Du_lieu'!Y498</f>
        <v>5.7071102647488754</v>
      </c>
      <c r="K1657" s="9">
        <f>'1_Du_lieu'!O498</f>
        <v>16</v>
      </c>
      <c r="L1657" s="5">
        <f t="shared" si="204"/>
        <v>0</v>
      </c>
      <c r="M1657" s="5">
        <f t="shared" si="205"/>
        <v>0</v>
      </c>
      <c r="N1657" s="5">
        <f t="shared" si="206"/>
        <v>1</v>
      </c>
    </row>
    <row r="1658" spans="1:14" x14ac:dyDescent="0.25">
      <c r="A1658" t="s">
        <v>144</v>
      </c>
      <c r="B1658">
        <v>2024</v>
      </c>
      <c r="C1658" s="7">
        <f>'1_Du_lieu'!V499</f>
        <v>2.9444389791664403</v>
      </c>
      <c r="D1658" s="9">
        <f>'1_Du_lieu'!W499</f>
        <v>4.6405373298253823</v>
      </c>
      <c r="E1658" s="9">
        <f>'1_Du_lieu'!L499</f>
        <v>4.3609999999999998</v>
      </c>
      <c r="F1658" s="9">
        <f>'1_Du_lieu'!M499</f>
        <v>32.57</v>
      </c>
      <c r="G1658" s="9">
        <f>'1_Du_lieu'!N499</f>
        <v>20.100000000000001</v>
      </c>
      <c r="H1658" s="9">
        <f>'1_Du_lieu'!X499</f>
        <v>2.833042160172516</v>
      </c>
      <c r="I1658" s="9">
        <f>'1_Du_lieu'!T499</f>
        <v>1.1639507815098105</v>
      </c>
      <c r="J1658" s="9">
        <f>'1_Du_lieu'!Y499</f>
        <v>9.0344620131290867</v>
      </c>
      <c r="K1658" s="9">
        <f>'1_Du_lieu'!O499</f>
        <v>13.8</v>
      </c>
      <c r="L1658" s="5">
        <f t="shared" si="204"/>
        <v>0</v>
      </c>
      <c r="M1658" s="5">
        <f t="shared" si="205"/>
        <v>0</v>
      </c>
      <c r="N1658" s="5">
        <f t="shared" si="206"/>
        <v>1</v>
      </c>
    </row>
    <row r="1659" spans="1:14" x14ac:dyDescent="0.25">
      <c r="A1659" t="s">
        <v>145</v>
      </c>
      <c r="B1659">
        <v>2024</v>
      </c>
      <c r="C1659" s="7">
        <f>'1_Du_lieu'!V500</f>
        <v>2.6390573296152584</v>
      </c>
      <c r="D1659" s="9">
        <f>'1_Du_lieu'!W500</f>
        <v>4.3932138240644463</v>
      </c>
      <c r="E1659" s="9">
        <f>'1_Du_lieu'!L500</f>
        <v>3.0339999999999998</v>
      </c>
      <c r="F1659" s="9">
        <f>'1_Du_lieu'!M500</f>
        <v>22.92</v>
      </c>
      <c r="G1659" s="9">
        <f>'1_Du_lieu'!N500</f>
        <v>17.100000000000001</v>
      </c>
      <c r="H1659" s="9">
        <f>'1_Du_lieu'!X500</f>
        <v>0.73663024134596156</v>
      </c>
      <c r="I1659" s="9">
        <f>'1_Du_lieu'!T500</f>
        <v>0.67482888267617858</v>
      </c>
      <c r="J1659" s="9">
        <f>'1_Du_lieu'!Y500</f>
        <v>6.9775611532260999</v>
      </c>
      <c r="K1659" s="9">
        <f>'1_Du_lieu'!O500</f>
        <v>16.600000000000001</v>
      </c>
      <c r="L1659" s="5">
        <f t="shared" si="204"/>
        <v>0</v>
      </c>
      <c r="M1659" s="5">
        <f t="shared" si="205"/>
        <v>0</v>
      </c>
      <c r="N1659" s="5">
        <f t="shared" si="206"/>
        <v>1</v>
      </c>
    </row>
    <row r="1660" spans="1:14" x14ac:dyDescent="0.25">
      <c r="A1660" t="s">
        <v>146</v>
      </c>
      <c r="B1660">
        <v>2024</v>
      </c>
      <c r="C1660" s="7">
        <f>'1_Du_lieu'!V501</f>
        <v>3.1780538303479458</v>
      </c>
      <c r="D1660" s="9">
        <f>'1_Du_lieu'!W501</f>
        <v>4.9494688588587685</v>
      </c>
      <c r="E1660" s="9">
        <f>'1_Du_lieu'!L501</f>
        <v>8.3569999999999993</v>
      </c>
      <c r="F1660" s="9">
        <f>'1_Du_lieu'!M501</f>
        <v>34</v>
      </c>
      <c r="G1660" s="9">
        <f>'1_Du_lieu'!N501</f>
        <v>37.299999999999997</v>
      </c>
      <c r="H1660" s="9">
        <f>'1_Du_lieu'!X501</f>
        <v>3.1825494093573443</v>
      </c>
      <c r="I1660" s="9">
        <f>'1_Du_lieu'!T501</f>
        <v>0.73451399657226801</v>
      </c>
      <c r="J1660" s="9">
        <f>'1_Du_lieu'!Y501</f>
        <v>8.7034901690763391</v>
      </c>
      <c r="K1660" s="9">
        <f>'1_Du_lieu'!O501</f>
        <v>37.200000000000003</v>
      </c>
      <c r="L1660" s="5">
        <f t="shared" si="204"/>
        <v>0</v>
      </c>
      <c r="M1660" s="5">
        <f t="shared" si="205"/>
        <v>0</v>
      </c>
      <c r="N1660" s="5">
        <f t="shared" si="206"/>
        <v>1</v>
      </c>
    </row>
    <row r="1661" spans="1:14" x14ac:dyDescent="0.25">
      <c r="A1661" t="s">
        <v>147</v>
      </c>
      <c r="B1661">
        <v>2024</v>
      </c>
      <c r="C1661" s="7">
        <f>'1_Du_lieu'!V502</f>
        <v>2.6390573296152584</v>
      </c>
      <c r="D1661" s="9">
        <f>'1_Du_lieu'!W502</f>
        <v>4.0127729085282891</v>
      </c>
      <c r="E1661" s="9">
        <f>'1_Du_lieu'!L502</f>
        <v>2.66</v>
      </c>
      <c r="F1661" s="9">
        <f>'1_Du_lieu'!M502</f>
        <v>20.97</v>
      </c>
      <c r="G1661" s="9">
        <f>'1_Du_lieu'!N502</f>
        <v>24.2</v>
      </c>
      <c r="H1661" s="9">
        <f>'1_Du_lieu'!X502</f>
        <v>2.9885687777542134</v>
      </c>
      <c r="I1661" s="9">
        <f>'1_Du_lieu'!T502</f>
        <v>0.23137436372049977</v>
      </c>
      <c r="J1661" s="9">
        <f>'1_Du_lieu'!Y502</f>
        <v>6.1588839496498302</v>
      </c>
      <c r="K1661" s="9">
        <f>'1_Du_lieu'!O502</f>
        <v>19.600000000000001</v>
      </c>
      <c r="L1661" s="5">
        <f t="shared" si="204"/>
        <v>0</v>
      </c>
      <c r="M1661" s="5">
        <f t="shared" si="205"/>
        <v>0</v>
      </c>
      <c r="N1661" s="5">
        <f t="shared" si="206"/>
        <v>1</v>
      </c>
    </row>
    <row r="1662" spans="1:14" x14ac:dyDescent="0.25">
      <c r="A1662" t="s">
        <v>149</v>
      </c>
      <c r="B1662">
        <v>2024</v>
      </c>
      <c r="C1662" s="7">
        <f>'1_Du_lieu'!V504</f>
        <v>3.8501476017100584</v>
      </c>
      <c r="D1662" s="9">
        <f>'1_Du_lieu'!W504</f>
        <v>4.78164132910387</v>
      </c>
      <c r="E1662" s="9">
        <f>'1_Du_lieu'!L504</f>
        <v>19.88</v>
      </c>
      <c r="F1662" s="9">
        <f>'1_Du_lieu'!M504</f>
        <v>87.81</v>
      </c>
      <c r="G1662" s="9">
        <f>'1_Du_lieu'!N504</f>
        <v>51.3</v>
      </c>
      <c r="H1662" s="9">
        <f>'1_Du_lieu'!X504</f>
        <v>3.7381117507120294</v>
      </c>
      <c r="I1662" s="9">
        <f>'1_Du_lieu'!T504</f>
        <v>6.1912225705329149</v>
      </c>
      <c r="J1662" s="9">
        <f>'1_Du_lieu'!Y504</f>
        <v>8.5779119264509429</v>
      </c>
      <c r="K1662" s="9">
        <f>'1_Du_lieu'!O504</f>
        <v>46.3</v>
      </c>
      <c r="L1662" s="5">
        <f t="shared" si="204"/>
        <v>0</v>
      </c>
      <c r="M1662" s="5">
        <f t="shared" si="205"/>
        <v>0</v>
      </c>
      <c r="N1662" s="5">
        <f t="shared" si="206"/>
        <v>1</v>
      </c>
    </row>
    <row r="1663" spans="1:14" x14ac:dyDescent="0.25">
      <c r="A1663" t="s">
        <v>150</v>
      </c>
      <c r="B1663">
        <v>2024</v>
      </c>
      <c r="C1663" s="7">
        <f>'1_Du_lieu'!V505</f>
        <v>3.1354942159291497</v>
      </c>
      <c r="D1663" s="9">
        <f>'1_Du_lieu'!W505</f>
        <v>4.2835865618606288</v>
      </c>
      <c r="E1663" s="9">
        <f>'1_Du_lieu'!L505</f>
        <v>4.2039999999999997</v>
      </c>
      <c r="F1663" s="9">
        <f>'1_Du_lieu'!M505</f>
        <v>26.09</v>
      </c>
      <c r="G1663" s="9">
        <f>'1_Du_lieu'!N505</f>
        <v>19.600000000000001</v>
      </c>
      <c r="H1663" s="9">
        <f>'1_Du_lieu'!X505</f>
        <v>2.4325319422065355</v>
      </c>
      <c r="I1663" s="9">
        <f>'1_Du_lieu'!T505</f>
        <v>0.56520398725721921</v>
      </c>
      <c r="J1663" s="9">
        <f>'1_Du_lieu'!Y505</f>
        <v>5.9191626353525768</v>
      </c>
      <c r="K1663" s="9">
        <f>'1_Du_lieu'!O505</f>
        <v>21.8</v>
      </c>
      <c r="L1663" s="5">
        <f t="shared" si="204"/>
        <v>0</v>
      </c>
      <c r="M1663" s="5">
        <f t="shared" si="205"/>
        <v>0</v>
      </c>
      <c r="N1663" s="5">
        <f t="shared" si="206"/>
        <v>1</v>
      </c>
    </row>
    <row r="1664" spans="1:14" x14ac:dyDescent="0.25">
      <c r="A1664" t="s">
        <v>151</v>
      </c>
      <c r="B1664">
        <v>2024</v>
      </c>
      <c r="C1664" s="7">
        <f>'1_Du_lieu'!V506</f>
        <v>2.5649493574615367</v>
      </c>
      <c r="D1664" s="9">
        <f>'1_Du_lieu'!W506</f>
        <v>4.4224485491727972</v>
      </c>
      <c r="E1664" s="9">
        <f>'1_Du_lieu'!L506</f>
        <v>3.9870000000000001</v>
      </c>
      <c r="F1664" s="9">
        <f>'1_Du_lieu'!M506</f>
        <v>17.25</v>
      </c>
      <c r="G1664" s="9">
        <f>'1_Du_lieu'!N506</f>
        <v>17.899999999999999</v>
      </c>
      <c r="H1664" s="9">
        <f>'1_Du_lieu'!X506</f>
        <v>1.2043608273535038</v>
      </c>
      <c r="I1664" s="9">
        <f>'1_Du_lieu'!T506</f>
        <v>0.43122035360068989</v>
      </c>
      <c r="J1664" s="9">
        <f>'1_Du_lieu'!Y506</f>
        <v>6.1340485905637747</v>
      </c>
      <c r="K1664" s="9">
        <f>'1_Du_lieu'!O506</f>
        <v>23.2</v>
      </c>
      <c r="L1664" s="5">
        <f t="shared" si="204"/>
        <v>0</v>
      </c>
      <c r="M1664" s="5">
        <f t="shared" si="205"/>
        <v>0</v>
      </c>
      <c r="N1664" s="5">
        <f t="shared" si="206"/>
        <v>1</v>
      </c>
    </row>
    <row r="1665" spans="1:14" x14ac:dyDescent="0.25">
      <c r="A1665" t="s">
        <v>152</v>
      </c>
      <c r="B1665">
        <v>2024</v>
      </c>
      <c r="C1665" s="7">
        <f>'1_Du_lieu'!V507</f>
        <v>3.4011973816621555</v>
      </c>
      <c r="D1665" s="9">
        <f>'1_Du_lieu'!W507</f>
        <v>4.9579375050958063</v>
      </c>
      <c r="E1665" s="9">
        <f>'1_Du_lieu'!L507</f>
        <v>8.23</v>
      </c>
      <c r="F1665" s="9">
        <f>'1_Du_lieu'!M507</f>
        <v>45.36</v>
      </c>
      <c r="G1665" s="9">
        <f>'1_Du_lieu'!N507</f>
        <v>23.7</v>
      </c>
      <c r="H1665" s="9">
        <f>'1_Du_lieu'!X507</f>
        <v>3.0168339051781765</v>
      </c>
      <c r="I1665" s="9">
        <f>'1_Du_lieu'!T507</f>
        <v>0.50514054792892382</v>
      </c>
      <c r="J1665" s="9">
        <f>'1_Du_lieu'!Y507</f>
        <v>9.3201001964686334</v>
      </c>
      <c r="K1665" s="9">
        <f>'1_Du_lieu'!O507</f>
        <v>25.8</v>
      </c>
      <c r="L1665" s="5">
        <f t="shared" si="204"/>
        <v>0</v>
      </c>
      <c r="M1665" s="5">
        <f t="shared" si="205"/>
        <v>0</v>
      </c>
      <c r="N1665" s="5">
        <f t="shared" si="206"/>
        <v>1</v>
      </c>
    </row>
    <row r="1666" spans="1:14" x14ac:dyDescent="0.25">
      <c r="A1666" t="s">
        <v>153</v>
      </c>
      <c r="B1666">
        <v>2024</v>
      </c>
      <c r="C1666" s="7">
        <f>'1_Du_lieu'!V508</f>
        <v>2.9444389791664403</v>
      </c>
      <c r="D1666" s="9">
        <f>'1_Du_lieu'!W508</f>
        <v>4.3412046401536264</v>
      </c>
      <c r="E1666" s="9">
        <f>'1_Du_lieu'!L508</f>
        <v>2.698</v>
      </c>
      <c r="F1666" s="9">
        <f>'1_Du_lieu'!M508</f>
        <v>20.52</v>
      </c>
      <c r="G1666" s="9">
        <f>'1_Du_lieu'!N508</f>
        <v>16.3</v>
      </c>
      <c r="H1666" s="9">
        <f>'1_Du_lieu'!X508</f>
        <v>1.0088433244387667</v>
      </c>
      <c r="I1666" s="9">
        <f>'1_Du_lieu'!T508</f>
        <v>0.81194179001936173</v>
      </c>
      <c r="J1666" s="9">
        <f>'1_Du_lieu'!Y508</f>
        <v>4.9815497132011588</v>
      </c>
      <c r="K1666" s="9">
        <f>'1_Du_lieu'!O508</f>
        <v>12.1</v>
      </c>
      <c r="L1666" s="5">
        <f t="shared" si="204"/>
        <v>0</v>
      </c>
      <c r="M1666" s="5">
        <f t="shared" si="205"/>
        <v>0</v>
      </c>
      <c r="N1666" s="5">
        <f t="shared" si="206"/>
        <v>1</v>
      </c>
    </row>
    <row r="1668" spans="1:14" x14ac:dyDescent="0.25">
      <c r="A1668" s="14" t="s">
        <v>430</v>
      </c>
    </row>
    <row r="1669" spans="1:14" ht="32.1" customHeight="1" x14ac:dyDescent="0.25">
      <c r="A1669" s="3" t="s">
        <v>155</v>
      </c>
      <c r="B1669" s="3" t="s">
        <v>389</v>
      </c>
      <c r="C1669" s="3" t="s">
        <v>390</v>
      </c>
      <c r="D1669" s="3" t="s">
        <v>391</v>
      </c>
      <c r="E1669" s="3" t="s">
        <v>392</v>
      </c>
      <c r="F1669" s="3" t="s">
        <v>393</v>
      </c>
      <c r="G1669" s="3" t="s">
        <v>394</v>
      </c>
    </row>
    <row r="1670" spans="1:14" x14ac:dyDescent="0.25">
      <c r="A1670" t="s">
        <v>74</v>
      </c>
      <c r="B1670" s="12">
        <f>INDEX(LINEST($C$1443:$C$1666,$D$1443:$N$1666,TRUE,TRUE),1,11)</f>
        <v>5.813107381868976E-2</v>
      </c>
      <c r="C1670" s="7">
        <f>INDEX(LINEST($C$1443:$C$1666,$D$1443:$N$1666,TRUE,TRUE),2,11)</f>
        <v>5.7595753132328266E-2</v>
      </c>
      <c r="D1670" s="18">
        <v>0.1006302975324382</v>
      </c>
      <c r="E1670" s="18">
        <v>0.56348713945491569</v>
      </c>
      <c r="F1670" s="5" t="str">
        <f t="shared" ref="F1670:F1681" si="207">IF(E1670="","",IF(E1670&lt;0.01,"***",IF(E1670&lt;0.05,"**",IF(E1670&lt;0.1,"*",""))))</f>
        <v/>
      </c>
      <c r="G1670" s="18">
        <v>5.8131073818680601E-2</v>
      </c>
    </row>
    <row r="1671" spans="1:14" x14ac:dyDescent="0.25">
      <c r="A1671" t="s">
        <v>326</v>
      </c>
      <c r="B1671" s="12">
        <f>INDEX(LINEST($C$1443:$C$1666,$D$1443:$N$1666,TRUE,TRUE),1,10)</f>
        <v>8.1304607806506224E-2</v>
      </c>
      <c r="C1671" s="7">
        <f>INDEX(LINEST($C$1443:$C$1666,$D$1443:$N$1666,TRUE,TRUE),2,10)</f>
        <v>5.4416503533473264E-3</v>
      </c>
      <c r="D1671" s="18">
        <v>8.0957350269398997E-3</v>
      </c>
      <c r="E1671" s="18">
        <v>9.8734222190737639E-24</v>
      </c>
      <c r="F1671" s="5" t="str">
        <f t="shared" si="207"/>
        <v>***</v>
      </c>
      <c r="G1671" s="18">
        <v>8.1304607806506099E-2</v>
      </c>
    </row>
    <row r="1672" spans="1:14" x14ac:dyDescent="0.25">
      <c r="A1672" t="s">
        <v>176</v>
      </c>
      <c r="B1672" s="12">
        <f>INDEX(LINEST($C$1443:$C$1666,$D$1443:$N$1666,TRUE,TRUE),1,9)</f>
        <v>-1.7929276898338395E-3</v>
      </c>
      <c r="C1672" s="7">
        <f>INDEX(LINEST($C$1443:$C$1666,$D$1443:$N$1666,TRUE,TRUE),2,9)</f>
        <v>1.2025191684805249E-3</v>
      </c>
      <c r="D1672" s="18">
        <v>2.3459430062295001E-3</v>
      </c>
      <c r="E1672" s="18">
        <v>0.44470792666321279</v>
      </c>
      <c r="F1672" s="5" t="str">
        <f t="shared" si="207"/>
        <v/>
      </c>
      <c r="G1672" s="18">
        <v>-1.7929276898339E-3</v>
      </c>
    </row>
    <row r="1673" spans="1:14" x14ac:dyDescent="0.25">
      <c r="A1673" t="s">
        <v>327</v>
      </c>
      <c r="B1673" s="12">
        <f>INDEX(LINEST($C$1443:$C$1666,$D$1443:$N$1666,TRUE,TRUE),1,8)</f>
        <v>-1.2556140635251685E-4</v>
      </c>
      <c r="C1673" s="7">
        <f>INDEX(LINEST($C$1443:$C$1666,$D$1443:$N$1666,TRUE,TRUE),2,8)</f>
        <v>2.6254853838032569E-3</v>
      </c>
      <c r="D1673" s="18">
        <v>4.3588127905544996E-3</v>
      </c>
      <c r="E1673" s="18">
        <v>0.97701905114057719</v>
      </c>
      <c r="F1673" s="5" t="str">
        <f t="shared" si="207"/>
        <v/>
      </c>
      <c r="G1673" s="18">
        <v>-1.255614063524E-4</v>
      </c>
    </row>
    <row r="1674" spans="1:14" x14ac:dyDescent="0.25">
      <c r="A1674" t="s">
        <v>380</v>
      </c>
      <c r="B1674" s="12">
        <f>INDEX(LINEST($C$1443:$C$1666,$D$1443:$N$1666,TRUE,TRUE),1,7)</f>
        <v>4.3072326072302575E-2</v>
      </c>
      <c r="C1674" s="7">
        <f>INDEX(LINEST($C$1443:$C$1666,$D$1443:$N$1666,TRUE,TRUE),2,7)</f>
        <v>1.7864454652735041E-2</v>
      </c>
      <c r="D1674" s="18">
        <v>3.3530626970551897E-2</v>
      </c>
      <c r="E1674" s="18">
        <v>0.19894374946784379</v>
      </c>
      <c r="F1674" s="5" t="str">
        <f t="shared" si="207"/>
        <v/>
      </c>
      <c r="G1674" s="18">
        <v>4.3072326072302297E-2</v>
      </c>
    </row>
    <row r="1675" spans="1:14" x14ac:dyDescent="0.25">
      <c r="A1675" t="s">
        <v>183</v>
      </c>
      <c r="B1675" s="12">
        <f>INDEX(LINEST($C$1443:$C$1666,$D$1443:$N$1666,TRUE,TRUE),1,6)</f>
        <v>-2.9208400689072902E-2</v>
      </c>
      <c r="C1675" s="7">
        <f>INDEX(LINEST($C$1443:$C$1666,$D$1443:$N$1666,TRUE,TRUE),2,6)</f>
        <v>1.0822366486749497E-2</v>
      </c>
      <c r="D1675" s="18">
        <v>1.53494502497499E-2</v>
      </c>
      <c r="E1675" s="18">
        <v>5.7054174793224603E-2</v>
      </c>
      <c r="F1675" s="5" t="str">
        <f t="shared" si="207"/>
        <v>*</v>
      </c>
      <c r="G1675" s="18">
        <v>-2.92084006890726E-2</v>
      </c>
    </row>
    <row r="1676" spans="1:14" x14ac:dyDescent="0.25">
      <c r="A1676" t="s">
        <v>381</v>
      </c>
      <c r="B1676" s="12">
        <f>INDEX(LINEST($C$1443:$C$1666,$D$1443:$N$1666,TRUE,TRUE),1,5)</f>
        <v>1.1586028581364096E-2</v>
      </c>
      <c r="C1676" s="7">
        <f>INDEX(LINEST($C$1443:$C$1666,$D$1443:$N$1666,TRUE,TRUE),2,5)</f>
        <v>1.2463205085712994E-2</v>
      </c>
      <c r="D1676" s="18">
        <v>2.08521183132735E-2</v>
      </c>
      <c r="E1676" s="18">
        <v>0.57846493076203243</v>
      </c>
      <c r="F1676" s="5" t="str">
        <f t="shared" si="207"/>
        <v/>
      </c>
      <c r="G1676" s="18">
        <v>1.1586028581364099E-2</v>
      </c>
    </row>
    <row r="1677" spans="1:14" x14ac:dyDescent="0.25">
      <c r="A1677" t="s">
        <v>179</v>
      </c>
      <c r="B1677" s="12">
        <f>INDEX(LINEST($C$1443:$C$1666,$D$1443:$N$1666,TRUE,TRUE),1,4)</f>
        <v>2.341251485966739E-3</v>
      </c>
      <c r="C1677" s="7">
        <f>INDEX(LINEST($C$1443:$C$1666,$D$1443:$N$1666,TRUE,TRUE),2,4)</f>
        <v>2.5156141363072712E-3</v>
      </c>
      <c r="D1677" s="18">
        <v>3.4889840169368001E-3</v>
      </c>
      <c r="E1677" s="18">
        <v>0.50219438133315741</v>
      </c>
      <c r="F1677" s="5" t="str">
        <f t="shared" si="207"/>
        <v/>
      </c>
      <c r="G1677" s="18">
        <v>2.3412514859666002E-3</v>
      </c>
    </row>
    <row r="1678" spans="1:14" x14ac:dyDescent="0.25">
      <c r="A1678" t="s">
        <v>397</v>
      </c>
      <c r="B1678" s="12">
        <f>INDEX(LINEST($C$1443:$C$1666,$D$1443:$N$1666,TRUE,TRUE),1,3)</f>
        <v>0.94397170244539141</v>
      </c>
      <c r="C1678" s="7">
        <f>INDEX(LINEST($C$1443:$C$1666,$D$1443:$N$1666,TRUE,TRUE),2,3)</f>
        <v>3.4749799986073582E-2</v>
      </c>
      <c r="D1678" s="18">
        <v>2.8381210847574698E-2</v>
      </c>
      <c r="E1678" s="18">
        <v>1.4418536829654461E-242</v>
      </c>
      <c r="F1678" s="5" t="str">
        <f t="shared" si="207"/>
        <v>***</v>
      </c>
      <c r="G1678" s="18">
        <v>0.94397170244539563</v>
      </c>
    </row>
    <row r="1679" spans="1:14" x14ac:dyDescent="0.25">
      <c r="A1679" t="s">
        <v>398</v>
      </c>
      <c r="B1679" s="12">
        <f>INDEX(LINEST($C$1443:$C$1666,$D$1443:$N$1666,TRUE,TRUE),1,2)</f>
        <v>0.87958628922575988</v>
      </c>
      <c r="C1679" s="7">
        <f>INDEX(LINEST($C$1443:$C$1666,$D$1443:$N$1666,TRUE,TRUE),2,2)</f>
        <v>3.5322469500341666E-2</v>
      </c>
      <c r="D1679" s="18">
        <v>2.77320899265419E-2</v>
      </c>
      <c r="E1679" s="18">
        <v>8.9793952089878832E-221</v>
      </c>
      <c r="F1679" s="5" t="str">
        <f t="shared" si="207"/>
        <v>***</v>
      </c>
      <c r="G1679" s="18">
        <v>0.87958628922576543</v>
      </c>
    </row>
    <row r="1680" spans="1:14" x14ac:dyDescent="0.25">
      <c r="A1680" t="s">
        <v>399</v>
      </c>
      <c r="B1680" s="12">
        <f>INDEX(LINEST($C$1443:$C$1666,$D$1443:$N$1666,TRUE,TRUE),1,1)</f>
        <v>1.0674466581558364</v>
      </c>
      <c r="C1680" s="7">
        <f>INDEX(LINEST($C$1443:$C$1666,$D$1443:$N$1666,TRUE,TRUE),2,1)</f>
        <v>3.8143211925616503E-2</v>
      </c>
      <c r="D1680" s="18">
        <v>3.8386415322573801E-2</v>
      </c>
      <c r="E1680" s="18">
        <v>3.4786543571019253E-170</v>
      </c>
      <c r="F1680" s="5" t="str">
        <f t="shared" si="207"/>
        <v>***</v>
      </c>
      <c r="G1680" s="18">
        <v>1.0674466581558411</v>
      </c>
    </row>
    <row r="1681" spans="1:21" x14ac:dyDescent="0.25">
      <c r="A1681" t="s">
        <v>400</v>
      </c>
      <c r="B1681" s="12">
        <f>INDEX(LINEST($C$1443:$C$1666,$D$1443:$N$1666,TRUE,TRUE),1,12)</f>
        <v>1.0548771570388977</v>
      </c>
      <c r="C1681" s="7">
        <f>INDEX(LINEST($C$1443:$C$1666,$D$1443:$N$1666,TRUE,TRUE),2,12)</f>
        <v>0.1812879314189248</v>
      </c>
      <c r="D1681" s="18">
        <v>0.29833512249757288</v>
      </c>
      <c r="E1681" s="18">
        <v>4.0641944696550003E-4</v>
      </c>
      <c r="F1681" s="5" t="str">
        <f t="shared" si="207"/>
        <v>***</v>
      </c>
      <c r="G1681" s="18">
        <v>1.0548771570389299</v>
      </c>
    </row>
    <row r="1682" spans="1:21" x14ac:dyDescent="0.25">
      <c r="A1682" s="10" t="s">
        <v>157</v>
      </c>
      <c r="B1682" s="20">
        <f>COUNT($C$1443:$C$1666)</f>
        <v>224</v>
      </c>
    </row>
    <row r="1683" spans="1:21" x14ac:dyDescent="0.25">
      <c r="A1683" s="10" t="s">
        <v>341</v>
      </c>
      <c r="B1683" s="12">
        <f>INDEX(LINEST($C$1443:$C$1666,$D$1443:$N$1666,TRUE,TRUE),3,1)</f>
        <v>0.92559645600942142</v>
      </c>
    </row>
    <row r="1684" spans="1:21" x14ac:dyDescent="0.25">
      <c r="A1684" s="10" t="s">
        <v>401</v>
      </c>
      <c r="B1684" s="12">
        <f>1-(1-B1683)*(B1682-1)/(B1682-11-1)</f>
        <v>0.92173589476462725</v>
      </c>
    </row>
    <row r="1686" spans="1:21" x14ac:dyDescent="0.25">
      <c r="A1686" s="14" t="s">
        <v>431</v>
      </c>
    </row>
    <row r="1687" spans="1:21" ht="32.1" customHeight="1" x14ac:dyDescent="0.25">
      <c r="A1687" s="3" t="s">
        <v>52</v>
      </c>
      <c r="B1687" s="3" t="s">
        <v>53</v>
      </c>
      <c r="C1687" s="3" t="s">
        <v>379</v>
      </c>
      <c r="D1687" s="3" t="s">
        <v>74</v>
      </c>
      <c r="E1687" s="3" t="s">
        <v>326</v>
      </c>
      <c r="F1687" s="3" t="s">
        <v>176</v>
      </c>
      <c r="G1687" s="3" t="s">
        <v>327</v>
      </c>
      <c r="H1687" s="3" t="s">
        <v>380</v>
      </c>
      <c r="I1687" s="3" t="s">
        <v>183</v>
      </c>
      <c r="J1687" s="3" t="s">
        <v>381</v>
      </c>
      <c r="K1687" s="3" t="s">
        <v>179</v>
      </c>
      <c r="L1687" s="3" t="s">
        <v>382</v>
      </c>
      <c r="M1687" s="3" t="s">
        <v>383</v>
      </c>
      <c r="N1687" s="3" t="s">
        <v>384</v>
      </c>
      <c r="O1687" s="3" t="s">
        <v>385</v>
      </c>
      <c r="P1687" s="3" t="s">
        <v>386</v>
      </c>
      <c r="Q1687" s="3" t="s">
        <v>432</v>
      </c>
      <c r="R1687" s="3" t="s">
        <v>433</v>
      </c>
      <c r="S1687" s="3" t="s">
        <v>434</v>
      </c>
      <c r="T1687" s="3" t="s">
        <v>435</v>
      </c>
      <c r="U1687" s="3" t="s">
        <v>436</v>
      </c>
    </row>
    <row r="1688" spans="1:21" x14ac:dyDescent="0.25">
      <c r="A1688" t="s">
        <v>85</v>
      </c>
      <c r="B1688">
        <v>2019</v>
      </c>
      <c r="C1688" s="7">
        <f>'1_Du_lieu'!V131</f>
        <v>3.5779478934066544</v>
      </c>
      <c r="D1688" s="9">
        <f>'1_Du_lieu'!W131</f>
        <v>3.7954891891721947</v>
      </c>
      <c r="E1688" s="9">
        <f>'1_Du_lieu'!L131</f>
        <v>2.3319999999999999</v>
      </c>
      <c r="F1688" s="9">
        <f>'1_Du_lieu'!M131</f>
        <v>31.59</v>
      </c>
      <c r="G1688" s="9">
        <f>'1_Du_lieu'!N131</f>
        <v>14.6</v>
      </c>
      <c r="H1688" s="9">
        <f>'1_Du_lieu'!X131</f>
        <v>1.2904217394377582</v>
      </c>
      <c r="I1688" s="9">
        <f>'1_Du_lieu'!T131</f>
        <v>0.47184649260773825</v>
      </c>
      <c r="J1688" s="9">
        <f>'1_Du_lieu'!Y131</f>
        <v>4.9508852896904818</v>
      </c>
      <c r="K1688" s="9">
        <f>'1_Du_lieu'!O131</f>
        <v>16.3</v>
      </c>
      <c r="L1688" s="5">
        <f t="shared" ref="L1688:L1751" si="208">IF(B1688=2020,1,0)</f>
        <v>0</v>
      </c>
      <c r="M1688" s="5">
        <f t="shared" ref="M1688:M1751" si="209">IF(B1688=2021,1,0)</f>
        <v>0</v>
      </c>
      <c r="N1688" s="5">
        <f t="shared" ref="N1688:N1751" si="210">IF(B1688=2022,1,0)</f>
        <v>0</v>
      </c>
      <c r="O1688" s="5">
        <f t="shared" ref="O1688:O1751" si="211">IF(B1688=2023,1,0)</f>
        <v>0</v>
      </c>
      <c r="P1688" s="5">
        <f t="shared" ref="P1688:P1751" si="212">IF(B1688=2024,1,0)</f>
        <v>0</v>
      </c>
      <c r="Q1688" s="5">
        <f>IF('1_Du_lieu'!C131="ĐBSH",1,0)</f>
        <v>0</v>
      </c>
      <c r="R1688" s="5">
        <f>IF('1_Du_lieu'!C131="BTB&amp;DHMT",1,0)</f>
        <v>0</v>
      </c>
      <c r="S1688" s="5">
        <f>IF('1_Du_lieu'!C131="ĐBSCL",1,0)</f>
        <v>1</v>
      </c>
      <c r="T1688" s="5">
        <f>IF('1_Du_lieu'!C131="TN",1,0)</f>
        <v>0</v>
      </c>
      <c r="U1688" s="5">
        <f>IF('1_Du_lieu'!C131="TDMNPB",1,0)</f>
        <v>0</v>
      </c>
    </row>
    <row r="1689" spans="1:21" x14ac:dyDescent="0.25">
      <c r="A1689" t="s">
        <v>87</v>
      </c>
      <c r="B1689">
        <v>2019</v>
      </c>
      <c r="C1689" s="7">
        <f>'1_Du_lieu'!V132</f>
        <v>3.8670256394974101</v>
      </c>
      <c r="D1689" s="9">
        <f>'1_Du_lieu'!W132</f>
        <v>5.7051149198899793</v>
      </c>
      <c r="E1689" s="9">
        <f>'1_Du_lieu'!L132</f>
        <v>8.7629999999999999</v>
      </c>
      <c r="F1689" s="9">
        <f>'1_Du_lieu'!M132</f>
        <v>58.64</v>
      </c>
      <c r="G1689" s="9">
        <f>'1_Du_lieu'!N132</f>
        <v>27.8</v>
      </c>
      <c r="H1689" s="9">
        <f>'1_Du_lieu'!X132</f>
        <v>1.9211688706144259</v>
      </c>
      <c r="I1689" s="9">
        <f>'1_Du_lieu'!T132</f>
        <v>1.2150668286755772</v>
      </c>
      <c r="J1689" s="9">
        <f>'1_Du_lieu'!Y132</f>
        <v>10.200940484291477</v>
      </c>
      <c r="K1689" s="9">
        <f>'1_Du_lieu'!O132</f>
        <v>24</v>
      </c>
      <c r="L1689" s="5">
        <f t="shared" si="208"/>
        <v>0</v>
      </c>
      <c r="M1689" s="5">
        <f t="shared" si="209"/>
        <v>0</v>
      </c>
      <c r="N1689" s="5">
        <f t="shared" si="210"/>
        <v>0</v>
      </c>
      <c r="O1689" s="5">
        <f t="shared" si="211"/>
        <v>0</v>
      </c>
      <c r="P1689" s="5">
        <f t="shared" si="212"/>
        <v>0</v>
      </c>
      <c r="Q1689" s="5">
        <f>IF('1_Du_lieu'!C132="ĐBSH",1,0)</f>
        <v>0</v>
      </c>
      <c r="R1689" s="5">
        <f>IF('1_Du_lieu'!C132="BTB&amp;DHMT",1,0)</f>
        <v>0</v>
      </c>
      <c r="S1689" s="5">
        <f>IF('1_Du_lieu'!C132="ĐBSCL",1,0)</f>
        <v>0</v>
      </c>
      <c r="T1689" s="5">
        <f>IF('1_Du_lieu'!C132="TN",1,0)</f>
        <v>0</v>
      </c>
      <c r="U1689" s="5">
        <f>IF('1_Du_lieu'!C132="TDMNPB",1,0)</f>
        <v>0</v>
      </c>
    </row>
    <row r="1690" spans="1:21" x14ac:dyDescent="0.25">
      <c r="A1690" t="s">
        <v>89</v>
      </c>
      <c r="B1690">
        <v>2019</v>
      </c>
      <c r="C1690" s="7">
        <f>'1_Du_lieu'!V133</f>
        <v>3.9889840465642745</v>
      </c>
      <c r="D1690" s="9">
        <f>'1_Du_lieu'!W133</f>
        <v>4.9931499797552359</v>
      </c>
      <c r="E1690" s="9">
        <f>'1_Du_lieu'!L133</f>
        <v>12.864000000000001</v>
      </c>
      <c r="F1690" s="9">
        <f>'1_Du_lieu'!M133</f>
        <v>79.87</v>
      </c>
      <c r="G1690" s="9">
        <f>'1_Du_lieu'!N133</f>
        <v>21.9</v>
      </c>
      <c r="H1690" s="9">
        <f>'1_Du_lieu'!X133</f>
        <v>3.1771849379951953</v>
      </c>
      <c r="I1690" s="9">
        <f>'1_Du_lieu'!T133</f>
        <v>0.69209787078125629</v>
      </c>
      <c r="J1690" s="9">
        <f>'1_Du_lieu'!Y133</f>
        <v>9.5455260670719309</v>
      </c>
      <c r="K1690" s="9">
        <f>'1_Du_lieu'!O133</f>
        <v>24.2</v>
      </c>
      <c r="L1690" s="5">
        <f t="shared" si="208"/>
        <v>0</v>
      </c>
      <c r="M1690" s="5">
        <f t="shared" si="209"/>
        <v>0</v>
      </c>
      <c r="N1690" s="5">
        <f t="shared" si="210"/>
        <v>0</v>
      </c>
      <c r="O1690" s="5">
        <f t="shared" si="211"/>
        <v>0</v>
      </c>
      <c r="P1690" s="5">
        <f t="shared" si="212"/>
        <v>0</v>
      </c>
      <c r="Q1690" s="5">
        <f>IF('1_Du_lieu'!C133="ĐBSH",1,0)</f>
        <v>0</v>
      </c>
      <c r="R1690" s="5">
        <f>IF('1_Du_lieu'!C133="BTB&amp;DHMT",1,0)</f>
        <v>0</v>
      </c>
      <c r="S1690" s="5">
        <f>IF('1_Du_lieu'!C133="ĐBSCL",1,0)</f>
        <v>0</v>
      </c>
      <c r="T1690" s="5">
        <f>IF('1_Du_lieu'!C133="TN",1,0)</f>
        <v>0</v>
      </c>
      <c r="U1690" s="5">
        <f>IF('1_Du_lieu'!C133="TDMNPB",1,0)</f>
        <v>0</v>
      </c>
    </row>
    <row r="1691" spans="1:21" x14ac:dyDescent="0.25">
      <c r="A1691" t="s">
        <v>90</v>
      </c>
      <c r="B1691">
        <v>2019</v>
      </c>
      <c r="C1691" s="7">
        <f>'1_Du_lieu'!V134</f>
        <v>3.3775875160230218</v>
      </c>
      <c r="D1691" s="9">
        <f>'1_Du_lieu'!W134</f>
        <v>4.1367652781060524</v>
      </c>
      <c r="E1691" s="9">
        <f>'1_Du_lieu'!L134</f>
        <v>5.1189999999999998</v>
      </c>
      <c r="F1691" s="9">
        <f>'1_Du_lieu'!M134</f>
        <v>23.9</v>
      </c>
      <c r="G1691" s="9">
        <f>'1_Du_lieu'!N134</f>
        <v>15.8</v>
      </c>
      <c r="H1691" s="9">
        <f>'1_Du_lieu'!X134</f>
        <v>1.2084725869298196</v>
      </c>
      <c r="I1691" s="9">
        <f>'1_Du_lieu'!T134</f>
        <v>1.2026458208057726</v>
      </c>
      <c r="J1691" s="9">
        <f>'1_Du_lieu'!Y134</f>
        <v>7.9442439061683956</v>
      </c>
      <c r="K1691" s="9">
        <f>'1_Du_lieu'!O134</f>
        <v>22.8</v>
      </c>
      <c r="L1691" s="5">
        <f t="shared" si="208"/>
        <v>0</v>
      </c>
      <c r="M1691" s="5">
        <f t="shared" si="209"/>
        <v>0</v>
      </c>
      <c r="N1691" s="5">
        <f t="shared" si="210"/>
        <v>0</v>
      </c>
      <c r="O1691" s="5">
        <f t="shared" si="211"/>
        <v>0</v>
      </c>
      <c r="P1691" s="5">
        <f t="shared" si="212"/>
        <v>0</v>
      </c>
      <c r="Q1691" s="5">
        <f>IF('1_Du_lieu'!C134="ĐBSH",1,0)</f>
        <v>0</v>
      </c>
      <c r="R1691" s="5">
        <f>IF('1_Du_lieu'!C134="BTB&amp;DHMT",1,0)</f>
        <v>0</v>
      </c>
      <c r="S1691" s="5">
        <f>IF('1_Du_lieu'!C134="ĐBSCL",1,0)</f>
        <v>0</v>
      </c>
      <c r="T1691" s="5">
        <f>IF('1_Du_lieu'!C134="TN",1,0)</f>
        <v>0</v>
      </c>
      <c r="U1691" s="5">
        <f>IF('1_Du_lieu'!C134="TDMNPB",1,0)</f>
        <v>0</v>
      </c>
    </row>
    <row r="1692" spans="1:21" x14ac:dyDescent="0.25">
      <c r="A1692" t="s">
        <v>91</v>
      </c>
      <c r="B1692">
        <v>2019</v>
      </c>
      <c r="C1692" s="7">
        <f>'1_Du_lieu'!V135</f>
        <v>3.5945687746426951</v>
      </c>
      <c r="D1692" s="9">
        <f>'1_Du_lieu'!W135</f>
        <v>4.1620032106959153</v>
      </c>
      <c r="E1692" s="9">
        <f>'1_Du_lieu'!L135</f>
        <v>3.93</v>
      </c>
      <c r="F1692" s="9">
        <f>'1_Du_lieu'!M135</f>
        <v>38.08</v>
      </c>
      <c r="G1692" s="9">
        <f>'1_Du_lieu'!N135</f>
        <v>16.3</v>
      </c>
      <c r="H1692" s="9">
        <f>'1_Du_lieu'!X135</f>
        <v>2.0004684151721195</v>
      </c>
      <c r="I1692" s="9">
        <f>'1_Du_lieu'!T135</f>
        <v>0.32459628337255542</v>
      </c>
      <c r="J1692" s="9">
        <f>'1_Du_lieu'!Y135</f>
        <v>8.0156906391110976</v>
      </c>
      <c r="K1692" s="9">
        <f>'1_Du_lieu'!O135</f>
        <v>18.399999999999999</v>
      </c>
      <c r="L1692" s="5">
        <f t="shared" si="208"/>
        <v>0</v>
      </c>
      <c r="M1692" s="5">
        <f t="shared" si="209"/>
        <v>0</v>
      </c>
      <c r="N1692" s="5">
        <f t="shared" si="210"/>
        <v>0</v>
      </c>
      <c r="O1692" s="5">
        <f t="shared" si="211"/>
        <v>0</v>
      </c>
      <c r="P1692" s="5">
        <f t="shared" si="212"/>
        <v>0</v>
      </c>
      <c r="Q1692" s="5">
        <f>IF('1_Du_lieu'!C135="ĐBSH",1,0)</f>
        <v>0</v>
      </c>
      <c r="R1692" s="5">
        <f>IF('1_Du_lieu'!C135="BTB&amp;DHMT",1,0)</f>
        <v>1</v>
      </c>
      <c r="S1692" s="5">
        <f>IF('1_Du_lieu'!C135="ĐBSCL",1,0)</f>
        <v>0</v>
      </c>
      <c r="T1692" s="5">
        <f>IF('1_Du_lieu'!C135="TN",1,0)</f>
        <v>0</v>
      </c>
      <c r="U1692" s="5">
        <f>IF('1_Du_lieu'!C135="TDMNPB",1,0)</f>
        <v>0</v>
      </c>
    </row>
    <row r="1693" spans="1:21" x14ac:dyDescent="0.25">
      <c r="A1693" t="s">
        <v>93</v>
      </c>
      <c r="B1693">
        <v>2019</v>
      </c>
      <c r="C1693" s="7">
        <f>'1_Du_lieu'!V136</f>
        <v>3.730501128804756</v>
      </c>
      <c r="D1693" s="9">
        <f>'1_Du_lieu'!W136</f>
        <v>4.0199801469332384</v>
      </c>
      <c r="E1693" s="9">
        <f>'1_Du_lieu'!L136</f>
        <v>4.298</v>
      </c>
      <c r="F1693" s="9">
        <f>'1_Du_lieu'!M136</f>
        <v>32.049999999999997</v>
      </c>
      <c r="G1693" s="9">
        <f>'1_Du_lieu'!N136</f>
        <v>19.2</v>
      </c>
      <c r="H1693" s="9">
        <f>'1_Du_lieu'!X136</f>
        <v>2.7748797508894638</v>
      </c>
      <c r="I1693" s="9">
        <f>'1_Du_lieu'!T136</f>
        <v>0.73934668638257828</v>
      </c>
      <c r="J1693" s="9">
        <f>'1_Du_lieu'!Y136</f>
        <v>6.2923096060860439</v>
      </c>
      <c r="K1693" s="9">
        <f>'1_Du_lieu'!O136</f>
        <v>23.4</v>
      </c>
      <c r="L1693" s="5">
        <f t="shared" si="208"/>
        <v>0</v>
      </c>
      <c r="M1693" s="5">
        <f t="shared" si="209"/>
        <v>0</v>
      </c>
      <c r="N1693" s="5">
        <f t="shared" si="210"/>
        <v>0</v>
      </c>
      <c r="O1693" s="5">
        <f t="shared" si="211"/>
        <v>0</v>
      </c>
      <c r="P1693" s="5">
        <f t="shared" si="212"/>
        <v>0</v>
      </c>
      <c r="Q1693" s="5">
        <f>IF('1_Du_lieu'!C136="ĐBSH",1,0)</f>
        <v>0</v>
      </c>
      <c r="R1693" s="5">
        <f>IF('1_Du_lieu'!C136="BTB&amp;DHMT",1,0)</f>
        <v>1</v>
      </c>
      <c r="S1693" s="5">
        <f>IF('1_Du_lieu'!C136="ĐBSCL",1,0)</f>
        <v>0</v>
      </c>
      <c r="T1693" s="5">
        <f>IF('1_Du_lieu'!C136="TN",1,0)</f>
        <v>0</v>
      </c>
      <c r="U1693" s="5">
        <f>IF('1_Du_lieu'!C136="TDMNPB",1,0)</f>
        <v>0</v>
      </c>
    </row>
    <row r="1694" spans="1:21" x14ac:dyDescent="0.25">
      <c r="A1694" t="s">
        <v>95</v>
      </c>
      <c r="B1694">
        <v>2019</v>
      </c>
      <c r="C1694" s="7">
        <f>'1_Du_lieu'!V138</f>
        <v>3.763522997109702</v>
      </c>
      <c r="D1694" s="9">
        <f>'1_Du_lieu'!W138</f>
        <v>4.0552571735140539</v>
      </c>
      <c r="E1694" s="9">
        <f>'1_Du_lieu'!L138</f>
        <v>3.2480000000000002</v>
      </c>
      <c r="F1694" s="9">
        <f>'1_Du_lieu'!M138</f>
        <v>11.46</v>
      </c>
      <c r="G1694" s="9">
        <f>'1_Du_lieu'!N138</f>
        <v>18</v>
      </c>
      <c r="H1694" s="9">
        <f>'1_Du_lieu'!X138</f>
        <v>2.5039419909198695</v>
      </c>
      <c r="I1694" s="9">
        <f>'1_Du_lieu'!T138</f>
        <v>0.93901900132567395</v>
      </c>
      <c r="J1694" s="9">
        <f>'1_Du_lieu'!Y138</f>
        <v>8.1024653160288871</v>
      </c>
      <c r="K1694" s="9">
        <f>'1_Du_lieu'!O138</f>
        <v>15</v>
      </c>
      <c r="L1694" s="5">
        <f t="shared" si="208"/>
        <v>0</v>
      </c>
      <c r="M1694" s="5">
        <f t="shared" si="209"/>
        <v>0</v>
      </c>
      <c r="N1694" s="5">
        <f t="shared" si="210"/>
        <v>0</v>
      </c>
      <c r="O1694" s="5">
        <f t="shared" si="211"/>
        <v>0</v>
      </c>
      <c r="P1694" s="5">
        <f t="shared" si="212"/>
        <v>0</v>
      </c>
      <c r="Q1694" s="5">
        <f>IF('1_Du_lieu'!C138="ĐBSH",1,0)</f>
        <v>0</v>
      </c>
      <c r="R1694" s="5">
        <f>IF('1_Du_lieu'!C138="BTB&amp;DHMT",1,0)</f>
        <v>0</v>
      </c>
      <c r="S1694" s="5">
        <f>IF('1_Du_lieu'!C138="ĐBSCL",1,0)</f>
        <v>0</v>
      </c>
      <c r="T1694" s="5">
        <f>IF('1_Du_lieu'!C138="TN",1,0)</f>
        <v>0</v>
      </c>
      <c r="U1694" s="5">
        <f>IF('1_Du_lieu'!C138="TDMNPB",1,0)</f>
        <v>1</v>
      </c>
    </row>
    <row r="1695" spans="1:21" x14ac:dyDescent="0.25">
      <c r="A1695" t="s">
        <v>97</v>
      </c>
      <c r="B1695">
        <v>2019</v>
      </c>
      <c r="C1695" s="7">
        <f>'1_Du_lieu'!V139</f>
        <v>3.3105430133940246</v>
      </c>
      <c r="D1695" s="9">
        <f>'1_Du_lieu'!W139</f>
        <v>3.6428355156125294</v>
      </c>
      <c r="E1695" s="9">
        <f>'1_Du_lieu'!L139</f>
        <v>1.9470000000000001</v>
      </c>
      <c r="F1695" s="9">
        <f>'1_Du_lieu'!M139</f>
        <v>20.87</v>
      </c>
      <c r="G1695" s="9">
        <f>'1_Du_lieu'!N139</f>
        <v>16.100000000000001</v>
      </c>
      <c r="H1695" s="9">
        <f>'1_Du_lieu'!X139</f>
        <v>1.5337432446811305</v>
      </c>
      <c r="I1695" s="9">
        <f>'1_Du_lieu'!T139</f>
        <v>0.63613231552162852</v>
      </c>
      <c r="J1695" s="9">
        <f>'1_Du_lieu'!Y139</f>
        <v>3.044522437723423</v>
      </c>
      <c r="K1695" s="9">
        <f>'1_Du_lieu'!O139</f>
        <v>13.8</v>
      </c>
      <c r="L1695" s="5">
        <f t="shared" si="208"/>
        <v>0</v>
      </c>
      <c r="M1695" s="5">
        <f t="shared" si="209"/>
        <v>0</v>
      </c>
      <c r="N1695" s="5">
        <f t="shared" si="210"/>
        <v>0</v>
      </c>
      <c r="O1695" s="5">
        <f t="shared" si="211"/>
        <v>0</v>
      </c>
      <c r="P1695" s="5">
        <f t="shared" si="212"/>
        <v>0</v>
      </c>
      <c r="Q1695" s="5">
        <f>IF('1_Du_lieu'!C139="ĐBSH",1,0)</f>
        <v>0</v>
      </c>
      <c r="R1695" s="5">
        <f>IF('1_Du_lieu'!C139="BTB&amp;DHMT",1,0)</f>
        <v>0</v>
      </c>
      <c r="S1695" s="5">
        <f>IF('1_Du_lieu'!C139="ĐBSCL",1,0)</f>
        <v>0</v>
      </c>
      <c r="T1695" s="5">
        <f>IF('1_Du_lieu'!C139="TN",1,0)</f>
        <v>0</v>
      </c>
      <c r="U1695" s="5">
        <f>IF('1_Du_lieu'!C139="TDMNPB",1,0)</f>
        <v>1</v>
      </c>
    </row>
    <row r="1696" spans="1:21" x14ac:dyDescent="0.25">
      <c r="A1696" t="s">
        <v>98</v>
      </c>
      <c r="B1696">
        <v>2019</v>
      </c>
      <c r="C1696" s="7">
        <f>'1_Du_lieu'!V140</f>
        <v>3.9550824948885932</v>
      </c>
      <c r="D1696" s="9">
        <f>'1_Du_lieu'!W140</f>
        <v>4.9767337424205742</v>
      </c>
      <c r="E1696" s="9">
        <f>'1_Du_lieu'!L140</f>
        <v>8.2319999999999993</v>
      </c>
      <c r="F1696" s="9">
        <f>'1_Du_lieu'!M140</f>
        <v>27.63</v>
      </c>
      <c r="G1696" s="9">
        <f>'1_Du_lieu'!N140</f>
        <v>28</v>
      </c>
      <c r="H1696" s="9">
        <f>'1_Du_lieu'!X140</f>
        <v>2.7293792142733855</v>
      </c>
      <c r="I1696" s="9">
        <f>'1_Du_lieu'!T140</f>
        <v>1.8859712752067315</v>
      </c>
      <c r="J1696" s="9">
        <f>'1_Du_lieu'!Y140</f>
        <v>9.5292085626490355</v>
      </c>
      <c r="K1696" s="9">
        <f>'1_Du_lieu'!O140</f>
        <v>29.6</v>
      </c>
      <c r="L1696" s="5">
        <f t="shared" si="208"/>
        <v>0</v>
      </c>
      <c r="M1696" s="5">
        <f t="shared" si="209"/>
        <v>0</v>
      </c>
      <c r="N1696" s="5">
        <f t="shared" si="210"/>
        <v>0</v>
      </c>
      <c r="O1696" s="5">
        <f t="shared" si="211"/>
        <v>0</v>
      </c>
      <c r="P1696" s="5">
        <f t="shared" si="212"/>
        <v>0</v>
      </c>
      <c r="Q1696" s="5">
        <f>IF('1_Du_lieu'!C140="ĐBSH",1,0)</f>
        <v>1</v>
      </c>
      <c r="R1696" s="5">
        <f>IF('1_Du_lieu'!C140="BTB&amp;DHMT",1,0)</f>
        <v>0</v>
      </c>
      <c r="S1696" s="5">
        <f>IF('1_Du_lieu'!C140="ĐBSCL",1,0)</f>
        <v>0</v>
      </c>
      <c r="T1696" s="5">
        <f>IF('1_Du_lieu'!C140="TN",1,0)</f>
        <v>0</v>
      </c>
      <c r="U1696" s="5">
        <f>IF('1_Du_lieu'!C140="TDMNPB",1,0)</f>
        <v>0</v>
      </c>
    </row>
    <row r="1697" spans="1:21" x14ac:dyDescent="0.25">
      <c r="A1697" t="s">
        <v>100</v>
      </c>
      <c r="B1697">
        <v>2019</v>
      </c>
      <c r="C1697" s="7">
        <f>'1_Du_lieu'!V141</f>
        <v>3.6270040503958487</v>
      </c>
      <c r="D1697" s="9">
        <f>'1_Du_lieu'!W141</f>
        <v>3.6963514689526371</v>
      </c>
      <c r="E1697" s="9">
        <f>'1_Du_lieu'!L141</f>
        <v>2.3780000000000001</v>
      </c>
      <c r="F1697" s="9">
        <f>'1_Du_lieu'!M141</f>
        <v>9.81</v>
      </c>
      <c r="G1697" s="9">
        <f>'1_Du_lieu'!N141</f>
        <v>11.6</v>
      </c>
      <c r="H1697" s="9">
        <f>'1_Du_lieu'!X141</f>
        <v>1.0068151819471221</v>
      </c>
      <c r="I1697" s="9">
        <f>'1_Du_lieu'!T141</f>
        <v>0.2327205026762858</v>
      </c>
      <c r="J1697" s="9">
        <f>'1_Du_lieu'!Y141</f>
        <v>6.731376031643812</v>
      </c>
      <c r="K1697" s="9">
        <f>'1_Du_lieu'!O141</f>
        <v>14.4</v>
      </c>
      <c r="L1697" s="5">
        <f t="shared" si="208"/>
        <v>0</v>
      </c>
      <c r="M1697" s="5">
        <f t="shared" si="209"/>
        <v>0</v>
      </c>
      <c r="N1697" s="5">
        <f t="shared" si="210"/>
        <v>0</v>
      </c>
      <c r="O1697" s="5">
        <f t="shared" si="211"/>
        <v>0</v>
      </c>
      <c r="P1697" s="5">
        <f t="shared" si="212"/>
        <v>0</v>
      </c>
      <c r="Q1697" s="5">
        <f>IF('1_Du_lieu'!C141="ĐBSH",1,0)</f>
        <v>0</v>
      </c>
      <c r="R1697" s="5">
        <f>IF('1_Du_lieu'!C141="BTB&amp;DHMT",1,0)</f>
        <v>0</v>
      </c>
      <c r="S1697" s="5">
        <f>IF('1_Du_lieu'!C141="ĐBSCL",1,0)</f>
        <v>1</v>
      </c>
      <c r="T1697" s="5">
        <f>IF('1_Du_lieu'!C141="TN",1,0)</f>
        <v>0</v>
      </c>
      <c r="U1697" s="5">
        <f>IF('1_Du_lieu'!C141="TDMNPB",1,0)</f>
        <v>0</v>
      </c>
    </row>
    <row r="1698" spans="1:21" x14ac:dyDescent="0.25">
      <c r="A1698" t="s">
        <v>103</v>
      </c>
      <c r="B1698">
        <v>2019</v>
      </c>
      <c r="C1698" s="7">
        <f>'1_Du_lieu'!V144</f>
        <v>3.8565102954978872</v>
      </c>
      <c r="D1698" s="9">
        <f>'1_Du_lieu'!W144</f>
        <v>4.2863413845394733</v>
      </c>
      <c r="E1698" s="9">
        <f>'1_Du_lieu'!L144</f>
        <v>6.8540000000000001</v>
      </c>
      <c r="F1698" s="9">
        <f>'1_Du_lieu'!M144</f>
        <v>69.680000000000007</v>
      </c>
      <c r="G1698" s="9">
        <f>'1_Du_lieu'!N144</f>
        <v>16.399999999999999</v>
      </c>
      <c r="H1698" s="9">
        <f>'1_Du_lieu'!X144</f>
        <v>1.2143315877502252</v>
      </c>
      <c r="I1698" s="9">
        <f>'1_Du_lieu'!T144</f>
        <v>1.5372168284789645</v>
      </c>
      <c r="J1698" s="9">
        <f>'1_Du_lieu'!Y144</f>
        <v>6.377067026119895</v>
      </c>
      <c r="K1698" s="9">
        <f>'1_Du_lieu'!O144</f>
        <v>22</v>
      </c>
      <c r="L1698" s="5">
        <f t="shared" si="208"/>
        <v>0</v>
      </c>
      <c r="M1698" s="5">
        <f t="shared" si="209"/>
        <v>0</v>
      </c>
      <c r="N1698" s="5">
        <f t="shared" si="210"/>
        <v>0</v>
      </c>
      <c r="O1698" s="5">
        <f t="shared" si="211"/>
        <v>0</v>
      </c>
      <c r="P1698" s="5">
        <f t="shared" si="212"/>
        <v>0</v>
      </c>
      <c r="Q1698" s="5">
        <f>IF('1_Du_lieu'!C144="ĐBSH",1,0)</f>
        <v>0</v>
      </c>
      <c r="R1698" s="5">
        <f>IF('1_Du_lieu'!C144="BTB&amp;DHMT",1,0)</f>
        <v>0</v>
      </c>
      <c r="S1698" s="5">
        <f>IF('1_Du_lieu'!C144="ĐBSCL",1,0)</f>
        <v>1</v>
      </c>
      <c r="T1698" s="5">
        <f>IF('1_Du_lieu'!C144="TN",1,0)</f>
        <v>0</v>
      </c>
      <c r="U1698" s="5">
        <f>IF('1_Du_lieu'!C144="TDMNPB",1,0)</f>
        <v>0</v>
      </c>
    </row>
    <row r="1699" spans="1:21" x14ac:dyDescent="0.25">
      <c r="A1699" t="s">
        <v>104</v>
      </c>
      <c r="B1699">
        <v>2019</v>
      </c>
      <c r="C1699" s="7">
        <f>'1_Du_lieu'!V145</f>
        <v>3.459466289786131</v>
      </c>
      <c r="D1699" s="9">
        <f>'1_Du_lieu'!W145</f>
        <v>3.6963514689526371</v>
      </c>
      <c r="E1699" s="9">
        <f>'1_Du_lieu'!L145</f>
        <v>2.5459999999999998</v>
      </c>
      <c r="F1699" s="9">
        <f>'1_Du_lieu'!M145</f>
        <v>28.96</v>
      </c>
      <c r="G1699" s="9">
        <f>'1_Du_lieu'!N145</f>
        <v>12.5</v>
      </c>
      <c r="H1699" s="9">
        <f>'1_Du_lieu'!X145</f>
        <v>2.6578526531371081</v>
      </c>
      <c r="I1699" s="9">
        <f>'1_Du_lieu'!T145</f>
        <v>1.3156163662675964</v>
      </c>
      <c r="J1699" s="9">
        <f>'1_Du_lieu'!Y145</f>
        <v>2.1972245773362196</v>
      </c>
      <c r="K1699" s="9">
        <f>'1_Du_lieu'!O145</f>
        <v>17.3</v>
      </c>
      <c r="L1699" s="5">
        <f t="shared" si="208"/>
        <v>0</v>
      </c>
      <c r="M1699" s="5">
        <f t="shared" si="209"/>
        <v>0</v>
      </c>
      <c r="N1699" s="5">
        <f t="shared" si="210"/>
        <v>0</v>
      </c>
      <c r="O1699" s="5">
        <f t="shared" si="211"/>
        <v>0</v>
      </c>
      <c r="P1699" s="5">
        <f t="shared" si="212"/>
        <v>0</v>
      </c>
      <c r="Q1699" s="5">
        <f>IF('1_Du_lieu'!C145="ĐBSH",1,0)</f>
        <v>0</v>
      </c>
      <c r="R1699" s="5">
        <f>IF('1_Du_lieu'!C145="BTB&amp;DHMT",1,0)</f>
        <v>0</v>
      </c>
      <c r="S1699" s="5">
        <f>IF('1_Du_lieu'!C145="ĐBSCL",1,0)</f>
        <v>0</v>
      </c>
      <c r="T1699" s="5">
        <f>IF('1_Du_lieu'!C145="TN",1,0)</f>
        <v>1</v>
      </c>
      <c r="U1699" s="5">
        <f>IF('1_Du_lieu'!C145="TDMNPB",1,0)</f>
        <v>0</v>
      </c>
    </row>
    <row r="1700" spans="1:21" x14ac:dyDescent="0.25">
      <c r="A1700" t="s">
        <v>107</v>
      </c>
      <c r="B1700">
        <v>2019</v>
      </c>
      <c r="C1700" s="7">
        <f>'1_Du_lieu'!V147</f>
        <v>3.6454498961866002</v>
      </c>
      <c r="D1700" s="9">
        <f>'1_Du_lieu'!W147</f>
        <v>4.1588830833596715</v>
      </c>
      <c r="E1700" s="9">
        <f>'1_Du_lieu'!L147</f>
        <v>4.8040000000000003</v>
      </c>
      <c r="F1700" s="9">
        <f>'1_Du_lieu'!M147</f>
        <v>16.77</v>
      </c>
      <c r="G1700" s="9">
        <f>'1_Du_lieu'!N147</f>
        <v>20</v>
      </c>
      <c r="H1700" s="9">
        <f>'1_Du_lieu'!X147</f>
        <v>2.7668378701718099</v>
      </c>
      <c r="I1700" s="9">
        <f>'1_Du_lieu'!T147</f>
        <v>1.5213575190169688</v>
      </c>
      <c r="J1700" s="9">
        <f>'1_Du_lieu'!Y147</f>
        <v>8.3521298511785531</v>
      </c>
      <c r="K1700" s="9">
        <f>'1_Du_lieu'!O147</f>
        <v>17</v>
      </c>
      <c r="L1700" s="5">
        <f t="shared" si="208"/>
        <v>0</v>
      </c>
      <c r="M1700" s="5">
        <f t="shared" si="209"/>
        <v>0</v>
      </c>
      <c r="N1700" s="5">
        <f t="shared" si="210"/>
        <v>0</v>
      </c>
      <c r="O1700" s="5">
        <f t="shared" si="211"/>
        <v>0</v>
      </c>
      <c r="P1700" s="5">
        <f t="shared" si="212"/>
        <v>0</v>
      </c>
      <c r="Q1700" s="5">
        <f>IF('1_Du_lieu'!C147="ĐBSH",1,0)</f>
        <v>1</v>
      </c>
      <c r="R1700" s="5">
        <f>IF('1_Du_lieu'!C147="BTB&amp;DHMT",1,0)</f>
        <v>0</v>
      </c>
      <c r="S1700" s="5">
        <f>IF('1_Du_lieu'!C147="ĐBSCL",1,0)</f>
        <v>0</v>
      </c>
      <c r="T1700" s="5">
        <f>IF('1_Du_lieu'!C147="TN",1,0)</f>
        <v>0</v>
      </c>
      <c r="U1700" s="5">
        <f>IF('1_Du_lieu'!C147="TDMNPB",1,0)</f>
        <v>0</v>
      </c>
    </row>
    <row r="1701" spans="1:21" x14ac:dyDescent="0.25">
      <c r="A1701" t="s">
        <v>108</v>
      </c>
      <c r="B1701">
        <v>2019</v>
      </c>
      <c r="C1701" s="7">
        <f>'1_Du_lieu'!V148</f>
        <v>4.4343818650078095</v>
      </c>
      <c r="D1701" s="9">
        <f>'1_Du_lieu'!W148</f>
        <v>4.7899886229806334</v>
      </c>
      <c r="E1701" s="9">
        <f>'1_Du_lieu'!L148</f>
        <v>19.265999999999998</v>
      </c>
      <c r="F1701" s="9">
        <f>'1_Du_lieu'!M148</f>
        <v>49.42</v>
      </c>
      <c r="G1701" s="9">
        <f>'1_Du_lieu'!N148</f>
        <v>48.1</v>
      </c>
      <c r="H1701" s="9">
        <f>'1_Du_lieu'!X148</f>
        <v>2.7242491045779054</v>
      </c>
      <c r="I1701" s="9">
        <f>'1_Du_lieu'!T148</f>
        <v>2.0632822248854077</v>
      </c>
      <c r="J1701" s="9">
        <f>'1_Du_lieu'!Y148</f>
        <v>8.3533086239769485</v>
      </c>
      <c r="K1701" s="9">
        <f>'1_Du_lieu'!O148</f>
        <v>42.4</v>
      </c>
      <c r="L1701" s="5">
        <f t="shared" si="208"/>
        <v>0</v>
      </c>
      <c r="M1701" s="5">
        <f t="shared" si="209"/>
        <v>0</v>
      </c>
      <c r="N1701" s="5">
        <f t="shared" si="210"/>
        <v>0</v>
      </c>
      <c r="O1701" s="5">
        <f t="shared" si="211"/>
        <v>0</v>
      </c>
      <c r="P1701" s="5">
        <f t="shared" si="212"/>
        <v>0</v>
      </c>
      <c r="Q1701" s="5">
        <f>IF('1_Du_lieu'!C148="ĐBSH",1,0)</f>
        <v>1</v>
      </c>
      <c r="R1701" s="5">
        <f>IF('1_Du_lieu'!C148="BTB&amp;DHMT",1,0)</f>
        <v>0</v>
      </c>
      <c r="S1701" s="5">
        <f>IF('1_Du_lieu'!C148="ĐBSCL",1,0)</f>
        <v>0</v>
      </c>
      <c r="T1701" s="5">
        <f>IF('1_Du_lieu'!C148="TN",1,0)</f>
        <v>0</v>
      </c>
      <c r="U1701" s="5">
        <f>IF('1_Du_lieu'!C148="TDMNPB",1,0)</f>
        <v>0</v>
      </c>
    </row>
    <row r="1702" spans="1:21" x14ac:dyDescent="0.25">
      <c r="A1702" t="s">
        <v>109</v>
      </c>
      <c r="B1702">
        <v>2019</v>
      </c>
      <c r="C1702" s="7">
        <f>'1_Du_lieu'!V149</f>
        <v>3.572345637857985</v>
      </c>
      <c r="D1702" s="9">
        <f>'1_Du_lieu'!W149</f>
        <v>4.1026433650367959</v>
      </c>
      <c r="E1702" s="9">
        <f>'1_Du_lieu'!L149</f>
        <v>3.53</v>
      </c>
      <c r="F1702" s="9">
        <f>'1_Du_lieu'!M149</f>
        <v>19.68</v>
      </c>
      <c r="G1702" s="9">
        <f>'1_Du_lieu'!N149</f>
        <v>25</v>
      </c>
      <c r="H1702" s="9">
        <f>'1_Du_lieu'!X149</f>
        <v>3.3526644888984256</v>
      </c>
      <c r="I1702" s="9">
        <f>'1_Du_lieu'!T149</f>
        <v>0.54250949391614356</v>
      </c>
      <c r="J1702" s="9">
        <f>'1_Du_lieu'!Y149</f>
        <v>9.1150511919513608</v>
      </c>
      <c r="K1702" s="9">
        <f>'1_Du_lieu'!O149</f>
        <v>17.399999999999999</v>
      </c>
      <c r="L1702" s="5">
        <f t="shared" si="208"/>
        <v>0</v>
      </c>
      <c r="M1702" s="5">
        <f t="shared" si="209"/>
        <v>0</v>
      </c>
      <c r="N1702" s="5">
        <f t="shared" si="210"/>
        <v>0</v>
      </c>
      <c r="O1702" s="5">
        <f t="shared" si="211"/>
        <v>0</v>
      </c>
      <c r="P1702" s="5">
        <f t="shared" si="212"/>
        <v>0</v>
      </c>
      <c r="Q1702" s="5">
        <f>IF('1_Du_lieu'!C149="ĐBSH",1,0)</f>
        <v>0</v>
      </c>
      <c r="R1702" s="5">
        <f>IF('1_Du_lieu'!C149="BTB&amp;DHMT",1,0)</f>
        <v>1</v>
      </c>
      <c r="S1702" s="5">
        <f>IF('1_Du_lieu'!C149="ĐBSCL",1,0)</f>
        <v>0</v>
      </c>
      <c r="T1702" s="5">
        <f>IF('1_Du_lieu'!C149="TN",1,0)</f>
        <v>0</v>
      </c>
      <c r="U1702" s="5">
        <f>IF('1_Du_lieu'!C149="TDMNPB",1,0)</f>
        <v>0</v>
      </c>
    </row>
    <row r="1703" spans="1:21" x14ac:dyDescent="0.25">
      <c r="A1703" t="s">
        <v>110</v>
      </c>
      <c r="B1703">
        <v>2019</v>
      </c>
      <c r="C1703" s="7">
        <f>'1_Du_lieu'!V150</f>
        <v>3.4904285153900978</v>
      </c>
      <c r="D1703" s="9">
        <f>'1_Du_lieu'!W150</f>
        <v>4.0000338827508592</v>
      </c>
      <c r="E1703" s="9">
        <f>'1_Du_lieu'!L150</f>
        <v>2.702</v>
      </c>
      <c r="F1703" s="9">
        <f>'1_Du_lieu'!M150</f>
        <v>15.74</v>
      </c>
      <c r="G1703" s="9">
        <f>'1_Du_lieu'!N150</f>
        <v>17.399999999999999</v>
      </c>
      <c r="H1703" s="9">
        <f>'1_Du_lieu'!X150</f>
        <v>2.4069893207527269</v>
      </c>
      <c r="I1703" s="9">
        <f>'1_Du_lieu'!T150</f>
        <v>1.0516475812105635</v>
      </c>
      <c r="J1703" s="9">
        <f>'1_Du_lieu'!Y150</f>
        <v>6.7232312986329825</v>
      </c>
      <c r="K1703" s="9">
        <f>'1_Du_lieu'!O150</f>
        <v>13.8</v>
      </c>
      <c r="L1703" s="5">
        <f t="shared" si="208"/>
        <v>0</v>
      </c>
      <c r="M1703" s="5">
        <f t="shared" si="209"/>
        <v>0</v>
      </c>
      <c r="N1703" s="5">
        <f t="shared" si="210"/>
        <v>0</v>
      </c>
      <c r="O1703" s="5">
        <f t="shared" si="211"/>
        <v>0</v>
      </c>
      <c r="P1703" s="5">
        <f t="shared" si="212"/>
        <v>0</v>
      </c>
      <c r="Q1703" s="5">
        <f>IF('1_Du_lieu'!C150="ĐBSH",1,0)</f>
        <v>0</v>
      </c>
      <c r="R1703" s="5">
        <f>IF('1_Du_lieu'!C150="BTB&amp;DHMT",1,0)</f>
        <v>0</v>
      </c>
      <c r="S1703" s="5">
        <f>IF('1_Du_lieu'!C150="ĐBSCL",1,0)</f>
        <v>0</v>
      </c>
      <c r="T1703" s="5">
        <f>IF('1_Du_lieu'!C150="TN",1,0)</f>
        <v>0</v>
      </c>
      <c r="U1703" s="5">
        <f>IF('1_Du_lieu'!C150="TDMNPB",1,0)</f>
        <v>1</v>
      </c>
    </row>
    <row r="1704" spans="1:21" x14ac:dyDescent="0.25">
      <c r="A1704" t="s">
        <v>111</v>
      </c>
      <c r="B1704">
        <v>2019</v>
      </c>
      <c r="C1704" s="7">
        <f>'1_Du_lieu'!V151</f>
        <v>3.648057459593681</v>
      </c>
      <c r="D1704" s="9">
        <f>'1_Du_lieu'!W151</f>
        <v>4.3000027991952914</v>
      </c>
      <c r="E1704" s="9">
        <f>'1_Du_lieu'!L151</f>
        <v>5.7119999999999997</v>
      </c>
      <c r="F1704" s="9">
        <f>'1_Du_lieu'!M151</f>
        <v>16.510000000000002</v>
      </c>
      <c r="G1704" s="9">
        <f>'1_Du_lieu'!N151</f>
        <v>25.3</v>
      </c>
      <c r="H1704" s="9">
        <f>'1_Du_lieu'!X151</f>
        <v>3.178561346069436</v>
      </c>
      <c r="I1704" s="9">
        <f>'1_Du_lieu'!T151</f>
        <v>1.5129797738493391</v>
      </c>
      <c r="J1704" s="9">
        <f>'1_Du_lieu'!Y151</f>
        <v>8.2693470274616558</v>
      </c>
      <c r="K1704" s="9">
        <f>'1_Du_lieu'!O151</f>
        <v>16.7</v>
      </c>
      <c r="L1704" s="5">
        <f t="shared" si="208"/>
        <v>0</v>
      </c>
      <c r="M1704" s="5">
        <f t="shared" si="209"/>
        <v>0</v>
      </c>
      <c r="N1704" s="5">
        <f t="shared" si="210"/>
        <v>0</v>
      </c>
      <c r="O1704" s="5">
        <f t="shared" si="211"/>
        <v>0</v>
      </c>
      <c r="P1704" s="5">
        <f t="shared" si="212"/>
        <v>0</v>
      </c>
      <c r="Q1704" s="5">
        <f>IF('1_Du_lieu'!C151="ĐBSH",1,0)</f>
        <v>1</v>
      </c>
      <c r="R1704" s="5">
        <f>IF('1_Du_lieu'!C151="BTB&amp;DHMT",1,0)</f>
        <v>0</v>
      </c>
      <c r="S1704" s="5">
        <f>IF('1_Du_lieu'!C151="ĐBSCL",1,0)</f>
        <v>0</v>
      </c>
      <c r="T1704" s="5">
        <f>IF('1_Du_lieu'!C151="TN",1,0)</f>
        <v>0</v>
      </c>
      <c r="U1704" s="5">
        <f>IF('1_Du_lieu'!C151="TDMNPB",1,0)</f>
        <v>0</v>
      </c>
    </row>
    <row r="1705" spans="1:21" x14ac:dyDescent="0.25">
      <c r="A1705" t="s">
        <v>112</v>
      </c>
      <c r="B1705">
        <v>2019</v>
      </c>
      <c r="C1705" s="7">
        <f>'1_Du_lieu'!V152</f>
        <v>3.8416005411316001</v>
      </c>
      <c r="D1705" s="9">
        <f>'1_Du_lieu'!W152</f>
        <v>4.2017030805426003</v>
      </c>
      <c r="E1705" s="9">
        <f>'1_Du_lieu'!L152</f>
        <v>4.7350000000000003</v>
      </c>
      <c r="F1705" s="9">
        <f>'1_Du_lieu'!M152</f>
        <v>31.32</v>
      </c>
      <c r="G1705" s="9">
        <f>'1_Du_lieu'!N152</f>
        <v>22.1</v>
      </c>
      <c r="H1705" s="9">
        <f>'1_Du_lieu'!X152</f>
        <v>3.0467366338006974</v>
      </c>
      <c r="I1705" s="9">
        <f>'1_Du_lieu'!T152</f>
        <v>0.57989351046444193</v>
      </c>
      <c r="J1705" s="9">
        <f>'1_Du_lieu'!Y152</f>
        <v>8.369203493702452</v>
      </c>
      <c r="K1705" s="9">
        <f>'1_Du_lieu'!O152</f>
        <v>20</v>
      </c>
      <c r="L1705" s="5">
        <f t="shared" si="208"/>
        <v>0</v>
      </c>
      <c r="M1705" s="5">
        <f t="shared" si="209"/>
        <v>0</v>
      </c>
      <c r="N1705" s="5">
        <f t="shared" si="210"/>
        <v>0</v>
      </c>
      <c r="O1705" s="5">
        <f t="shared" si="211"/>
        <v>0</v>
      </c>
      <c r="P1705" s="5">
        <f t="shared" si="212"/>
        <v>0</v>
      </c>
      <c r="Q1705" s="5">
        <f>IF('1_Du_lieu'!C152="ĐBSH",1,0)</f>
        <v>1</v>
      </c>
      <c r="R1705" s="5">
        <f>IF('1_Du_lieu'!C152="BTB&amp;DHMT",1,0)</f>
        <v>0</v>
      </c>
      <c r="S1705" s="5">
        <f>IF('1_Du_lieu'!C152="ĐBSCL",1,0)</f>
        <v>0</v>
      </c>
      <c r="T1705" s="5">
        <f>IF('1_Du_lieu'!C152="TN",1,0)</f>
        <v>0</v>
      </c>
      <c r="U1705" s="5">
        <f>IF('1_Du_lieu'!C152="TDMNPB",1,0)</f>
        <v>0</v>
      </c>
    </row>
    <row r="1706" spans="1:21" x14ac:dyDescent="0.25">
      <c r="A1706" t="s">
        <v>113</v>
      </c>
      <c r="B1706">
        <v>2019</v>
      </c>
      <c r="C1706" s="7">
        <f>'1_Du_lieu'!V153</f>
        <v>4.0876555740713041</v>
      </c>
      <c r="D1706" s="9">
        <f>'1_Du_lieu'!W153</f>
        <v>4.8056590467374951</v>
      </c>
      <c r="E1706" s="9">
        <f>'1_Du_lieu'!L153</f>
        <v>9.7959999999999994</v>
      </c>
      <c r="F1706" s="9">
        <f>'1_Du_lieu'!M153</f>
        <v>45.59</v>
      </c>
      <c r="G1706" s="9">
        <f>'1_Du_lieu'!N153</f>
        <v>31.6</v>
      </c>
      <c r="H1706" s="9">
        <f>'1_Du_lieu'!X153</f>
        <v>3.792556682003529</v>
      </c>
      <c r="I1706" s="9">
        <f>'1_Du_lieu'!T153</f>
        <v>1.6721585599763931</v>
      </c>
      <c r="J1706" s="9">
        <f>'1_Du_lieu'!Y153</f>
        <v>9.1293255252619065</v>
      </c>
      <c r="K1706" s="9">
        <f>'1_Du_lieu'!O153</f>
        <v>25.5</v>
      </c>
      <c r="L1706" s="5">
        <f t="shared" si="208"/>
        <v>0</v>
      </c>
      <c r="M1706" s="5">
        <f t="shared" si="209"/>
        <v>0</v>
      </c>
      <c r="N1706" s="5">
        <f t="shared" si="210"/>
        <v>0</v>
      </c>
      <c r="O1706" s="5">
        <f t="shared" si="211"/>
        <v>0</v>
      </c>
      <c r="P1706" s="5">
        <f t="shared" si="212"/>
        <v>0</v>
      </c>
      <c r="Q1706" s="5">
        <f>IF('1_Du_lieu'!C153="ĐBSH",1,0)</f>
        <v>1</v>
      </c>
      <c r="R1706" s="5">
        <f>IF('1_Du_lieu'!C153="BTB&amp;DHMT",1,0)</f>
        <v>0</v>
      </c>
      <c r="S1706" s="5">
        <f>IF('1_Du_lieu'!C153="ĐBSCL",1,0)</f>
        <v>0</v>
      </c>
      <c r="T1706" s="5">
        <f>IF('1_Du_lieu'!C153="TN",1,0)</f>
        <v>0</v>
      </c>
      <c r="U1706" s="5">
        <f>IF('1_Du_lieu'!C153="TDMNPB",1,0)</f>
        <v>0</v>
      </c>
    </row>
    <row r="1707" spans="1:21" x14ac:dyDescent="0.25">
      <c r="A1707" t="s">
        <v>115</v>
      </c>
      <c r="B1707">
        <v>2019</v>
      </c>
      <c r="C1707" s="7">
        <f>'1_Du_lieu'!V155</f>
        <v>3.7541989202345789</v>
      </c>
      <c r="D1707" s="9">
        <f>'1_Du_lieu'!W155</f>
        <v>4.2541932631639972</v>
      </c>
      <c r="E1707" s="9">
        <f>'1_Du_lieu'!L155</f>
        <v>8.9550000000000001</v>
      </c>
      <c r="F1707" s="9">
        <f>'1_Du_lieu'!M155</f>
        <v>42.29</v>
      </c>
      <c r="G1707" s="9">
        <f>'1_Du_lieu'!N155</f>
        <v>22.8</v>
      </c>
      <c r="H1707" s="9">
        <f>'1_Du_lieu'!X155</f>
        <v>3.0142091251449474</v>
      </c>
      <c r="I1707" s="9">
        <f>'1_Du_lieu'!T155</f>
        <v>3.3257624918883844</v>
      </c>
      <c r="J1707" s="9">
        <f>'1_Du_lieu'!Y155</f>
        <v>8.1570264439353597</v>
      </c>
      <c r="K1707" s="9">
        <f>'1_Du_lieu'!O155</f>
        <v>30.1</v>
      </c>
      <c r="L1707" s="5">
        <f t="shared" si="208"/>
        <v>0</v>
      </c>
      <c r="M1707" s="5">
        <f t="shared" si="209"/>
        <v>0</v>
      </c>
      <c r="N1707" s="5">
        <f t="shared" si="210"/>
        <v>0</v>
      </c>
      <c r="O1707" s="5">
        <f t="shared" si="211"/>
        <v>0</v>
      </c>
      <c r="P1707" s="5">
        <f t="shared" si="212"/>
        <v>0</v>
      </c>
      <c r="Q1707" s="5">
        <f>IF('1_Du_lieu'!C155="ĐBSH",1,0)</f>
        <v>0</v>
      </c>
      <c r="R1707" s="5">
        <f>IF('1_Du_lieu'!C155="BTB&amp;DHMT",1,0)</f>
        <v>1</v>
      </c>
      <c r="S1707" s="5">
        <f>IF('1_Du_lieu'!C155="ĐBSCL",1,0)</f>
        <v>0</v>
      </c>
      <c r="T1707" s="5">
        <f>IF('1_Du_lieu'!C155="TN",1,0)</f>
        <v>0</v>
      </c>
      <c r="U1707" s="5">
        <f>IF('1_Du_lieu'!C155="TDMNPB",1,0)</f>
        <v>0</v>
      </c>
    </row>
    <row r="1708" spans="1:21" x14ac:dyDescent="0.25">
      <c r="A1708" t="s">
        <v>116</v>
      </c>
      <c r="B1708">
        <v>2019</v>
      </c>
      <c r="C1708" s="7">
        <f>'1_Du_lieu'!V156</f>
        <v>3.6216707044204863</v>
      </c>
      <c r="D1708" s="9">
        <f>'1_Du_lieu'!W156</f>
        <v>4.01096295328305</v>
      </c>
      <c r="E1708" s="9">
        <f>'1_Du_lieu'!L156</f>
        <v>4.2210000000000001</v>
      </c>
      <c r="F1708" s="9">
        <f>'1_Du_lieu'!M156</f>
        <v>28.36</v>
      </c>
      <c r="G1708" s="9">
        <f>'1_Du_lieu'!N156</f>
        <v>13.6</v>
      </c>
      <c r="H1708" s="9">
        <f>'1_Du_lieu'!X156</f>
        <v>0.81888518665862431</v>
      </c>
      <c r="I1708" s="9">
        <f>'1_Du_lieu'!T156</f>
        <v>0.63816209317166561</v>
      </c>
      <c r="J1708" s="9">
        <f>'1_Du_lieu'!Y156</f>
        <v>7.9327210274819482</v>
      </c>
      <c r="K1708" s="9">
        <f>'1_Du_lieu'!O156</f>
        <v>20.9</v>
      </c>
      <c r="L1708" s="5">
        <f t="shared" si="208"/>
        <v>0</v>
      </c>
      <c r="M1708" s="5">
        <f t="shared" si="209"/>
        <v>0</v>
      </c>
      <c r="N1708" s="5">
        <f t="shared" si="210"/>
        <v>0</v>
      </c>
      <c r="O1708" s="5">
        <f t="shared" si="211"/>
        <v>0</v>
      </c>
      <c r="P1708" s="5">
        <f t="shared" si="212"/>
        <v>0</v>
      </c>
      <c r="Q1708" s="5">
        <f>IF('1_Du_lieu'!C156="ĐBSH",1,0)</f>
        <v>0</v>
      </c>
      <c r="R1708" s="5">
        <f>IF('1_Du_lieu'!C156="BTB&amp;DHMT",1,0)</f>
        <v>0</v>
      </c>
      <c r="S1708" s="5">
        <f>IF('1_Du_lieu'!C156="ĐBSCL",1,0)</f>
        <v>1</v>
      </c>
      <c r="T1708" s="5">
        <f>IF('1_Du_lieu'!C156="TN",1,0)</f>
        <v>0</v>
      </c>
      <c r="U1708" s="5">
        <f>IF('1_Du_lieu'!C156="TDMNPB",1,0)</f>
        <v>0</v>
      </c>
    </row>
    <row r="1709" spans="1:21" x14ac:dyDescent="0.25">
      <c r="A1709" t="s">
        <v>117</v>
      </c>
      <c r="B1709">
        <v>2019</v>
      </c>
      <c r="C1709" s="7">
        <f>'1_Du_lieu'!V157</f>
        <v>3.4210000089583352</v>
      </c>
      <c r="D1709" s="9">
        <f>'1_Du_lieu'!W157</f>
        <v>3.6963514689526371</v>
      </c>
      <c r="E1709" s="9">
        <f>'1_Du_lieu'!L157</f>
        <v>3.0249999999999999</v>
      </c>
      <c r="F1709" s="9">
        <f>'1_Du_lieu'!M157</f>
        <v>31.97</v>
      </c>
      <c r="G1709" s="9">
        <f>'1_Du_lieu'!N157</f>
        <v>12.9</v>
      </c>
      <c r="H1709" s="9">
        <f>'1_Du_lieu'!X157</f>
        <v>2.3822823374177546</v>
      </c>
      <c r="I1709" s="9">
        <f>'1_Du_lieu'!T157</f>
        <v>0.73610599926389408</v>
      </c>
      <c r="J1709" s="9">
        <f>'1_Du_lieu'!Y157</f>
        <v>5.1579052128312917</v>
      </c>
      <c r="K1709" s="9">
        <f>'1_Du_lieu'!O157</f>
        <v>15</v>
      </c>
      <c r="L1709" s="5">
        <f t="shared" si="208"/>
        <v>0</v>
      </c>
      <c r="M1709" s="5">
        <f t="shared" si="209"/>
        <v>0</v>
      </c>
      <c r="N1709" s="5">
        <f t="shared" si="210"/>
        <v>0</v>
      </c>
      <c r="O1709" s="5">
        <f t="shared" si="211"/>
        <v>0</v>
      </c>
      <c r="P1709" s="5">
        <f t="shared" si="212"/>
        <v>0</v>
      </c>
      <c r="Q1709" s="5">
        <f>IF('1_Du_lieu'!C157="ĐBSH",1,0)</f>
        <v>0</v>
      </c>
      <c r="R1709" s="5">
        <f>IF('1_Du_lieu'!C157="BTB&amp;DHMT",1,0)</f>
        <v>0</v>
      </c>
      <c r="S1709" s="5">
        <f>IF('1_Du_lieu'!C157="ĐBSCL",1,0)</f>
        <v>0</v>
      </c>
      <c r="T1709" s="5">
        <f>IF('1_Du_lieu'!C157="TN",1,0)</f>
        <v>1</v>
      </c>
      <c r="U1709" s="5">
        <f>IF('1_Du_lieu'!C157="TDMNPB",1,0)</f>
        <v>0</v>
      </c>
    </row>
    <row r="1710" spans="1:21" x14ac:dyDescent="0.25">
      <c r="A1710" t="s">
        <v>119</v>
      </c>
      <c r="B1710">
        <v>2019</v>
      </c>
      <c r="C1710" s="7">
        <f>'1_Du_lieu'!V159</f>
        <v>3.6082115510464816</v>
      </c>
      <c r="D1710" s="9">
        <f>'1_Du_lieu'!W159</f>
        <v>4.28771595520264</v>
      </c>
      <c r="E1710" s="9">
        <f>'1_Du_lieu'!L159</f>
        <v>5.7190000000000003</v>
      </c>
      <c r="F1710" s="9">
        <f>'1_Du_lieu'!M159</f>
        <v>16.079999999999998</v>
      </c>
      <c r="G1710" s="9">
        <f>'1_Du_lieu'!N159</f>
        <v>16.7</v>
      </c>
      <c r="H1710" s="9">
        <f>'1_Du_lieu'!X159</f>
        <v>1.221371158364279</v>
      </c>
      <c r="I1710" s="9">
        <f>'1_Du_lieu'!T159</f>
        <v>0.53094212730812351</v>
      </c>
      <c r="J1710" s="9">
        <f>'1_Du_lieu'!Y159</f>
        <v>8.4471998195957028</v>
      </c>
      <c r="K1710" s="9">
        <f>'1_Du_lieu'!O159</f>
        <v>18</v>
      </c>
      <c r="L1710" s="5">
        <f t="shared" si="208"/>
        <v>0</v>
      </c>
      <c r="M1710" s="5">
        <f t="shared" si="209"/>
        <v>0</v>
      </c>
      <c r="N1710" s="5">
        <f t="shared" si="210"/>
        <v>0</v>
      </c>
      <c r="O1710" s="5">
        <f t="shared" si="211"/>
        <v>0</v>
      </c>
      <c r="P1710" s="5">
        <f t="shared" si="212"/>
        <v>0</v>
      </c>
      <c r="Q1710" s="5">
        <f>IF('1_Du_lieu'!C159="ĐBSH",1,0)</f>
        <v>0</v>
      </c>
      <c r="R1710" s="5">
        <f>IF('1_Du_lieu'!C159="BTB&amp;DHMT",1,0)</f>
        <v>0</v>
      </c>
      <c r="S1710" s="5">
        <f>IF('1_Du_lieu'!C159="ĐBSCL",1,0)</f>
        <v>1</v>
      </c>
      <c r="T1710" s="5">
        <f>IF('1_Du_lieu'!C159="TN",1,0)</f>
        <v>0</v>
      </c>
      <c r="U1710" s="5">
        <f>IF('1_Du_lieu'!C159="TDMNPB",1,0)</f>
        <v>0</v>
      </c>
    </row>
    <row r="1711" spans="1:21" x14ac:dyDescent="0.25">
      <c r="A1711" t="s">
        <v>120</v>
      </c>
      <c r="B1711">
        <v>2019</v>
      </c>
      <c r="C1711" s="7">
        <f>'1_Du_lieu'!V160</f>
        <v>3.5695326964813701</v>
      </c>
      <c r="D1711" s="9">
        <f>'1_Du_lieu'!W160</f>
        <v>4.220977213155467</v>
      </c>
      <c r="E1711" s="9">
        <f>'1_Du_lieu'!L160</f>
        <v>3.516</v>
      </c>
      <c r="F1711" s="9">
        <f>'1_Du_lieu'!M160</f>
        <v>23.39</v>
      </c>
      <c r="G1711" s="9">
        <f>'1_Du_lieu'!N160</f>
        <v>19.5</v>
      </c>
      <c r="H1711" s="9">
        <f>'1_Du_lieu'!X160</f>
        <v>2.1232809348141224</v>
      </c>
      <c r="I1711" s="9">
        <f>'1_Du_lieu'!T160</f>
        <v>1.9091776898949955</v>
      </c>
      <c r="J1711" s="9">
        <f>'1_Du_lieu'!Y160</f>
        <v>6.6682282484174031</v>
      </c>
      <c r="K1711" s="9">
        <f>'1_Du_lieu'!O160</f>
        <v>24.5</v>
      </c>
      <c r="L1711" s="5">
        <f t="shared" si="208"/>
        <v>0</v>
      </c>
      <c r="M1711" s="5">
        <f t="shared" si="209"/>
        <v>0</v>
      </c>
      <c r="N1711" s="5">
        <f t="shared" si="210"/>
        <v>0</v>
      </c>
      <c r="O1711" s="5">
        <f t="shared" si="211"/>
        <v>0</v>
      </c>
      <c r="P1711" s="5">
        <f t="shared" si="212"/>
        <v>0</v>
      </c>
      <c r="Q1711" s="5">
        <f>IF('1_Du_lieu'!C160="ĐBSH",1,0)</f>
        <v>0</v>
      </c>
      <c r="R1711" s="5">
        <f>IF('1_Du_lieu'!C160="BTB&amp;DHMT",1,0)</f>
        <v>0</v>
      </c>
      <c r="S1711" s="5">
        <f>IF('1_Du_lieu'!C160="ĐBSCL",1,0)</f>
        <v>0</v>
      </c>
      <c r="T1711" s="5">
        <f>IF('1_Du_lieu'!C160="TN",1,0)</f>
        <v>0</v>
      </c>
      <c r="U1711" s="5">
        <f>IF('1_Du_lieu'!C160="TDMNPB",1,0)</f>
        <v>1</v>
      </c>
    </row>
    <row r="1712" spans="1:21" x14ac:dyDescent="0.25">
      <c r="A1712" t="s">
        <v>121</v>
      </c>
      <c r="B1712">
        <v>2019</v>
      </c>
      <c r="C1712" s="7">
        <f>'1_Du_lieu'!V161</f>
        <v>3.6988297849671046</v>
      </c>
      <c r="D1712" s="9">
        <f>'1_Du_lieu'!W161</f>
        <v>4.1026433650367959</v>
      </c>
      <c r="E1712" s="9">
        <f>'1_Du_lieu'!L161</f>
        <v>4.8630000000000004</v>
      </c>
      <c r="F1712" s="9">
        <f>'1_Du_lieu'!M161</f>
        <v>39.17</v>
      </c>
      <c r="G1712" s="9">
        <f>'1_Du_lieu'!N161</f>
        <v>16.7</v>
      </c>
      <c r="H1712" s="9">
        <f>'1_Du_lieu'!X161</f>
        <v>2.424660365279816</v>
      </c>
      <c r="I1712" s="9">
        <f>'1_Du_lieu'!T161</f>
        <v>0.53875163549603633</v>
      </c>
      <c r="J1712" s="9">
        <f>'1_Du_lieu'!Y161</f>
        <v>5.9957055413652363</v>
      </c>
      <c r="K1712" s="9">
        <f>'1_Du_lieu'!O161</f>
        <v>30.8</v>
      </c>
      <c r="L1712" s="5">
        <f t="shared" si="208"/>
        <v>0</v>
      </c>
      <c r="M1712" s="5">
        <f t="shared" si="209"/>
        <v>0</v>
      </c>
      <c r="N1712" s="5">
        <f t="shared" si="210"/>
        <v>0</v>
      </c>
      <c r="O1712" s="5">
        <f t="shared" si="211"/>
        <v>0</v>
      </c>
      <c r="P1712" s="5">
        <f t="shared" si="212"/>
        <v>0</v>
      </c>
      <c r="Q1712" s="5">
        <f>IF('1_Du_lieu'!C161="ĐBSH",1,0)</f>
        <v>0</v>
      </c>
      <c r="R1712" s="5">
        <f>IF('1_Du_lieu'!C161="BTB&amp;DHMT",1,0)</f>
        <v>0</v>
      </c>
      <c r="S1712" s="5">
        <f>IF('1_Du_lieu'!C161="ĐBSCL",1,0)</f>
        <v>0</v>
      </c>
      <c r="T1712" s="5">
        <f>IF('1_Du_lieu'!C161="TN",1,0)</f>
        <v>1</v>
      </c>
      <c r="U1712" s="5">
        <f>IF('1_Du_lieu'!C161="TDMNPB",1,0)</f>
        <v>0</v>
      </c>
    </row>
    <row r="1713" spans="1:21" x14ac:dyDescent="0.25">
      <c r="A1713" t="s">
        <v>122</v>
      </c>
      <c r="B1713">
        <v>2019</v>
      </c>
      <c r="C1713" s="7">
        <f>'1_Du_lieu'!V162</f>
        <v>3.3603753871419002</v>
      </c>
      <c r="D1713" s="9">
        <f>'1_Du_lieu'!W162</f>
        <v>3.735285826928092</v>
      </c>
      <c r="E1713" s="9">
        <f>'1_Du_lieu'!L162</f>
        <v>2.4340000000000002</v>
      </c>
      <c r="F1713" s="9">
        <f>'1_Du_lieu'!M162</f>
        <v>20.48</v>
      </c>
      <c r="G1713" s="9">
        <f>'1_Du_lieu'!N162</f>
        <v>16.5</v>
      </c>
      <c r="H1713" s="9">
        <f>'1_Du_lieu'!X162</f>
        <v>2.1793949640432282</v>
      </c>
      <c r="I1713" s="9">
        <f>'1_Du_lieu'!T162</f>
        <v>0.76647930505876349</v>
      </c>
      <c r="J1713" s="9">
        <f>'1_Du_lieu'!Y162</f>
        <v>5.7212948997408324</v>
      </c>
      <c r="K1713" s="9">
        <f>'1_Du_lieu'!O162</f>
        <v>15</v>
      </c>
      <c r="L1713" s="5">
        <f t="shared" si="208"/>
        <v>0</v>
      </c>
      <c r="M1713" s="5">
        <f t="shared" si="209"/>
        <v>0</v>
      </c>
      <c r="N1713" s="5">
        <f t="shared" si="210"/>
        <v>0</v>
      </c>
      <c r="O1713" s="5">
        <f t="shared" si="211"/>
        <v>0</v>
      </c>
      <c r="P1713" s="5">
        <f t="shared" si="212"/>
        <v>0</v>
      </c>
      <c r="Q1713" s="5">
        <f>IF('1_Du_lieu'!C162="ĐBSH",1,0)</f>
        <v>0</v>
      </c>
      <c r="R1713" s="5">
        <f>IF('1_Du_lieu'!C162="BTB&amp;DHMT",1,0)</f>
        <v>0</v>
      </c>
      <c r="S1713" s="5">
        <f>IF('1_Du_lieu'!C162="ĐBSCL",1,0)</f>
        <v>0</v>
      </c>
      <c r="T1713" s="5">
        <f>IF('1_Du_lieu'!C162="TN",1,0)</f>
        <v>0</v>
      </c>
      <c r="U1713" s="5">
        <f>IF('1_Du_lieu'!C162="TDMNPB",1,0)</f>
        <v>1</v>
      </c>
    </row>
    <row r="1714" spans="1:21" x14ac:dyDescent="0.25">
      <c r="A1714" t="s">
        <v>123</v>
      </c>
      <c r="B1714">
        <v>2019</v>
      </c>
      <c r="C1714" s="7">
        <f>'1_Du_lieu'!V163</f>
        <v>3.6888794541139363</v>
      </c>
      <c r="D1714" s="9">
        <f>'1_Du_lieu'!W163</f>
        <v>3.6635616461296463</v>
      </c>
      <c r="E1714" s="9">
        <f>'1_Du_lieu'!L163</f>
        <v>3.1869999999999998</v>
      </c>
      <c r="F1714" s="9">
        <f>'1_Du_lieu'!M163</f>
        <v>18.18</v>
      </c>
      <c r="G1714" s="9">
        <f>'1_Du_lieu'!N163</f>
        <v>17.7</v>
      </c>
      <c r="H1714" s="9">
        <f>'1_Du_lieu'!X163</f>
        <v>2.0236282045263727</v>
      </c>
      <c r="I1714" s="9">
        <f>'1_Du_lieu'!T163</f>
        <v>1.010724914369139</v>
      </c>
      <c r="J1714" s="9">
        <f>'1_Du_lieu'!Y163</f>
        <v>7.5857888217320344</v>
      </c>
      <c r="K1714" s="9">
        <f>'1_Du_lieu'!O163</f>
        <v>10.199999999999999</v>
      </c>
      <c r="L1714" s="5">
        <f t="shared" si="208"/>
        <v>0</v>
      </c>
      <c r="M1714" s="5">
        <f t="shared" si="209"/>
        <v>0</v>
      </c>
      <c r="N1714" s="5">
        <f t="shared" si="210"/>
        <v>0</v>
      </c>
      <c r="O1714" s="5">
        <f t="shared" si="211"/>
        <v>0</v>
      </c>
      <c r="P1714" s="5">
        <f t="shared" si="212"/>
        <v>0</v>
      </c>
      <c r="Q1714" s="5">
        <f>IF('1_Du_lieu'!C163="ĐBSH",1,0)</f>
        <v>1</v>
      </c>
      <c r="R1714" s="5">
        <f>IF('1_Du_lieu'!C163="BTB&amp;DHMT",1,0)</f>
        <v>0</v>
      </c>
      <c r="S1714" s="5">
        <f>IF('1_Du_lieu'!C163="ĐBSCL",1,0)</f>
        <v>0</v>
      </c>
      <c r="T1714" s="5">
        <f>IF('1_Du_lieu'!C163="TN",1,0)</f>
        <v>0</v>
      </c>
      <c r="U1714" s="5">
        <f>IF('1_Du_lieu'!C163="TDMNPB",1,0)</f>
        <v>0</v>
      </c>
    </row>
    <row r="1715" spans="1:21" x14ac:dyDescent="0.25">
      <c r="A1715" t="s">
        <v>124</v>
      </c>
      <c r="B1715">
        <v>2019</v>
      </c>
      <c r="C1715" s="7">
        <f>'1_Du_lieu'!V164</f>
        <v>3.7471483622379123</v>
      </c>
      <c r="D1715" s="9">
        <f>'1_Du_lieu'!W164</f>
        <v>3.6838669122903918</v>
      </c>
      <c r="E1715" s="9">
        <f>'1_Du_lieu'!L164</f>
        <v>3.2530000000000001</v>
      </c>
      <c r="F1715" s="9">
        <f>'1_Du_lieu'!M164</f>
        <v>14.7</v>
      </c>
      <c r="G1715" s="9">
        <f>'1_Du_lieu'!N164</f>
        <v>20.7</v>
      </c>
      <c r="H1715" s="9">
        <f>'1_Du_lieu'!X164</f>
        <v>3.4398768452766815</v>
      </c>
      <c r="I1715" s="9">
        <f>'1_Du_lieu'!T164</f>
        <v>3.1763154740501025</v>
      </c>
      <c r="J1715" s="9">
        <f>'1_Du_lieu'!Y164</f>
        <v>6.4734276261888715</v>
      </c>
      <c r="K1715" s="9">
        <f>'1_Du_lieu'!O164</f>
        <v>18.899999999999999</v>
      </c>
      <c r="L1715" s="5">
        <f t="shared" si="208"/>
        <v>0</v>
      </c>
      <c r="M1715" s="5">
        <f t="shared" si="209"/>
        <v>0</v>
      </c>
      <c r="N1715" s="5">
        <f t="shared" si="210"/>
        <v>0</v>
      </c>
      <c r="O1715" s="5">
        <f t="shared" si="211"/>
        <v>0</v>
      </c>
      <c r="P1715" s="5">
        <f t="shared" si="212"/>
        <v>0</v>
      </c>
      <c r="Q1715" s="5">
        <f>IF('1_Du_lieu'!C164="ĐBSH",1,0)</f>
        <v>0</v>
      </c>
      <c r="R1715" s="5">
        <f>IF('1_Du_lieu'!C164="BTB&amp;DHMT",1,0)</f>
        <v>1</v>
      </c>
      <c r="S1715" s="5">
        <f>IF('1_Du_lieu'!C164="ĐBSCL",1,0)</f>
        <v>0</v>
      </c>
      <c r="T1715" s="5">
        <f>IF('1_Du_lieu'!C164="TN",1,0)</f>
        <v>0</v>
      </c>
      <c r="U1715" s="5">
        <f>IF('1_Du_lieu'!C164="TDMNPB",1,0)</f>
        <v>0</v>
      </c>
    </row>
    <row r="1716" spans="1:21" x14ac:dyDescent="0.25">
      <c r="A1716" t="s">
        <v>125</v>
      </c>
      <c r="B1716">
        <v>2019</v>
      </c>
      <c r="C1716" s="7">
        <f>'1_Du_lieu'!V165</f>
        <v>3.7184382563554808</v>
      </c>
      <c r="D1716" s="9">
        <f>'1_Du_lieu'!W165</f>
        <v>4.1399550734741526</v>
      </c>
      <c r="E1716" s="9">
        <f>'1_Du_lieu'!L165</f>
        <v>4.3440000000000003</v>
      </c>
      <c r="F1716" s="9">
        <f>'1_Du_lieu'!M165</f>
        <v>21.11</v>
      </c>
      <c r="G1716" s="9">
        <f>'1_Du_lieu'!N165</f>
        <v>28.9</v>
      </c>
      <c r="H1716" s="9">
        <f>'1_Du_lieu'!X165</f>
        <v>3.2331082416068808</v>
      </c>
      <c r="I1716" s="9">
        <f>'1_Du_lieu'!T165</f>
        <v>1.015744032503809</v>
      </c>
      <c r="J1716" s="9">
        <f>'1_Du_lieu'!Y165</f>
        <v>7.2581304207723409</v>
      </c>
      <c r="K1716" s="9">
        <f>'1_Du_lieu'!O165</f>
        <v>16.100000000000001</v>
      </c>
      <c r="L1716" s="5">
        <f t="shared" si="208"/>
        <v>0</v>
      </c>
      <c r="M1716" s="5">
        <f t="shared" si="209"/>
        <v>0</v>
      </c>
      <c r="N1716" s="5">
        <f t="shared" si="210"/>
        <v>0</v>
      </c>
      <c r="O1716" s="5">
        <f t="shared" si="211"/>
        <v>0</v>
      </c>
      <c r="P1716" s="5">
        <f t="shared" si="212"/>
        <v>0</v>
      </c>
      <c r="Q1716" s="5">
        <f>IF('1_Du_lieu'!C165="ĐBSH",1,0)</f>
        <v>1</v>
      </c>
      <c r="R1716" s="5">
        <f>IF('1_Du_lieu'!C165="BTB&amp;DHMT",1,0)</f>
        <v>0</v>
      </c>
      <c r="S1716" s="5">
        <f>IF('1_Du_lieu'!C165="ĐBSCL",1,0)</f>
        <v>0</v>
      </c>
      <c r="T1716" s="5">
        <f>IF('1_Du_lieu'!C165="TN",1,0)</f>
        <v>0</v>
      </c>
      <c r="U1716" s="5">
        <f>IF('1_Du_lieu'!C165="TDMNPB",1,0)</f>
        <v>0</v>
      </c>
    </row>
    <row r="1717" spans="1:21" x14ac:dyDescent="0.25">
      <c r="A1717" t="s">
        <v>126</v>
      </c>
      <c r="B1717">
        <v>2019</v>
      </c>
      <c r="C1717" s="7">
        <f>'1_Du_lieu'!V166</f>
        <v>3.5085558999826545</v>
      </c>
      <c r="D1717" s="9">
        <f>'1_Du_lieu'!W166</f>
        <v>3.9646154555473165</v>
      </c>
      <c r="E1717" s="9">
        <f>'1_Du_lieu'!L166</f>
        <v>3.9630000000000001</v>
      </c>
      <c r="F1717" s="9">
        <f>'1_Du_lieu'!M166</f>
        <v>35.75</v>
      </c>
      <c r="G1717" s="9">
        <f>'1_Du_lieu'!N166</f>
        <v>18.899999999999999</v>
      </c>
      <c r="H1717" s="9">
        <f>'1_Du_lieu'!X166</f>
        <v>2.3019927009824763</v>
      </c>
      <c r="I1717" s="9">
        <f>'1_Du_lieu'!T166</f>
        <v>1.1844331641285957</v>
      </c>
      <c r="J1717" s="9">
        <f>'1_Du_lieu'!Y166</f>
        <v>7.9710166903473212</v>
      </c>
      <c r="K1717" s="9">
        <f>'1_Du_lieu'!O166</f>
        <v>12.8</v>
      </c>
      <c r="L1717" s="5">
        <f t="shared" si="208"/>
        <v>0</v>
      </c>
      <c r="M1717" s="5">
        <f t="shared" si="209"/>
        <v>0</v>
      </c>
      <c r="N1717" s="5">
        <f t="shared" si="210"/>
        <v>0</v>
      </c>
      <c r="O1717" s="5">
        <f t="shared" si="211"/>
        <v>0</v>
      </c>
      <c r="P1717" s="5">
        <f t="shared" si="212"/>
        <v>0</v>
      </c>
      <c r="Q1717" s="5">
        <f>IF('1_Du_lieu'!C166="ĐBSH",1,0)</f>
        <v>0</v>
      </c>
      <c r="R1717" s="5">
        <f>IF('1_Du_lieu'!C166="BTB&amp;DHMT",1,0)</f>
        <v>1</v>
      </c>
      <c r="S1717" s="5">
        <f>IF('1_Du_lieu'!C166="ĐBSCL",1,0)</f>
        <v>0</v>
      </c>
      <c r="T1717" s="5">
        <f>IF('1_Du_lieu'!C166="TN",1,0)</f>
        <v>0</v>
      </c>
      <c r="U1717" s="5">
        <f>IF('1_Du_lieu'!C166="TDMNPB",1,0)</f>
        <v>0</v>
      </c>
    </row>
    <row r="1718" spans="1:21" x14ac:dyDescent="0.25">
      <c r="A1718" t="s">
        <v>127</v>
      </c>
      <c r="B1718">
        <v>2019</v>
      </c>
      <c r="C1718" s="7">
        <f>'1_Du_lieu'!V167</f>
        <v>3.6584202466292277</v>
      </c>
      <c r="D1718" s="9">
        <f>'1_Du_lieu'!W167</f>
        <v>3.8522730010223722</v>
      </c>
      <c r="E1718" s="9">
        <f>'1_Du_lieu'!L167</f>
        <v>3.35</v>
      </c>
      <c r="F1718" s="9">
        <f>'1_Du_lieu'!M167</f>
        <v>18.37</v>
      </c>
      <c r="G1718" s="9">
        <f>'1_Du_lieu'!N167</f>
        <v>24.6</v>
      </c>
      <c r="H1718" s="9">
        <f>'1_Du_lieu'!X167</f>
        <v>2.9844819641613083</v>
      </c>
      <c r="I1718" s="9">
        <f>'1_Du_lieu'!T167</f>
        <v>1.2956901254773594</v>
      </c>
      <c r="J1718" s="9">
        <f>'1_Du_lieu'!Y167</f>
        <v>6.9939329752231894</v>
      </c>
      <c r="K1718" s="9">
        <f>'1_Du_lieu'!O167</f>
        <v>21.4</v>
      </c>
      <c r="L1718" s="5">
        <f t="shared" si="208"/>
        <v>0</v>
      </c>
      <c r="M1718" s="5">
        <f t="shared" si="209"/>
        <v>0</v>
      </c>
      <c r="N1718" s="5">
        <f t="shared" si="210"/>
        <v>0</v>
      </c>
      <c r="O1718" s="5">
        <f t="shared" si="211"/>
        <v>0</v>
      </c>
      <c r="P1718" s="5">
        <f t="shared" si="212"/>
        <v>0</v>
      </c>
      <c r="Q1718" s="5">
        <f>IF('1_Du_lieu'!C167="ĐBSH",1,0)</f>
        <v>0</v>
      </c>
      <c r="R1718" s="5">
        <f>IF('1_Du_lieu'!C167="BTB&amp;DHMT",1,0)</f>
        <v>0</v>
      </c>
      <c r="S1718" s="5">
        <f>IF('1_Du_lieu'!C167="ĐBSCL",1,0)</f>
        <v>0</v>
      </c>
      <c r="T1718" s="5">
        <f>IF('1_Du_lieu'!C167="TN",1,0)</f>
        <v>0</v>
      </c>
      <c r="U1718" s="5">
        <f>IF('1_Du_lieu'!C167="TDMNPB",1,0)</f>
        <v>1</v>
      </c>
    </row>
    <row r="1719" spans="1:21" x14ac:dyDescent="0.25">
      <c r="A1719" t="s">
        <v>128</v>
      </c>
      <c r="B1719">
        <v>2019</v>
      </c>
      <c r="C1719" s="7">
        <f>'1_Du_lieu'!V168</f>
        <v>3.5524868292083815</v>
      </c>
      <c r="D1719" s="9">
        <f>'1_Du_lieu'!W168</f>
        <v>3.8836235309064482</v>
      </c>
      <c r="E1719" s="9">
        <f>'1_Du_lieu'!L168</f>
        <v>3.1150000000000002</v>
      </c>
      <c r="F1719" s="9">
        <f>'1_Du_lieu'!M168</f>
        <v>28.74</v>
      </c>
      <c r="G1719" s="9">
        <f>'1_Du_lieu'!N168</f>
        <v>16.600000000000001</v>
      </c>
      <c r="H1719" s="9">
        <f>'1_Du_lieu'!X168</f>
        <v>2.6973811817596256</v>
      </c>
      <c r="I1719" s="9">
        <f>'1_Du_lieu'!T168</f>
        <v>0.68712780577187349</v>
      </c>
      <c r="J1719" s="9">
        <f>'1_Du_lieu'!Y168</f>
        <v>7.731623657265092</v>
      </c>
      <c r="K1719" s="9">
        <f>'1_Du_lieu'!O168</f>
        <v>18.899999999999999</v>
      </c>
      <c r="L1719" s="5">
        <f t="shared" si="208"/>
        <v>0</v>
      </c>
      <c r="M1719" s="5">
        <f t="shared" si="209"/>
        <v>0</v>
      </c>
      <c r="N1719" s="5">
        <f t="shared" si="210"/>
        <v>0</v>
      </c>
      <c r="O1719" s="5">
        <f t="shared" si="211"/>
        <v>0</v>
      </c>
      <c r="P1719" s="5">
        <f t="shared" si="212"/>
        <v>0</v>
      </c>
      <c r="Q1719" s="5">
        <f>IF('1_Du_lieu'!C168="ĐBSH",1,0)</f>
        <v>0</v>
      </c>
      <c r="R1719" s="5">
        <f>IF('1_Du_lieu'!C168="BTB&amp;DHMT",1,0)</f>
        <v>1</v>
      </c>
      <c r="S1719" s="5">
        <f>IF('1_Du_lieu'!C168="ĐBSCL",1,0)</f>
        <v>0</v>
      </c>
      <c r="T1719" s="5">
        <f>IF('1_Du_lieu'!C168="TN",1,0)</f>
        <v>0</v>
      </c>
      <c r="U1719" s="5">
        <f>IF('1_Du_lieu'!C168="TDMNPB",1,0)</f>
        <v>0</v>
      </c>
    </row>
    <row r="1720" spans="1:21" x14ac:dyDescent="0.25">
      <c r="A1720" t="s">
        <v>129</v>
      </c>
      <c r="B1720">
        <v>2019</v>
      </c>
      <c r="C1720" s="7">
        <f>'1_Du_lieu'!V169</f>
        <v>3.459466289786131</v>
      </c>
      <c r="D1720" s="9">
        <f>'1_Du_lieu'!W169</f>
        <v>3.7773481021015445</v>
      </c>
      <c r="E1720" s="9">
        <f>'1_Du_lieu'!L169</f>
        <v>4.641</v>
      </c>
      <c r="F1720" s="9">
        <f>'1_Du_lieu'!M169</f>
        <v>20.99</v>
      </c>
      <c r="G1720" s="9">
        <f>'1_Du_lieu'!N169</f>
        <v>21.7</v>
      </c>
      <c r="H1720" s="9">
        <f>'1_Du_lieu'!X169</f>
        <v>3.2311755139274179</v>
      </c>
      <c r="I1720" s="9">
        <f>'1_Du_lieu'!T169</f>
        <v>0.89225964755743925</v>
      </c>
      <c r="J1720" s="9">
        <f>'1_Du_lieu'!Y169</f>
        <v>6.752270376141742</v>
      </c>
      <c r="K1720" s="9">
        <f>'1_Du_lieu'!O169</f>
        <v>13.4</v>
      </c>
      <c r="L1720" s="5">
        <f t="shared" si="208"/>
        <v>0</v>
      </c>
      <c r="M1720" s="5">
        <f t="shared" si="209"/>
        <v>0</v>
      </c>
      <c r="N1720" s="5">
        <f t="shared" si="210"/>
        <v>0</v>
      </c>
      <c r="O1720" s="5">
        <f t="shared" si="211"/>
        <v>0</v>
      </c>
      <c r="P1720" s="5">
        <f t="shared" si="212"/>
        <v>0</v>
      </c>
      <c r="Q1720" s="5">
        <f>IF('1_Du_lieu'!C169="ĐBSH",1,0)</f>
        <v>0</v>
      </c>
      <c r="R1720" s="5">
        <f>IF('1_Du_lieu'!C169="BTB&amp;DHMT",1,0)</f>
        <v>1</v>
      </c>
      <c r="S1720" s="5">
        <f>IF('1_Du_lieu'!C169="ĐBSCL",1,0)</f>
        <v>0</v>
      </c>
      <c r="T1720" s="5">
        <f>IF('1_Du_lieu'!C169="TN",1,0)</f>
        <v>0</v>
      </c>
      <c r="U1720" s="5">
        <f>IF('1_Du_lieu'!C169="TDMNPB",1,0)</f>
        <v>0</v>
      </c>
    </row>
    <row r="1721" spans="1:21" x14ac:dyDescent="0.25">
      <c r="A1721" t="s">
        <v>130</v>
      </c>
      <c r="B1721">
        <v>2019</v>
      </c>
      <c r="C1721" s="7">
        <f>'1_Du_lieu'!V170</f>
        <v>3.6661224669913199</v>
      </c>
      <c r="D1721" s="9">
        <f>'1_Du_lieu'!W170</f>
        <v>4.1896547420264252</v>
      </c>
      <c r="E1721" s="9">
        <f>'1_Du_lieu'!L170</f>
        <v>4.843</v>
      </c>
      <c r="F1721" s="9">
        <f>'1_Du_lieu'!M170</f>
        <v>25.35</v>
      </c>
      <c r="G1721" s="9">
        <f>'1_Du_lieu'!N170</f>
        <v>18.7</v>
      </c>
      <c r="H1721" s="9">
        <f>'1_Du_lieu'!X170</f>
        <v>2.4979541590756296</v>
      </c>
      <c r="I1721" s="9">
        <f>'1_Du_lieu'!T170</f>
        <v>0.13355592654424039</v>
      </c>
      <c r="J1721" s="9">
        <f>'1_Du_lieu'!Y170</f>
        <v>8.3168380017324584</v>
      </c>
      <c r="K1721" s="9">
        <f>'1_Du_lieu'!O170</f>
        <v>16.899999999999999</v>
      </c>
      <c r="L1721" s="5">
        <f t="shared" si="208"/>
        <v>0</v>
      </c>
      <c r="M1721" s="5">
        <f t="shared" si="209"/>
        <v>0</v>
      </c>
      <c r="N1721" s="5">
        <f t="shared" si="210"/>
        <v>0</v>
      </c>
      <c r="O1721" s="5">
        <f t="shared" si="211"/>
        <v>0</v>
      </c>
      <c r="P1721" s="5">
        <f t="shared" si="212"/>
        <v>0</v>
      </c>
      <c r="Q1721" s="5">
        <f>IF('1_Du_lieu'!C170="ĐBSH",1,0)</f>
        <v>0</v>
      </c>
      <c r="R1721" s="5">
        <f>IF('1_Du_lieu'!C170="BTB&amp;DHMT",1,0)</f>
        <v>1</v>
      </c>
      <c r="S1721" s="5">
        <f>IF('1_Du_lieu'!C170="ĐBSCL",1,0)</f>
        <v>0</v>
      </c>
      <c r="T1721" s="5">
        <f>IF('1_Du_lieu'!C170="TN",1,0)</f>
        <v>0</v>
      </c>
      <c r="U1721" s="5">
        <f>IF('1_Du_lieu'!C170="TDMNPB",1,0)</f>
        <v>0</v>
      </c>
    </row>
    <row r="1722" spans="1:21" x14ac:dyDescent="0.25">
      <c r="A1722" t="s">
        <v>131</v>
      </c>
      <c r="B1722">
        <v>2019</v>
      </c>
      <c r="C1722" s="7">
        <f>'1_Du_lieu'!V171</f>
        <v>3.4563166808832348</v>
      </c>
      <c r="D1722" s="9">
        <f>'1_Du_lieu'!W171</f>
        <v>4.255612709818223</v>
      </c>
      <c r="E1722" s="9">
        <f>'1_Du_lieu'!L171</f>
        <v>4.1289999999999996</v>
      </c>
      <c r="F1722" s="9">
        <f>'1_Du_lieu'!M171</f>
        <v>16.36</v>
      </c>
      <c r="G1722" s="9">
        <f>'1_Du_lieu'!N171</f>
        <v>20.9</v>
      </c>
      <c r="H1722" s="9">
        <f>'1_Du_lieu'!X171</f>
        <v>2.4036054953092547</v>
      </c>
      <c r="I1722" s="9">
        <f>'1_Du_lieu'!T171</f>
        <v>0.73057878074519034</v>
      </c>
      <c r="J1722" s="9">
        <f>'1_Du_lieu'!Y171</f>
        <v>7.3121531511298787</v>
      </c>
      <c r="K1722" s="9">
        <f>'1_Du_lieu'!O171</f>
        <v>16.399999999999999</v>
      </c>
      <c r="L1722" s="5">
        <f t="shared" si="208"/>
        <v>0</v>
      </c>
      <c r="M1722" s="5">
        <f t="shared" si="209"/>
        <v>0</v>
      </c>
      <c r="N1722" s="5">
        <f t="shared" si="210"/>
        <v>0</v>
      </c>
      <c r="O1722" s="5">
        <f t="shared" si="211"/>
        <v>0</v>
      </c>
      <c r="P1722" s="5">
        <f t="shared" si="212"/>
        <v>0</v>
      </c>
      <c r="Q1722" s="5">
        <f>IF('1_Du_lieu'!C171="ĐBSH",1,0)</f>
        <v>0</v>
      </c>
      <c r="R1722" s="5">
        <f>IF('1_Du_lieu'!C171="BTB&amp;DHMT",1,0)</f>
        <v>1</v>
      </c>
      <c r="S1722" s="5">
        <f>IF('1_Du_lieu'!C171="ĐBSCL",1,0)</f>
        <v>0</v>
      </c>
      <c r="T1722" s="5">
        <f>IF('1_Du_lieu'!C171="TN",1,0)</f>
        <v>0</v>
      </c>
      <c r="U1722" s="5">
        <f>IF('1_Du_lieu'!C171="TDMNPB",1,0)</f>
        <v>0</v>
      </c>
    </row>
    <row r="1723" spans="1:21" x14ac:dyDescent="0.25">
      <c r="A1723" t="s">
        <v>132</v>
      </c>
      <c r="B1723">
        <v>2019</v>
      </c>
      <c r="C1723" s="7">
        <f>'1_Du_lieu'!V172</f>
        <v>3.8753590210565547</v>
      </c>
      <c r="D1723" s="9">
        <f>'1_Du_lieu'!W172</f>
        <v>4.9649403348341261</v>
      </c>
      <c r="E1723" s="9">
        <f>'1_Du_lieu'!L172</f>
        <v>6.7229999999999999</v>
      </c>
      <c r="F1723" s="9">
        <f>'1_Du_lieu'!M172</f>
        <v>64.44</v>
      </c>
      <c r="G1723" s="9">
        <f>'1_Du_lieu'!N172</f>
        <v>37.700000000000003</v>
      </c>
      <c r="H1723" s="9">
        <f>'1_Du_lieu'!X172</f>
        <v>3.322961071193907</v>
      </c>
      <c r="I1723" s="9">
        <f>'1_Du_lieu'!T172</f>
        <v>2.943840579710145</v>
      </c>
      <c r="J1723" s="9">
        <f>'1_Du_lieu'!Y172</f>
        <v>8.4699548225893668</v>
      </c>
      <c r="K1723" s="9">
        <f>'1_Du_lieu'!O172</f>
        <v>27.5</v>
      </c>
      <c r="L1723" s="5">
        <f t="shared" si="208"/>
        <v>0</v>
      </c>
      <c r="M1723" s="5">
        <f t="shared" si="209"/>
        <v>0</v>
      </c>
      <c r="N1723" s="5">
        <f t="shared" si="210"/>
        <v>0</v>
      </c>
      <c r="O1723" s="5">
        <f t="shared" si="211"/>
        <v>0</v>
      </c>
      <c r="P1723" s="5">
        <f t="shared" si="212"/>
        <v>0</v>
      </c>
      <c r="Q1723" s="5">
        <f>IF('1_Du_lieu'!C172="ĐBSH",1,0)</f>
        <v>1</v>
      </c>
      <c r="R1723" s="5">
        <f>IF('1_Du_lieu'!C172="BTB&amp;DHMT",1,0)</f>
        <v>0</v>
      </c>
      <c r="S1723" s="5">
        <f>IF('1_Du_lieu'!C172="ĐBSCL",1,0)</f>
        <v>0</v>
      </c>
      <c r="T1723" s="5">
        <f>IF('1_Du_lieu'!C172="TN",1,0)</f>
        <v>0</v>
      </c>
      <c r="U1723" s="5">
        <f>IF('1_Du_lieu'!C172="TDMNPB",1,0)</f>
        <v>0</v>
      </c>
    </row>
    <row r="1724" spans="1:21" x14ac:dyDescent="0.25">
      <c r="A1724" t="s">
        <v>133</v>
      </c>
      <c r="B1724">
        <v>2019</v>
      </c>
      <c r="C1724" s="7">
        <f>'1_Du_lieu'!V173</f>
        <v>3.4242626545931514</v>
      </c>
      <c r="D1724" s="9">
        <f>'1_Du_lieu'!W173</f>
        <v>3.9180050771056933</v>
      </c>
      <c r="E1724" s="9">
        <f>'1_Du_lieu'!L173</f>
        <v>4.26</v>
      </c>
      <c r="F1724" s="9">
        <f>'1_Du_lieu'!M173</f>
        <v>31.01</v>
      </c>
      <c r="G1724" s="9">
        <f>'1_Du_lieu'!N173</f>
        <v>23.2</v>
      </c>
      <c r="H1724" s="9">
        <f>'1_Du_lieu'!X173</f>
        <v>2.8207283673811534</v>
      </c>
      <c r="I1724" s="9">
        <f>'1_Du_lieu'!T173</f>
        <v>3.4733185980423116</v>
      </c>
      <c r="J1724" s="9">
        <f>'1_Du_lieu'!Y173</f>
        <v>4.9067551636088638</v>
      </c>
      <c r="K1724" s="9">
        <f>'1_Du_lieu'!O173</f>
        <v>17.7</v>
      </c>
      <c r="L1724" s="5">
        <f t="shared" si="208"/>
        <v>0</v>
      </c>
      <c r="M1724" s="5">
        <f t="shared" si="209"/>
        <v>0</v>
      </c>
      <c r="N1724" s="5">
        <f t="shared" si="210"/>
        <v>0</v>
      </c>
      <c r="O1724" s="5">
        <f t="shared" si="211"/>
        <v>0</v>
      </c>
      <c r="P1724" s="5">
        <f t="shared" si="212"/>
        <v>0</v>
      </c>
      <c r="Q1724" s="5">
        <f>IF('1_Du_lieu'!C173="ĐBSH",1,0)</f>
        <v>0</v>
      </c>
      <c r="R1724" s="5">
        <f>IF('1_Du_lieu'!C173="BTB&amp;DHMT",1,0)</f>
        <v>1</v>
      </c>
      <c r="S1724" s="5">
        <f>IF('1_Du_lieu'!C173="ĐBSCL",1,0)</f>
        <v>0</v>
      </c>
      <c r="T1724" s="5">
        <f>IF('1_Du_lieu'!C173="TN",1,0)</f>
        <v>0</v>
      </c>
      <c r="U1724" s="5">
        <f>IF('1_Du_lieu'!C173="TDMNPB",1,0)</f>
        <v>0</v>
      </c>
    </row>
    <row r="1725" spans="1:21" x14ac:dyDescent="0.25">
      <c r="A1725" t="s">
        <v>136</v>
      </c>
      <c r="B1725">
        <v>2019</v>
      </c>
      <c r="C1725" s="7">
        <f>'1_Du_lieu'!V176</f>
        <v>4.4636066216663046</v>
      </c>
      <c r="D1725" s="9">
        <f>'1_Du_lieu'!W176</f>
        <v>5.0019308534661091</v>
      </c>
      <c r="E1725" s="9">
        <f>'1_Du_lieu'!L176</f>
        <v>26.510999999999999</v>
      </c>
      <c r="F1725" s="9">
        <f>'1_Du_lieu'!M176</f>
        <v>79.23</v>
      </c>
      <c r="G1725" s="9">
        <f>'1_Du_lieu'!N176</f>
        <v>37.1</v>
      </c>
      <c r="H1725" s="9">
        <f>'1_Du_lieu'!X176</f>
        <v>2.5840430585278642</v>
      </c>
      <c r="I1725" s="9">
        <f>'1_Du_lieu'!T176</f>
        <v>2.821233376850397</v>
      </c>
      <c r="J1725" s="9">
        <f>'1_Du_lieu'!Y176</f>
        <v>8.5646300593408586</v>
      </c>
      <c r="K1725" s="9">
        <f>'1_Du_lieu'!O176</f>
        <v>54.3</v>
      </c>
      <c r="L1725" s="5">
        <f t="shared" si="208"/>
        <v>0</v>
      </c>
      <c r="M1725" s="5">
        <f t="shared" si="209"/>
        <v>0</v>
      </c>
      <c r="N1725" s="5">
        <f t="shared" si="210"/>
        <v>0</v>
      </c>
      <c r="O1725" s="5">
        <f t="shared" si="211"/>
        <v>0</v>
      </c>
      <c r="P1725" s="5">
        <f t="shared" si="212"/>
        <v>0</v>
      </c>
      <c r="Q1725" s="5">
        <f>IF('1_Du_lieu'!C176="ĐBSH",1,0)</f>
        <v>0</v>
      </c>
      <c r="R1725" s="5">
        <f>IF('1_Du_lieu'!C176="BTB&amp;DHMT",1,0)</f>
        <v>0</v>
      </c>
      <c r="S1725" s="5">
        <f>IF('1_Du_lieu'!C176="ĐBSCL",1,0)</f>
        <v>0</v>
      </c>
      <c r="T1725" s="5">
        <f>IF('1_Du_lieu'!C176="TN",1,0)</f>
        <v>0</v>
      </c>
      <c r="U1725" s="5">
        <f>IF('1_Du_lieu'!C176="TDMNPB",1,0)</f>
        <v>0</v>
      </c>
    </row>
    <row r="1726" spans="1:21" x14ac:dyDescent="0.25">
      <c r="A1726" t="s">
        <v>137</v>
      </c>
      <c r="B1726">
        <v>2019</v>
      </c>
      <c r="C1726" s="7">
        <f>'1_Du_lieu'!V177</f>
        <v>3.648057459593681</v>
      </c>
      <c r="D1726" s="9">
        <f>'1_Du_lieu'!W177</f>
        <v>3.8774315606585268</v>
      </c>
      <c r="E1726" s="9">
        <f>'1_Du_lieu'!L177</f>
        <v>3.226</v>
      </c>
      <c r="F1726" s="9">
        <f>'1_Du_lieu'!M177</f>
        <v>15.01</v>
      </c>
      <c r="G1726" s="9">
        <f>'1_Du_lieu'!N177</f>
        <v>19.399999999999999</v>
      </c>
      <c r="H1726" s="9">
        <f>'1_Du_lieu'!X177</f>
        <v>2.6995385736963504</v>
      </c>
      <c r="I1726" s="9">
        <f>'1_Du_lieu'!T177</f>
        <v>0.60343408854023806</v>
      </c>
      <c r="J1726" s="9">
        <f>'1_Du_lieu'!Y177</f>
        <v>8.267063775017041</v>
      </c>
      <c r="K1726" s="9">
        <f>'1_Du_lieu'!O177</f>
        <v>16.7</v>
      </c>
      <c r="L1726" s="5">
        <f t="shared" si="208"/>
        <v>0</v>
      </c>
      <c r="M1726" s="5">
        <f t="shared" si="209"/>
        <v>0</v>
      </c>
      <c r="N1726" s="5">
        <f t="shared" si="210"/>
        <v>0</v>
      </c>
      <c r="O1726" s="5">
        <f t="shared" si="211"/>
        <v>0</v>
      </c>
      <c r="P1726" s="5">
        <f t="shared" si="212"/>
        <v>0</v>
      </c>
      <c r="Q1726" s="5">
        <f>IF('1_Du_lieu'!C177="ĐBSH",1,0)</f>
        <v>0</v>
      </c>
      <c r="R1726" s="5">
        <f>IF('1_Du_lieu'!C177="BTB&amp;DHMT",1,0)</f>
        <v>1</v>
      </c>
      <c r="S1726" s="5">
        <f>IF('1_Du_lieu'!C177="ĐBSCL",1,0)</f>
        <v>0</v>
      </c>
      <c r="T1726" s="5">
        <f>IF('1_Du_lieu'!C177="TN",1,0)</f>
        <v>0</v>
      </c>
      <c r="U1726" s="5">
        <f>IF('1_Du_lieu'!C177="TDMNPB",1,0)</f>
        <v>0</v>
      </c>
    </row>
    <row r="1727" spans="1:21" x14ac:dyDescent="0.25">
      <c r="A1727" t="s">
        <v>138</v>
      </c>
      <c r="B1727">
        <v>2019</v>
      </c>
      <c r="C1727" s="7">
        <f>'1_Du_lieu'!V178</f>
        <v>3.6323091026255421</v>
      </c>
      <c r="D1727" s="9">
        <f>'1_Du_lieu'!W178</f>
        <v>3.8110970868381857</v>
      </c>
      <c r="E1727" s="9">
        <f>'1_Du_lieu'!L178</f>
        <v>2.68</v>
      </c>
      <c r="F1727" s="9">
        <f>'1_Du_lieu'!M178</f>
        <v>10.58</v>
      </c>
      <c r="G1727" s="9">
        <f>'1_Du_lieu'!N178</f>
        <v>15.3</v>
      </c>
      <c r="H1727" s="9">
        <f>'1_Du_lieu'!X178</f>
        <v>1.4322625798606323</v>
      </c>
      <c r="I1727" s="9">
        <f>'1_Du_lieu'!T178</f>
        <v>0.69809902266136825</v>
      </c>
      <c r="J1727" s="9">
        <f>'1_Du_lieu'!Y178</f>
        <v>5.9409604149342137</v>
      </c>
      <c r="K1727" s="9">
        <f>'1_Du_lieu'!O178</f>
        <v>14.4</v>
      </c>
      <c r="L1727" s="5">
        <f t="shared" si="208"/>
        <v>0</v>
      </c>
      <c r="M1727" s="5">
        <f t="shared" si="209"/>
        <v>0</v>
      </c>
      <c r="N1727" s="5">
        <f t="shared" si="210"/>
        <v>0</v>
      </c>
      <c r="O1727" s="5">
        <f t="shared" si="211"/>
        <v>0</v>
      </c>
      <c r="P1727" s="5">
        <f t="shared" si="212"/>
        <v>0</v>
      </c>
      <c r="Q1727" s="5">
        <f>IF('1_Du_lieu'!C178="ĐBSH",1,0)</f>
        <v>1</v>
      </c>
      <c r="R1727" s="5">
        <f>IF('1_Du_lieu'!C178="BTB&amp;DHMT",1,0)</f>
        <v>0</v>
      </c>
      <c r="S1727" s="5">
        <f>IF('1_Du_lieu'!C178="ĐBSCL",1,0)</f>
        <v>0</v>
      </c>
      <c r="T1727" s="5">
        <f>IF('1_Du_lieu'!C178="TN",1,0)</f>
        <v>0</v>
      </c>
      <c r="U1727" s="5">
        <f>IF('1_Du_lieu'!C178="TDMNPB",1,0)</f>
        <v>0</v>
      </c>
    </row>
    <row r="1728" spans="1:21" x14ac:dyDescent="0.25">
      <c r="A1728" t="s">
        <v>139</v>
      </c>
      <c r="B1728">
        <v>2019</v>
      </c>
      <c r="C1728" s="7">
        <f>'1_Du_lieu'!V179</f>
        <v>3.597312260588446</v>
      </c>
      <c r="D1728" s="9">
        <f>'1_Du_lieu'!W179</f>
        <v>4.5097600011834329</v>
      </c>
      <c r="E1728" s="9">
        <f>'1_Du_lieu'!L179</f>
        <v>3.5059999999999998</v>
      </c>
      <c r="F1728" s="9">
        <f>'1_Du_lieu'!M179</f>
        <v>32.06</v>
      </c>
      <c r="G1728" s="9">
        <f>'1_Du_lieu'!N179</f>
        <v>27.2</v>
      </c>
      <c r="H1728" s="9">
        <f>'1_Du_lieu'!X179</f>
        <v>3.2693842424150779</v>
      </c>
      <c r="I1728" s="9">
        <f>'1_Du_lieu'!T179</f>
        <v>2.4788906964133552</v>
      </c>
      <c r="J1728" s="9">
        <f>'1_Du_lieu'!Y179</f>
        <v>8.7663630996346544</v>
      </c>
      <c r="K1728" s="9">
        <f>'1_Du_lieu'!O179</f>
        <v>23.8</v>
      </c>
      <c r="L1728" s="5">
        <f t="shared" si="208"/>
        <v>0</v>
      </c>
      <c r="M1728" s="5">
        <f t="shared" si="209"/>
        <v>0</v>
      </c>
      <c r="N1728" s="5">
        <f t="shared" si="210"/>
        <v>0</v>
      </c>
      <c r="O1728" s="5">
        <f t="shared" si="211"/>
        <v>0</v>
      </c>
      <c r="P1728" s="5">
        <f t="shared" si="212"/>
        <v>0</v>
      </c>
      <c r="Q1728" s="5">
        <f>IF('1_Du_lieu'!C179="ĐBSH",1,0)</f>
        <v>0</v>
      </c>
      <c r="R1728" s="5">
        <f>IF('1_Du_lieu'!C179="BTB&amp;DHMT",1,0)</f>
        <v>0</v>
      </c>
      <c r="S1728" s="5">
        <f>IF('1_Du_lieu'!C179="ĐBSCL",1,0)</f>
        <v>0</v>
      </c>
      <c r="T1728" s="5">
        <f>IF('1_Du_lieu'!C179="TN",1,0)</f>
        <v>0</v>
      </c>
      <c r="U1728" s="5">
        <f>IF('1_Du_lieu'!C179="TDMNPB",1,0)</f>
        <v>1</v>
      </c>
    </row>
    <row r="1729" spans="1:21" x14ac:dyDescent="0.25">
      <c r="A1729" t="s">
        <v>141</v>
      </c>
      <c r="B1729">
        <v>2019</v>
      </c>
      <c r="C1729" s="7">
        <f>'1_Du_lieu'!V181</f>
        <v>3.572345637857985</v>
      </c>
      <c r="D1729" s="9">
        <f>'1_Du_lieu'!W181</f>
        <v>4.0000338827508592</v>
      </c>
      <c r="E1729" s="9">
        <f>'1_Du_lieu'!L181</f>
        <v>2.5539999999999998</v>
      </c>
      <c r="F1729" s="9">
        <f>'1_Du_lieu'!M181</f>
        <v>14</v>
      </c>
      <c r="G1729" s="9">
        <f>'1_Du_lieu'!N181</f>
        <v>11.7</v>
      </c>
      <c r="H1729" s="9">
        <f>'1_Du_lieu'!X181</f>
        <v>1.0239539783474703</v>
      </c>
      <c r="I1729" s="9">
        <f>'1_Du_lieu'!T181</f>
        <v>0.79261733567344161</v>
      </c>
      <c r="J1729" s="9">
        <f>'1_Du_lieu'!Y181</f>
        <v>7.2878342006998853</v>
      </c>
      <c r="K1729" s="9">
        <f>'1_Du_lieu'!O181</f>
        <v>18.899999999999999</v>
      </c>
      <c r="L1729" s="5">
        <f t="shared" si="208"/>
        <v>0</v>
      </c>
      <c r="M1729" s="5">
        <f t="shared" si="209"/>
        <v>0</v>
      </c>
      <c r="N1729" s="5">
        <f t="shared" si="210"/>
        <v>0</v>
      </c>
      <c r="O1729" s="5">
        <f t="shared" si="211"/>
        <v>0</v>
      </c>
      <c r="P1729" s="5">
        <f t="shared" si="212"/>
        <v>0</v>
      </c>
      <c r="Q1729" s="5">
        <f>IF('1_Du_lieu'!C181="ĐBSH",1,0)</f>
        <v>0</v>
      </c>
      <c r="R1729" s="5">
        <f>IF('1_Du_lieu'!C181="BTB&amp;DHMT",1,0)</f>
        <v>0</v>
      </c>
      <c r="S1729" s="5">
        <f>IF('1_Du_lieu'!C181="ĐBSCL",1,0)</f>
        <v>1</v>
      </c>
      <c r="T1729" s="5">
        <f>IF('1_Du_lieu'!C181="TN",1,0)</f>
        <v>0</v>
      </c>
      <c r="U1729" s="5">
        <f>IF('1_Du_lieu'!C181="TDMNPB",1,0)</f>
        <v>0</v>
      </c>
    </row>
    <row r="1730" spans="1:21" x14ac:dyDescent="0.25">
      <c r="A1730" t="s">
        <v>142</v>
      </c>
      <c r="B1730">
        <v>2019</v>
      </c>
      <c r="C1730" s="7">
        <f>'1_Du_lieu'!V182</f>
        <v>3.4307561839036995</v>
      </c>
      <c r="D1730" s="9">
        <f>'1_Du_lieu'!W182</f>
        <v>4.0758410906575406</v>
      </c>
      <c r="E1730" s="9">
        <f>'1_Du_lieu'!L182</f>
        <v>2.0179999999999998</v>
      </c>
      <c r="F1730" s="9">
        <f>'1_Du_lieu'!M182</f>
        <v>17.25</v>
      </c>
      <c r="G1730" s="9">
        <f>'1_Du_lieu'!N182</f>
        <v>11.8</v>
      </c>
      <c r="H1730" s="9">
        <f>'1_Du_lieu'!X182</f>
        <v>1.6547827063630074</v>
      </c>
      <c r="I1730" s="9">
        <f>'1_Du_lieu'!T182</f>
        <v>0.79262855444367386</v>
      </c>
      <c r="J1730" s="9">
        <f>'1_Du_lieu'!Y182</f>
        <v>8.1019807318531925</v>
      </c>
      <c r="K1730" s="9">
        <f>'1_Du_lieu'!O182</f>
        <v>14.1</v>
      </c>
      <c r="L1730" s="5">
        <f t="shared" si="208"/>
        <v>0</v>
      </c>
      <c r="M1730" s="5">
        <f t="shared" si="209"/>
        <v>0</v>
      </c>
      <c r="N1730" s="5">
        <f t="shared" si="210"/>
        <v>0</v>
      </c>
      <c r="O1730" s="5">
        <f t="shared" si="211"/>
        <v>0</v>
      </c>
      <c r="P1730" s="5">
        <f t="shared" si="212"/>
        <v>0</v>
      </c>
      <c r="Q1730" s="5">
        <f>IF('1_Du_lieu'!C182="ĐBSH",1,0)</f>
        <v>0</v>
      </c>
      <c r="R1730" s="5">
        <f>IF('1_Du_lieu'!C182="BTB&amp;DHMT",1,0)</f>
        <v>0</v>
      </c>
      <c r="S1730" s="5">
        <f>IF('1_Du_lieu'!C182="ĐBSCL",1,0)</f>
        <v>1</v>
      </c>
      <c r="T1730" s="5">
        <f>IF('1_Du_lieu'!C182="TN",1,0)</f>
        <v>0</v>
      </c>
      <c r="U1730" s="5">
        <f>IF('1_Du_lieu'!C182="TDMNPB",1,0)</f>
        <v>0</v>
      </c>
    </row>
    <row r="1731" spans="1:21" x14ac:dyDescent="0.25">
      <c r="A1731" t="s">
        <v>143</v>
      </c>
      <c r="B1731">
        <v>2019</v>
      </c>
      <c r="C1731" s="7">
        <f>'1_Du_lieu'!V183</f>
        <v>3.3638415951183864</v>
      </c>
      <c r="D1731" s="9">
        <f>'1_Du_lieu'!W183</f>
        <v>3.6788291182604347</v>
      </c>
      <c r="E1731" s="9">
        <f>'1_Du_lieu'!L183</f>
        <v>1.69</v>
      </c>
      <c r="F1731" s="9">
        <f>'1_Du_lieu'!M183</f>
        <v>13.81</v>
      </c>
      <c r="G1731" s="9">
        <f>'1_Du_lieu'!N183</f>
        <v>20.7</v>
      </c>
      <c r="H1731" s="9">
        <f>'1_Du_lieu'!X183</f>
        <v>2.9899096829905254</v>
      </c>
      <c r="I1731" s="9">
        <f>'1_Du_lieu'!T183</f>
        <v>1.0174233753020476</v>
      </c>
      <c r="J1731" s="9">
        <f>'1_Du_lieu'!Y183</f>
        <v>5.5629866646907447</v>
      </c>
      <c r="K1731" s="9">
        <f>'1_Du_lieu'!O183</f>
        <v>14.3</v>
      </c>
      <c r="L1731" s="5">
        <f t="shared" si="208"/>
        <v>0</v>
      </c>
      <c r="M1731" s="5">
        <f t="shared" si="209"/>
        <v>0</v>
      </c>
      <c r="N1731" s="5">
        <f t="shared" si="210"/>
        <v>0</v>
      </c>
      <c r="O1731" s="5">
        <f t="shared" si="211"/>
        <v>0</v>
      </c>
      <c r="P1731" s="5">
        <f t="shared" si="212"/>
        <v>0</v>
      </c>
      <c r="Q1731" s="5">
        <f>IF('1_Du_lieu'!C183="ĐBSH",1,0)</f>
        <v>0</v>
      </c>
      <c r="R1731" s="5">
        <f>IF('1_Du_lieu'!C183="BTB&amp;DHMT",1,0)</f>
        <v>0</v>
      </c>
      <c r="S1731" s="5">
        <f>IF('1_Du_lieu'!C183="ĐBSCL",1,0)</f>
        <v>0</v>
      </c>
      <c r="T1731" s="5">
        <f>IF('1_Du_lieu'!C183="TN",1,0)</f>
        <v>0</v>
      </c>
      <c r="U1731" s="5">
        <f>IF('1_Du_lieu'!C183="TDMNPB",1,0)</f>
        <v>1</v>
      </c>
    </row>
    <row r="1732" spans="1:21" x14ac:dyDescent="0.25">
      <c r="A1732" t="s">
        <v>144</v>
      </c>
      <c r="B1732">
        <v>2019</v>
      </c>
      <c r="C1732" s="7">
        <f>'1_Du_lieu'!V184</f>
        <v>3.655839600035736</v>
      </c>
      <c r="D1732" s="9">
        <f>'1_Du_lieu'!W184</f>
        <v>4.257030144499196</v>
      </c>
      <c r="E1732" s="9">
        <f>'1_Du_lieu'!L184</f>
        <v>3.41</v>
      </c>
      <c r="F1732" s="9">
        <f>'1_Du_lieu'!M184</f>
        <v>17.78</v>
      </c>
      <c r="G1732" s="9">
        <f>'1_Du_lieu'!N184</f>
        <v>12.7</v>
      </c>
      <c r="H1732" s="9">
        <f>'1_Du_lieu'!X184</f>
        <v>2.5903525078824048</v>
      </c>
      <c r="I1732" s="9">
        <f>'1_Du_lieu'!T184</f>
        <v>1.1948450968677991</v>
      </c>
      <c r="J1732" s="9">
        <f>'1_Du_lieu'!Y184</f>
        <v>8.6939995675220825</v>
      </c>
      <c r="K1732" s="9">
        <f>'1_Du_lieu'!O184</f>
        <v>15.2</v>
      </c>
      <c r="L1732" s="5">
        <f t="shared" si="208"/>
        <v>0</v>
      </c>
      <c r="M1732" s="5">
        <f t="shared" si="209"/>
        <v>0</v>
      </c>
      <c r="N1732" s="5">
        <f t="shared" si="210"/>
        <v>0</v>
      </c>
      <c r="O1732" s="5">
        <f t="shared" si="211"/>
        <v>0</v>
      </c>
      <c r="P1732" s="5">
        <f t="shared" si="212"/>
        <v>0</v>
      </c>
      <c r="Q1732" s="5">
        <f>IF('1_Du_lieu'!C184="ĐBSH",1,0)</f>
        <v>0</v>
      </c>
      <c r="R1732" s="5">
        <f>IF('1_Du_lieu'!C184="BTB&amp;DHMT",1,0)</f>
        <v>0</v>
      </c>
      <c r="S1732" s="5">
        <f>IF('1_Du_lieu'!C184="ĐBSCL",1,0)</f>
        <v>0</v>
      </c>
      <c r="T1732" s="5">
        <f>IF('1_Du_lieu'!C184="TN",1,0)</f>
        <v>0</v>
      </c>
      <c r="U1732" s="5">
        <f>IF('1_Du_lieu'!C184="TDMNPB",1,0)</f>
        <v>0</v>
      </c>
    </row>
    <row r="1733" spans="1:21" x14ac:dyDescent="0.25">
      <c r="A1733" t="s">
        <v>145</v>
      </c>
      <c r="B1733">
        <v>2019</v>
      </c>
      <c r="C1733" s="7">
        <f>'1_Du_lieu'!V185</f>
        <v>3.4468078929142076</v>
      </c>
      <c r="D1733" s="9">
        <f>'1_Du_lieu'!W185</f>
        <v>3.9684033388642534</v>
      </c>
      <c r="E1733" s="9">
        <f>'1_Du_lieu'!L185</f>
        <v>2.4279999999999999</v>
      </c>
      <c r="F1733" s="9">
        <f>'1_Du_lieu'!M185</f>
        <v>16.600000000000001</v>
      </c>
      <c r="G1733" s="9">
        <f>'1_Du_lieu'!N185</f>
        <v>15.3</v>
      </c>
      <c r="H1733" s="9">
        <f>'1_Du_lieu'!X185</f>
        <v>0.60091264943201705</v>
      </c>
      <c r="I1733" s="9">
        <f>'1_Du_lieu'!T185</f>
        <v>0.58673968316057112</v>
      </c>
      <c r="J1733" s="9">
        <f>'1_Du_lieu'!Y185</f>
        <v>6.5878254589802356</v>
      </c>
      <c r="K1733" s="9">
        <f>'1_Du_lieu'!O185</f>
        <v>15.8</v>
      </c>
      <c r="L1733" s="5">
        <f t="shared" si="208"/>
        <v>0</v>
      </c>
      <c r="M1733" s="5">
        <f t="shared" si="209"/>
        <v>0</v>
      </c>
      <c r="N1733" s="5">
        <f t="shared" si="210"/>
        <v>0</v>
      </c>
      <c r="O1733" s="5">
        <f t="shared" si="211"/>
        <v>0</v>
      </c>
      <c r="P1733" s="5">
        <f t="shared" si="212"/>
        <v>0</v>
      </c>
      <c r="Q1733" s="5">
        <f>IF('1_Du_lieu'!C185="ĐBSH",1,0)</f>
        <v>0</v>
      </c>
      <c r="R1733" s="5">
        <f>IF('1_Du_lieu'!C185="BTB&amp;DHMT",1,0)</f>
        <v>0</v>
      </c>
      <c r="S1733" s="5">
        <f>IF('1_Du_lieu'!C185="ĐBSCL",1,0)</f>
        <v>1</v>
      </c>
      <c r="T1733" s="5">
        <f>IF('1_Du_lieu'!C185="TN",1,0)</f>
        <v>0</v>
      </c>
      <c r="U1733" s="5">
        <f>IF('1_Du_lieu'!C185="TDMNPB",1,0)</f>
        <v>0</v>
      </c>
    </row>
    <row r="1734" spans="1:21" x14ac:dyDescent="0.25">
      <c r="A1734" t="s">
        <v>146</v>
      </c>
      <c r="B1734">
        <v>2019</v>
      </c>
      <c r="C1734" s="7">
        <f>'1_Du_lieu'!V186</f>
        <v>3.7727609380946383</v>
      </c>
      <c r="D1734" s="9">
        <f>'1_Du_lieu'!W186</f>
        <v>4.6298627985784631</v>
      </c>
      <c r="E1734" s="9">
        <f>'1_Du_lieu'!L186</f>
        <v>6.1210000000000004</v>
      </c>
      <c r="F1734" s="9">
        <f>'1_Du_lieu'!M186</f>
        <v>25.56</v>
      </c>
      <c r="G1734" s="9">
        <f>'1_Du_lieu'!N186</f>
        <v>24.9</v>
      </c>
      <c r="H1734" s="9">
        <f>'1_Du_lieu'!X186</f>
        <v>3.0937468575223277</v>
      </c>
      <c r="I1734" s="9">
        <f>'1_Du_lieu'!T186</f>
        <v>0.77935573259438873</v>
      </c>
      <c r="J1734" s="9">
        <f>'1_Du_lieu'!Y186</f>
        <v>8.3891552535295322</v>
      </c>
      <c r="K1734" s="9">
        <f>'1_Du_lieu'!O186</f>
        <v>27.9</v>
      </c>
      <c r="L1734" s="5">
        <f t="shared" si="208"/>
        <v>0</v>
      </c>
      <c r="M1734" s="5">
        <f t="shared" si="209"/>
        <v>0</v>
      </c>
      <c r="N1734" s="5">
        <f t="shared" si="210"/>
        <v>0</v>
      </c>
      <c r="O1734" s="5">
        <f t="shared" si="211"/>
        <v>0</v>
      </c>
      <c r="P1734" s="5">
        <f t="shared" si="212"/>
        <v>0</v>
      </c>
      <c r="Q1734" s="5">
        <f>IF('1_Du_lieu'!C186="ĐBSH",1,0)</f>
        <v>1</v>
      </c>
      <c r="R1734" s="5">
        <f>IF('1_Du_lieu'!C186="BTB&amp;DHMT",1,0)</f>
        <v>0</v>
      </c>
      <c r="S1734" s="5">
        <f>IF('1_Du_lieu'!C186="ĐBSCL",1,0)</f>
        <v>0</v>
      </c>
      <c r="T1734" s="5">
        <f>IF('1_Du_lieu'!C186="TN",1,0)</f>
        <v>0</v>
      </c>
      <c r="U1734" s="5">
        <f>IF('1_Du_lieu'!C186="TDMNPB",1,0)</f>
        <v>0</v>
      </c>
    </row>
    <row r="1735" spans="1:21" x14ac:dyDescent="0.25">
      <c r="A1735" t="s">
        <v>147</v>
      </c>
      <c r="B1735">
        <v>2019</v>
      </c>
      <c r="C1735" s="7">
        <f>'1_Du_lieu'!V187</f>
        <v>3.487375077903208</v>
      </c>
      <c r="D1735" s="9">
        <f>'1_Du_lieu'!W187</f>
        <v>3.6136169696133895</v>
      </c>
      <c r="E1735" s="9">
        <f>'1_Du_lieu'!L187</f>
        <v>1.9550000000000001</v>
      </c>
      <c r="F1735" s="9">
        <f>'1_Du_lieu'!M187</f>
        <v>19.84</v>
      </c>
      <c r="G1735" s="9">
        <f>'1_Du_lieu'!N187</f>
        <v>17.5</v>
      </c>
      <c r="H1735" s="9">
        <f>'1_Du_lieu'!X187</f>
        <v>2.5830387949817473</v>
      </c>
      <c r="I1735" s="9">
        <f>'1_Du_lieu'!T187</f>
        <v>0.48602673147023084</v>
      </c>
      <c r="J1735" s="9">
        <f>'1_Du_lieu'!Y187</f>
        <v>6.1681452240118508</v>
      </c>
      <c r="K1735" s="9">
        <f>'1_Du_lieu'!O187</f>
        <v>10.8</v>
      </c>
      <c r="L1735" s="5">
        <f t="shared" si="208"/>
        <v>0</v>
      </c>
      <c r="M1735" s="5">
        <f t="shared" si="209"/>
        <v>0</v>
      </c>
      <c r="N1735" s="5">
        <f t="shared" si="210"/>
        <v>0</v>
      </c>
      <c r="O1735" s="5">
        <f t="shared" si="211"/>
        <v>0</v>
      </c>
      <c r="P1735" s="5">
        <f t="shared" si="212"/>
        <v>0</v>
      </c>
      <c r="Q1735" s="5">
        <f>IF('1_Du_lieu'!C187="ĐBSH",1,0)</f>
        <v>0</v>
      </c>
      <c r="R1735" s="5">
        <f>IF('1_Du_lieu'!C187="BTB&amp;DHMT",1,0)</f>
        <v>0</v>
      </c>
      <c r="S1735" s="5">
        <f>IF('1_Du_lieu'!C187="ĐBSCL",1,0)</f>
        <v>0</v>
      </c>
      <c r="T1735" s="5">
        <f>IF('1_Du_lieu'!C187="TN",1,0)</f>
        <v>0</v>
      </c>
      <c r="U1735" s="5">
        <f>IF('1_Du_lieu'!C187="TDMNPB",1,0)</f>
        <v>1</v>
      </c>
    </row>
    <row r="1736" spans="1:21" x14ac:dyDescent="0.25">
      <c r="A1736" t="s">
        <v>149</v>
      </c>
      <c r="B1736">
        <v>2019</v>
      </c>
      <c r="C1736" s="7">
        <f>'1_Du_lieu'!V189</f>
        <v>4.0517849478033048</v>
      </c>
      <c r="D1736" s="9">
        <f>'1_Du_lieu'!W189</f>
        <v>4.5788262106484892</v>
      </c>
      <c r="E1736" s="9">
        <f>'1_Du_lieu'!L189</f>
        <v>19.776</v>
      </c>
      <c r="F1736" s="9">
        <f>'1_Du_lieu'!M189</f>
        <v>87.16</v>
      </c>
      <c r="G1736" s="9">
        <f>'1_Du_lieu'!N189</f>
        <v>44.6</v>
      </c>
      <c r="H1736" s="9">
        <f>'1_Du_lieu'!X189</f>
        <v>3.4355746767835438</v>
      </c>
      <c r="I1736" s="9">
        <f>'1_Du_lieu'!T189</f>
        <v>6.7478748575935512</v>
      </c>
      <c r="J1736" s="9">
        <f>'1_Du_lieu'!Y189</f>
        <v>8.4870432144653538</v>
      </c>
      <c r="K1736" s="9">
        <f>'1_Du_lieu'!O189</f>
        <v>50.3</v>
      </c>
      <c r="L1736" s="5">
        <f t="shared" si="208"/>
        <v>0</v>
      </c>
      <c r="M1736" s="5">
        <f t="shared" si="209"/>
        <v>0</v>
      </c>
      <c r="N1736" s="5">
        <f t="shared" si="210"/>
        <v>0</v>
      </c>
      <c r="O1736" s="5">
        <f t="shared" si="211"/>
        <v>0</v>
      </c>
      <c r="P1736" s="5">
        <f t="shared" si="212"/>
        <v>0</v>
      </c>
      <c r="Q1736" s="5">
        <f>IF('1_Du_lieu'!C189="ĐBSH",1,0)</f>
        <v>0</v>
      </c>
      <c r="R1736" s="5">
        <f>IF('1_Du_lieu'!C189="BTB&amp;DHMT",1,0)</f>
        <v>1</v>
      </c>
      <c r="S1736" s="5">
        <f>IF('1_Du_lieu'!C189="ĐBSCL",1,0)</f>
        <v>0</v>
      </c>
      <c r="T1736" s="5">
        <f>IF('1_Du_lieu'!C189="TN",1,0)</f>
        <v>0</v>
      </c>
      <c r="U1736" s="5">
        <f>IF('1_Du_lieu'!C189="TDMNPB",1,0)</f>
        <v>0</v>
      </c>
    </row>
    <row r="1737" spans="1:21" x14ac:dyDescent="0.25">
      <c r="A1737" t="s">
        <v>150</v>
      </c>
      <c r="B1737">
        <v>2019</v>
      </c>
      <c r="C1737" s="7">
        <f>'1_Du_lieu'!V190</f>
        <v>3.572345637857985</v>
      </c>
      <c r="D1737" s="9">
        <f>'1_Du_lieu'!W190</f>
        <v>3.730501128804756</v>
      </c>
      <c r="E1737" s="9">
        <f>'1_Du_lieu'!L190</f>
        <v>3.1760000000000002</v>
      </c>
      <c r="F1737" s="9">
        <f>'1_Du_lieu'!M190</f>
        <v>24.74</v>
      </c>
      <c r="G1737" s="9">
        <f>'1_Du_lieu'!N190</f>
        <v>14.6</v>
      </c>
      <c r="H1737" s="9">
        <f>'1_Du_lieu'!X190</f>
        <v>2.1800728531691727</v>
      </c>
      <c r="I1737" s="9">
        <f>'1_Du_lieu'!T190</f>
        <v>0.48061518743992315</v>
      </c>
      <c r="J1737" s="9">
        <f>'1_Du_lieu'!Y190</f>
        <v>4.4188406077965983</v>
      </c>
      <c r="K1737" s="9">
        <f>'1_Du_lieu'!O190</f>
        <v>23.4</v>
      </c>
      <c r="L1737" s="5">
        <f t="shared" si="208"/>
        <v>0</v>
      </c>
      <c r="M1737" s="5">
        <f t="shared" si="209"/>
        <v>0</v>
      </c>
      <c r="N1737" s="5">
        <f t="shared" si="210"/>
        <v>0</v>
      </c>
      <c r="O1737" s="5">
        <f t="shared" si="211"/>
        <v>0</v>
      </c>
      <c r="P1737" s="5">
        <f t="shared" si="212"/>
        <v>0</v>
      </c>
      <c r="Q1737" s="5">
        <f>IF('1_Du_lieu'!C190="ĐBSH",1,0)</f>
        <v>0</v>
      </c>
      <c r="R1737" s="5">
        <f>IF('1_Du_lieu'!C190="BTB&amp;DHMT",1,0)</f>
        <v>0</v>
      </c>
      <c r="S1737" s="5">
        <f>IF('1_Du_lieu'!C190="ĐBSCL",1,0)</f>
        <v>0</v>
      </c>
      <c r="T1737" s="5">
        <f>IF('1_Du_lieu'!C190="TN",1,0)</f>
        <v>1</v>
      </c>
      <c r="U1737" s="5">
        <f>IF('1_Du_lieu'!C190="TDMNPB",1,0)</f>
        <v>0</v>
      </c>
    </row>
    <row r="1738" spans="1:21" x14ac:dyDescent="0.25">
      <c r="A1738" t="s">
        <v>151</v>
      </c>
      <c r="B1738">
        <v>2019</v>
      </c>
      <c r="C1738" s="7">
        <f>'1_Du_lieu'!V191</f>
        <v>3.4626060097907989</v>
      </c>
      <c r="D1738" s="9">
        <f>'1_Du_lieu'!W191</f>
        <v>3.8177123259569048</v>
      </c>
      <c r="E1738" s="9">
        <f>'1_Du_lieu'!L191</f>
        <v>3.19</v>
      </c>
      <c r="F1738" s="9">
        <f>'1_Du_lieu'!M191</f>
        <v>15.24</v>
      </c>
      <c r="G1738" s="9">
        <f>'1_Du_lieu'!N191</f>
        <v>14.1</v>
      </c>
      <c r="H1738" s="9">
        <f>'1_Du_lieu'!X191</f>
        <v>0.97782859061500571</v>
      </c>
      <c r="I1738" s="9">
        <f>'1_Du_lieu'!T191</f>
        <v>0.4793863854266539</v>
      </c>
      <c r="J1738" s="9">
        <f>'1_Du_lieu'!Y191</f>
        <v>5.4971682252932021</v>
      </c>
      <c r="K1738" s="9">
        <f>'1_Du_lieu'!O191</f>
        <v>27.5</v>
      </c>
      <c r="L1738" s="5">
        <f t="shared" si="208"/>
        <v>0</v>
      </c>
      <c r="M1738" s="5">
        <f t="shared" si="209"/>
        <v>0</v>
      </c>
      <c r="N1738" s="5">
        <f t="shared" si="210"/>
        <v>0</v>
      </c>
      <c r="O1738" s="5">
        <f t="shared" si="211"/>
        <v>0</v>
      </c>
      <c r="P1738" s="5">
        <f t="shared" si="212"/>
        <v>0</v>
      </c>
      <c r="Q1738" s="5">
        <f>IF('1_Du_lieu'!C191="ĐBSH",1,0)</f>
        <v>0</v>
      </c>
      <c r="R1738" s="5">
        <f>IF('1_Du_lieu'!C191="BTB&amp;DHMT",1,0)</f>
        <v>0</v>
      </c>
      <c r="S1738" s="5">
        <f>IF('1_Du_lieu'!C191="ĐBSCL",1,0)</f>
        <v>0</v>
      </c>
      <c r="T1738" s="5">
        <f>IF('1_Du_lieu'!C191="TN",1,0)</f>
        <v>1</v>
      </c>
      <c r="U1738" s="5">
        <f>IF('1_Du_lieu'!C191="TDMNPB",1,0)</f>
        <v>0</v>
      </c>
    </row>
    <row r="1739" spans="1:21" x14ac:dyDescent="0.25">
      <c r="A1739" t="s">
        <v>152</v>
      </c>
      <c r="B1739">
        <v>2019</v>
      </c>
      <c r="C1739" s="7">
        <f>'1_Du_lieu'!V192</f>
        <v>3.9454577815143836</v>
      </c>
      <c r="D1739" s="9">
        <f>'1_Du_lieu'!W192</f>
        <v>4.7068238397145912</v>
      </c>
      <c r="E1739" s="9">
        <f>'1_Du_lieu'!L192</f>
        <v>7.1929999999999996</v>
      </c>
      <c r="F1739" s="9">
        <f>'1_Du_lieu'!M192</f>
        <v>44.06</v>
      </c>
      <c r="G1739" s="9">
        <f>'1_Du_lieu'!N192</f>
        <v>20</v>
      </c>
      <c r="H1739" s="9">
        <f>'1_Du_lieu'!X192</f>
        <v>2.7089661617799434</v>
      </c>
      <c r="I1739" s="9">
        <f>'1_Du_lieu'!T192</f>
        <v>0.57809037479525971</v>
      </c>
      <c r="J1739" s="9">
        <f>'1_Du_lieu'!Y192</f>
        <v>9.2135252947209469</v>
      </c>
      <c r="K1739" s="9">
        <f>'1_Du_lieu'!O192</f>
        <v>23.3</v>
      </c>
      <c r="L1739" s="5">
        <f t="shared" si="208"/>
        <v>0</v>
      </c>
      <c r="M1739" s="5">
        <f t="shared" si="209"/>
        <v>0</v>
      </c>
      <c r="N1739" s="5">
        <f t="shared" si="210"/>
        <v>0</v>
      </c>
      <c r="O1739" s="5">
        <f t="shared" si="211"/>
        <v>0</v>
      </c>
      <c r="P1739" s="5">
        <f t="shared" si="212"/>
        <v>0</v>
      </c>
      <c r="Q1739" s="5">
        <f>IF('1_Du_lieu'!C192="ĐBSH",1,0)</f>
        <v>0</v>
      </c>
      <c r="R1739" s="5">
        <f>IF('1_Du_lieu'!C192="BTB&amp;DHMT",1,0)</f>
        <v>0</v>
      </c>
      <c r="S1739" s="5">
        <f>IF('1_Du_lieu'!C192="ĐBSCL",1,0)</f>
        <v>0</v>
      </c>
      <c r="T1739" s="5">
        <f>IF('1_Du_lieu'!C192="TN",1,0)</f>
        <v>0</v>
      </c>
      <c r="U1739" s="5">
        <f>IF('1_Du_lieu'!C192="TDMNPB",1,0)</f>
        <v>0</v>
      </c>
    </row>
    <row r="1740" spans="1:21" x14ac:dyDescent="0.25">
      <c r="A1740" t="s">
        <v>153</v>
      </c>
      <c r="B1740">
        <v>2019</v>
      </c>
      <c r="C1740" s="7">
        <f>'1_Du_lieu'!V193</f>
        <v>3.5524868292083815</v>
      </c>
      <c r="D1740" s="9">
        <f>'1_Du_lieu'!W193</f>
        <v>3.9415818076696905</v>
      </c>
      <c r="E1740" s="9">
        <f>'1_Du_lieu'!L193</f>
        <v>2.129</v>
      </c>
      <c r="F1740" s="9">
        <f>'1_Du_lieu'!M193</f>
        <v>19.059999999999999</v>
      </c>
      <c r="G1740" s="9">
        <f>'1_Du_lieu'!N193</f>
        <v>13.5</v>
      </c>
      <c r="H1740" s="9">
        <f>'1_Du_lieu'!X193</f>
        <v>0.41004139433239756</v>
      </c>
      <c r="I1740" s="9">
        <f>'1_Du_lieu'!T193</f>
        <v>0.56292219164373281</v>
      </c>
      <c r="J1740" s="9">
        <f>'1_Du_lieu'!Y193</f>
        <v>4.6681449851494801</v>
      </c>
      <c r="K1740" s="9">
        <f>'1_Du_lieu'!O193</f>
        <v>20.3</v>
      </c>
      <c r="L1740" s="5">
        <f t="shared" si="208"/>
        <v>0</v>
      </c>
      <c r="M1740" s="5">
        <f t="shared" si="209"/>
        <v>0</v>
      </c>
      <c r="N1740" s="5">
        <f t="shared" si="210"/>
        <v>0</v>
      </c>
      <c r="O1740" s="5">
        <f t="shared" si="211"/>
        <v>0</v>
      </c>
      <c r="P1740" s="5">
        <f t="shared" si="212"/>
        <v>0</v>
      </c>
      <c r="Q1740" s="5">
        <f>IF('1_Du_lieu'!C193="ĐBSH",1,0)</f>
        <v>0</v>
      </c>
      <c r="R1740" s="5">
        <f>IF('1_Du_lieu'!C193="BTB&amp;DHMT",1,0)</f>
        <v>0</v>
      </c>
      <c r="S1740" s="5">
        <f>IF('1_Du_lieu'!C193="ĐBSCL",1,0)</f>
        <v>1</v>
      </c>
      <c r="T1740" s="5">
        <f>IF('1_Du_lieu'!C193="TN",1,0)</f>
        <v>0</v>
      </c>
      <c r="U1740" s="5">
        <f>IF('1_Du_lieu'!C193="TDMNPB",1,0)</f>
        <v>0</v>
      </c>
    </row>
    <row r="1741" spans="1:21" x14ac:dyDescent="0.25">
      <c r="A1741" t="s">
        <v>85</v>
      </c>
      <c r="B1741">
        <v>2020</v>
      </c>
      <c r="C1741" s="7">
        <f>'1_Du_lieu'!V194</f>
        <v>3.6686767467964168</v>
      </c>
      <c r="D1741" s="9">
        <f>'1_Du_lieu'!W194</f>
        <v>3.8416005411316001</v>
      </c>
      <c r="E1741" s="9">
        <f>'1_Du_lieu'!L194</f>
        <v>2.5169999999999999</v>
      </c>
      <c r="F1741" s="9">
        <f>'1_Du_lieu'!M194</f>
        <v>31.59</v>
      </c>
      <c r="G1741" s="9">
        <f>'1_Du_lieu'!N194</f>
        <v>13.9</v>
      </c>
      <c r="H1741" s="9">
        <f>'1_Du_lieu'!X194</f>
        <v>1.3825989091536561</v>
      </c>
      <c r="I1741" s="9">
        <f>'1_Du_lieu'!T194</f>
        <v>0.47256497768443162</v>
      </c>
      <c r="J1741" s="9">
        <f>'1_Du_lieu'!Y194</f>
        <v>4.9642422545265452</v>
      </c>
      <c r="K1741" s="9">
        <f>'1_Du_lieu'!O194</f>
        <v>18.399999999999999</v>
      </c>
      <c r="L1741" s="5">
        <f t="shared" si="208"/>
        <v>1</v>
      </c>
      <c r="M1741" s="5">
        <f t="shared" si="209"/>
        <v>0</v>
      </c>
      <c r="N1741" s="5">
        <f t="shared" si="210"/>
        <v>0</v>
      </c>
      <c r="O1741" s="5">
        <f t="shared" si="211"/>
        <v>0</v>
      </c>
      <c r="P1741" s="5">
        <f t="shared" si="212"/>
        <v>0</v>
      </c>
      <c r="Q1741" s="5">
        <f>IF('1_Du_lieu'!C194="ĐBSH",1,0)</f>
        <v>0</v>
      </c>
      <c r="R1741" s="5">
        <f>IF('1_Du_lieu'!C194="BTB&amp;DHMT",1,0)</f>
        <v>0</v>
      </c>
      <c r="S1741" s="5">
        <f>IF('1_Du_lieu'!C194="ĐBSCL",1,0)</f>
        <v>1</v>
      </c>
      <c r="T1741" s="5">
        <f>IF('1_Du_lieu'!C194="TN",1,0)</f>
        <v>0</v>
      </c>
      <c r="U1741" s="5">
        <f>IF('1_Du_lieu'!C194="TDMNPB",1,0)</f>
        <v>0</v>
      </c>
    </row>
    <row r="1742" spans="1:21" x14ac:dyDescent="0.25">
      <c r="A1742" t="s">
        <v>87</v>
      </c>
      <c r="B1742">
        <v>2020</v>
      </c>
      <c r="C1742" s="7">
        <f>'1_Du_lieu'!V195</f>
        <v>3.8836235309064482</v>
      </c>
      <c r="D1742" s="9">
        <f>'1_Du_lieu'!W195</f>
        <v>5.5262494345940434</v>
      </c>
      <c r="E1742" s="9">
        <f>'1_Du_lieu'!L195</f>
        <v>9.3719999999999999</v>
      </c>
      <c r="F1742" s="9">
        <f>'1_Du_lieu'!M195</f>
        <v>57.56</v>
      </c>
      <c r="G1742" s="9">
        <f>'1_Du_lieu'!N195</f>
        <v>30.1</v>
      </c>
      <c r="H1742" s="9">
        <f>'1_Du_lieu'!X195</f>
        <v>1.8354030636708374</v>
      </c>
      <c r="I1742" s="9">
        <f>'1_Du_lieu'!T195</f>
        <v>1.2843565373747752</v>
      </c>
      <c r="J1742" s="9">
        <f>'1_Du_lieu'!Y195</f>
        <v>10.241262511674343</v>
      </c>
      <c r="K1742" s="9">
        <f>'1_Du_lieu'!O195</f>
        <v>26.2</v>
      </c>
      <c r="L1742" s="5">
        <f t="shared" si="208"/>
        <v>1</v>
      </c>
      <c r="M1742" s="5">
        <f t="shared" si="209"/>
        <v>0</v>
      </c>
      <c r="N1742" s="5">
        <f t="shared" si="210"/>
        <v>0</v>
      </c>
      <c r="O1742" s="5">
        <f t="shared" si="211"/>
        <v>0</v>
      </c>
      <c r="P1742" s="5">
        <f t="shared" si="212"/>
        <v>0</v>
      </c>
      <c r="Q1742" s="5">
        <f>IF('1_Du_lieu'!C195="ĐBSH",1,0)</f>
        <v>0</v>
      </c>
      <c r="R1742" s="5">
        <f>IF('1_Du_lieu'!C195="BTB&amp;DHMT",1,0)</f>
        <v>0</v>
      </c>
      <c r="S1742" s="5">
        <f>IF('1_Du_lieu'!C195="ĐBSCL",1,0)</f>
        <v>0</v>
      </c>
      <c r="T1742" s="5">
        <f>IF('1_Du_lieu'!C195="TN",1,0)</f>
        <v>0</v>
      </c>
      <c r="U1742" s="5">
        <f>IF('1_Du_lieu'!C195="TDMNPB",1,0)</f>
        <v>0</v>
      </c>
    </row>
    <row r="1743" spans="1:21" x14ac:dyDescent="0.25">
      <c r="A1743" t="s">
        <v>89</v>
      </c>
      <c r="B1743">
        <v>2020</v>
      </c>
      <c r="C1743" s="7">
        <f>'1_Du_lieu'!V196</f>
        <v>4.0055133485154846</v>
      </c>
      <c r="D1743" s="9">
        <f>'1_Du_lieu'!W196</f>
        <v>5.01396308418893</v>
      </c>
      <c r="E1743" s="9">
        <f>'1_Du_lieu'!L196</f>
        <v>13.499000000000001</v>
      </c>
      <c r="F1743" s="9">
        <f>'1_Du_lieu'!M196</f>
        <v>84.41</v>
      </c>
      <c r="G1743" s="9">
        <f>'1_Du_lieu'!N196</f>
        <v>20.100000000000001</v>
      </c>
      <c r="H1743" s="9">
        <f>'1_Du_lieu'!X196</f>
        <v>3.1207945456849679</v>
      </c>
      <c r="I1743" s="9">
        <f>'1_Du_lieu'!T196</f>
        <v>0.65876152832674573</v>
      </c>
      <c r="J1743" s="9">
        <f>'1_Du_lieu'!Y196</f>
        <v>9.5862599444214673</v>
      </c>
      <c r="K1743" s="9">
        <f>'1_Du_lieu'!O196</f>
        <v>22.2</v>
      </c>
      <c r="L1743" s="5">
        <f t="shared" si="208"/>
        <v>1</v>
      </c>
      <c r="M1743" s="5">
        <f t="shared" si="209"/>
        <v>0</v>
      </c>
      <c r="N1743" s="5">
        <f t="shared" si="210"/>
        <v>0</v>
      </c>
      <c r="O1743" s="5">
        <f t="shared" si="211"/>
        <v>0</v>
      </c>
      <c r="P1743" s="5">
        <f t="shared" si="212"/>
        <v>0</v>
      </c>
      <c r="Q1743" s="5">
        <f>IF('1_Du_lieu'!C196="ĐBSH",1,0)</f>
        <v>0</v>
      </c>
      <c r="R1743" s="5">
        <f>IF('1_Du_lieu'!C196="BTB&amp;DHMT",1,0)</f>
        <v>0</v>
      </c>
      <c r="S1743" s="5">
        <f>IF('1_Du_lieu'!C196="ĐBSCL",1,0)</f>
        <v>0</v>
      </c>
      <c r="T1743" s="5">
        <f>IF('1_Du_lieu'!C196="TN",1,0)</f>
        <v>0</v>
      </c>
      <c r="U1743" s="5">
        <f>IF('1_Du_lieu'!C196="TDMNPB",1,0)</f>
        <v>0</v>
      </c>
    </row>
    <row r="1744" spans="1:21" x14ac:dyDescent="0.25">
      <c r="A1744" t="s">
        <v>90</v>
      </c>
      <c r="B1744">
        <v>2020</v>
      </c>
      <c r="C1744" s="7">
        <f>'1_Du_lieu'!V197</f>
        <v>3.3945083935113587</v>
      </c>
      <c r="D1744" s="9">
        <f>'1_Du_lieu'!W197</f>
        <v>4.2150861799182291</v>
      </c>
      <c r="E1744" s="9">
        <f>'1_Du_lieu'!L197</f>
        <v>5.7670000000000003</v>
      </c>
      <c r="F1744" s="9">
        <f>'1_Du_lieu'!M197</f>
        <v>24.03</v>
      </c>
      <c r="G1744" s="9">
        <f>'1_Du_lieu'!N197</f>
        <v>18.100000000000001</v>
      </c>
      <c r="H1744" s="9">
        <f>'1_Du_lieu'!X197</f>
        <v>1.0237813084651139</v>
      </c>
      <c r="I1744" s="9">
        <f>'1_Du_lieu'!T197</f>
        <v>1.087924043121353</v>
      </c>
      <c r="J1744" s="9">
        <f>'1_Du_lieu'!Y197</f>
        <v>8.0796490078443259</v>
      </c>
      <c r="K1744" s="9">
        <f>'1_Du_lieu'!O197</f>
        <v>21.2</v>
      </c>
      <c r="L1744" s="5">
        <f t="shared" si="208"/>
        <v>1</v>
      </c>
      <c r="M1744" s="5">
        <f t="shared" si="209"/>
        <v>0</v>
      </c>
      <c r="N1744" s="5">
        <f t="shared" si="210"/>
        <v>0</v>
      </c>
      <c r="O1744" s="5">
        <f t="shared" si="211"/>
        <v>0</v>
      </c>
      <c r="P1744" s="5">
        <f t="shared" si="212"/>
        <v>0</v>
      </c>
      <c r="Q1744" s="5">
        <f>IF('1_Du_lieu'!C197="ĐBSH",1,0)</f>
        <v>0</v>
      </c>
      <c r="R1744" s="5">
        <f>IF('1_Du_lieu'!C197="BTB&amp;DHMT",1,0)</f>
        <v>0</v>
      </c>
      <c r="S1744" s="5">
        <f>IF('1_Du_lieu'!C197="ĐBSCL",1,0)</f>
        <v>0</v>
      </c>
      <c r="T1744" s="5">
        <f>IF('1_Du_lieu'!C197="TN",1,0)</f>
        <v>0</v>
      </c>
      <c r="U1744" s="5">
        <f>IF('1_Du_lieu'!C197="TDMNPB",1,0)</f>
        <v>0</v>
      </c>
    </row>
    <row r="1745" spans="1:21" x14ac:dyDescent="0.25">
      <c r="A1745" t="s">
        <v>91</v>
      </c>
      <c r="B1745">
        <v>2020</v>
      </c>
      <c r="C1745" s="7">
        <f>'1_Du_lieu'!V198</f>
        <v>3.6109179126442243</v>
      </c>
      <c r="D1745" s="9">
        <f>'1_Du_lieu'!W198</f>
        <v>4.2370008626236242</v>
      </c>
      <c r="E1745" s="9">
        <f>'1_Du_lieu'!L198</f>
        <v>4.2119999999999997</v>
      </c>
      <c r="F1745" s="9">
        <f>'1_Du_lieu'!M198</f>
        <v>38.090000000000003</v>
      </c>
      <c r="G1745" s="9">
        <f>'1_Du_lieu'!N198</f>
        <v>15.7</v>
      </c>
      <c r="H1745" s="9">
        <f>'1_Du_lieu'!X198</f>
        <v>1.6399841007239431</v>
      </c>
      <c r="I1745" s="9">
        <f>'1_Du_lieu'!T198</f>
        <v>0.32276284999596544</v>
      </c>
      <c r="J1745" s="9">
        <f>'1_Du_lieu'!Y198</f>
        <v>8.0311252187759727</v>
      </c>
      <c r="K1745" s="9">
        <f>'1_Du_lieu'!O198</f>
        <v>20.100000000000001</v>
      </c>
      <c r="L1745" s="5">
        <f t="shared" si="208"/>
        <v>1</v>
      </c>
      <c r="M1745" s="5">
        <f t="shared" si="209"/>
        <v>0</v>
      </c>
      <c r="N1745" s="5">
        <f t="shared" si="210"/>
        <v>0</v>
      </c>
      <c r="O1745" s="5">
        <f t="shared" si="211"/>
        <v>0</v>
      </c>
      <c r="P1745" s="5">
        <f t="shared" si="212"/>
        <v>0</v>
      </c>
      <c r="Q1745" s="5">
        <f>IF('1_Du_lieu'!C198="ĐBSH",1,0)</f>
        <v>0</v>
      </c>
      <c r="R1745" s="5">
        <f>IF('1_Du_lieu'!C198="BTB&amp;DHMT",1,0)</f>
        <v>1</v>
      </c>
      <c r="S1745" s="5">
        <f>IF('1_Du_lieu'!C198="ĐBSCL",1,0)</f>
        <v>0</v>
      </c>
      <c r="T1745" s="5">
        <f>IF('1_Du_lieu'!C198="TN",1,0)</f>
        <v>0</v>
      </c>
      <c r="U1745" s="5">
        <f>IF('1_Du_lieu'!C198="TDMNPB",1,0)</f>
        <v>0</v>
      </c>
    </row>
    <row r="1746" spans="1:21" x14ac:dyDescent="0.25">
      <c r="A1746" t="s">
        <v>93</v>
      </c>
      <c r="B1746">
        <v>2020</v>
      </c>
      <c r="C1746" s="7">
        <f>'1_Du_lieu'!V199</f>
        <v>3.7471483622379123</v>
      </c>
      <c r="D1746" s="9">
        <f>'1_Du_lieu'!W199</f>
        <v>4.0960098415411617</v>
      </c>
      <c r="E1746" s="9">
        <f>'1_Du_lieu'!L199</f>
        <v>4.5309999999999997</v>
      </c>
      <c r="F1746" s="9">
        <f>'1_Du_lieu'!M199</f>
        <v>40.32</v>
      </c>
      <c r="G1746" s="9">
        <f>'1_Du_lieu'!N199</f>
        <v>21.8</v>
      </c>
      <c r="H1746" s="9">
        <f>'1_Du_lieu'!X199</f>
        <v>2.8198086483769287</v>
      </c>
      <c r="I1746" s="9">
        <f>'1_Du_lieu'!T199</f>
        <v>0.80650581356273943</v>
      </c>
      <c r="J1746" s="9">
        <f>'1_Du_lieu'!Y199</f>
        <v>6.5935923292807583</v>
      </c>
      <c r="K1746" s="9">
        <f>'1_Du_lieu'!O199</f>
        <v>24.7</v>
      </c>
      <c r="L1746" s="5">
        <f t="shared" si="208"/>
        <v>1</v>
      </c>
      <c r="M1746" s="5">
        <f t="shared" si="209"/>
        <v>0</v>
      </c>
      <c r="N1746" s="5">
        <f t="shared" si="210"/>
        <v>0</v>
      </c>
      <c r="O1746" s="5">
        <f t="shared" si="211"/>
        <v>0</v>
      </c>
      <c r="P1746" s="5">
        <f t="shared" si="212"/>
        <v>0</v>
      </c>
      <c r="Q1746" s="5">
        <f>IF('1_Du_lieu'!C199="ĐBSH",1,0)</f>
        <v>0</v>
      </c>
      <c r="R1746" s="5">
        <f>IF('1_Du_lieu'!C199="BTB&amp;DHMT",1,0)</f>
        <v>1</v>
      </c>
      <c r="S1746" s="5">
        <f>IF('1_Du_lieu'!C199="ĐBSCL",1,0)</f>
        <v>0</v>
      </c>
      <c r="T1746" s="5">
        <f>IF('1_Du_lieu'!C199="TN",1,0)</f>
        <v>0</v>
      </c>
      <c r="U1746" s="5">
        <f>IF('1_Du_lieu'!C199="TDMNPB",1,0)</f>
        <v>0</v>
      </c>
    </row>
    <row r="1747" spans="1:21" x14ac:dyDescent="0.25">
      <c r="A1747" t="s">
        <v>95</v>
      </c>
      <c r="B1747">
        <v>2020</v>
      </c>
      <c r="C1747" s="7">
        <f>'1_Du_lieu'!V201</f>
        <v>3.7796338173824005</v>
      </c>
      <c r="D1747" s="9">
        <f>'1_Du_lieu'!W201</f>
        <v>4.1835756959500436</v>
      </c>
      <c r="E1747" s="9">
        <f>'1_Du_lieu'!L201</f>
        <v>3.556</v>
      </c>
      <c r="F1747" s="9">
        <f>'1_Du_lieu'!M201</f>
        <v>18.14</v>
      </c>
      <c r="G1747" s="9">
        <f>'1_Du_lieu'!N201</f>
        <v>19.8</v>
      </c>
      <c r="H1747" s="9">
        <f>'1_Du_lieu'!X201</f>
        <v>2.5279850021170573</v>
      </c>
      <c r="I1747" s="9">
        <f>'1_Du_lieu'!T201</f>
        <v>0.86880973066898359</v>
      </c>
      <c r="J1747" s="9">
        <f>'1_Du_lieu'!Y201</f>
        <v>8.262584772471449</v>
      </c>
      <c r="K1747" s="9">
        <f>'1_Du_lieu'!O201</f>
        <v>17.8</v>
      </c>
      <c r="L1747" s="5">
        <f t="shared" si="208"/>
        <v>1</v>
      </c>
      <c r="M1747" s="5">
        <f t="shared" si="209"/>
        <v>0</v>
      </c>
      <c r="N1747" s="5">
        <f t="shared" si="210"/>
        <v>0</v>
      </c>
      <c r="O1747" s="5">
        <f t="shared" si="211"/>
        <v>0</v>
      </c>
      <c r="P1747" s="5">
        <f t="shared" si="212"/>
        <v>0</v>
      </c>
      <c r="Q1747" s="5">
        <f>IF('1_Du_lieu'!C201="ĐBSH",1,0)</f>
        <v>0</v>
      </c>
      <c r="R1747" s="5">
        <f>IF('1_Du_lieu'!C201="BTB&amp;DHMT",1,0)</f>
        <v>0</v>
      </c>
      <c r="S1747" s="5">
        <f>IF('1_Du_lieu'!C201="ĐBSCL",1,0)</f>
        <v>0</v>
      </c>
      <c r="T1747" s="5">
        <f>IF('1_Du_lieu'!C201="TN",1,0)</f>
        <v>0</v>
      </c>
      <c r="U1747" s="5">
        <f>IF('1_Du_lieu'!C201="TDMNPB",1,0)</f>
        <v>1</v>
      </c>
    </row>
    <row r="1748" spans="1:21" x14ac:dyDescent="0.25">
      <c r="A1748" t="s">
        <v>97</v>
      </c>
      <c r="B1748">
        <v>2020</v>
      </c>
      <c r="C1748" s="7">
        <f>'1_Du_lieu'!V202</f>
        <v>3.3286266888273199</v>
      </c>
      <c r="D1748" s="9">
        <f>'1_Du_lieu'!W202</f>
        <v>3.7160081215021892</v>
      </c>
      <c r="E1748" s="9">
        <f>'1_Du_lieu'!L202</f>
        <v>1.9019999999999999</v>
      </c>
      <c r="F1748" s="9">
        <f>'1_Du_lieu'!M202</f>
        <v>22.59</v>
      </c>
      <c r="G1748" s="9">
        <f>'1_Du_lieu'!N202</f>
        <v>16.3</v>
      </c>
      <c r="H1748" s="9">
        <f>'1_Du_lieu'!X202</f>
        <v>1.2939261370366355</v>
      </c>
      <c r="I1748" s="9">
        <f>'1_Du_lieu'!T202</f>
        <v>0.94786729857819907</v>
      </c>
      <c r="J1748" s="9">
        <f>'1_Du_lieu'!Y202</f>
        <v>3.039749158970765</v>
      </c>
      <c r="K1748" s="9">
        <f>'1_Du_lieu'!O202</f>
        <v>16.5</v>
      </c>
      <c r="L1748" s="5">
        <f t="shared" si="208"/>
        <v>1</v>
      </c>
      <c r="M1748" s="5">
        <f t="shared" si="209"/>
        <v>0</v>
      </c>
      <c r="N1748" s="5">
        <f t="shared" si="210"/>
        <v>0</v>
      </c>
      <c r="O1748" s="5">
        <f t="shared" si="211"/>
        <v>0</v>
      </c>
      <c r="P1748" s="5">
        <f t="shared" si="212"/>
        <v>0</v>
      </c>
      <c r="Q1748" s="5">
        <f>IF('1_Du_lieu'!C202="ĐBSH",1,0)</f>
        <v>0</v>
      </c>
      <c r="R1748" s="5">
        <f>IF('1_Du_lieu'!C202="BTB&amp;DHMT",1,0)</f>
        <v>0</v>
      </c>
      <c r="S1748" s="5">
        <f>IF('1_Du_lieu'!C202="ĐBSCL",1,0)</f>
        <v>0</v>
      </c>
      <c r="T1748" s="5">
        <f>IF('1_Du_lieu'!C202="TN",1,0)</f>
        <v>0</v>
      </c>
      <c r="U1748" s="5">
        <f>IF('1_Du_lieu'!C202="TDMNPB",1,0)</f>
        <v>1</v>
      </c>
    </row>
    <row r="1749" spans="1:21" x14ac:dyDescent="0.25">
      <c r="A1749" t="s">
        <v>98</v>
      </c>
      <c r="B1749">
        <v>2020</v>
      </c>
      <c r="C1749" s="7">
        <f>'1_Du_lieu'!V203</f>
        <v>3.9721769282478934</v>
      </c>
      <c r="D1749" s="9">
        <f>'1_Du_lieu'!W203</f>
        <v>4.9924713234685845</v>
      </c>
      <c r="E1749" s="9">
        <f>'1_Du_lieu'!L203</f>
        <v>8.9979999999999993</v>
      </c>
      <c r="F1749" s="9">
        <f>'1_Du_lieu'!M203</f>
        <v>31.47</v>
      </c>
      <c r="G1749" s="9">
        <f>'1_Du_lieu'!N203</f>
        <v>27.8</v>
      </c>
      <c r="H1749" s="9">
        <f>'1_Du_lieu'!X203</f>
        <v>2.6688349373973557</v>
      </c>
      <c r="I1749" s="9">
        <f>'1_Du_lieu'!T203</f>
        <v>2.1140159255866395</v>
      </c>
      <c r="J1749" s="9">
        <f>'1_Du_lieu'!Y203</f>
        <v>9.5441304433774565</v>
      </c>
      <c r="K1749" s="9">
        <f>'1_Du_lieu'!O203</f>
        <v>29.1</v>
      </c>
      <c r="L1749" s="5">
        <f t="shared" si="208"/>
        <v>1</v>
      </c>
      <c r="M1749" s="5">
        <f t="shared" si="209"/>
        <v>0</v>
      </c>
      <c r="N1749" s="5">
        <f t="shared" si="210"/>
        <v>0</v>
      </c>
      <c r="O1749" s="5">
        <f t="shared" si="211"/>
        <v>0</v>
      </c>
      <c r="P1749" s="5">
        <f t="shared" si="212"/>
        <v>0</v>
      </c>
      <c r="Q1749" s="5">
        <f>IF('1_Du_lieu'!C203="ĐBSH",1,0)</f>
        <v>1</v>
      </c>
      <c r="R1749" s="5">
        <f>IF('1_Du_lieu'!C203="BTB&amp;DHMT",1,0)</f>
        <v>0</v>
      </c>
      <c r="S1749" s="5">
        <f>IF('1_Du_lieu'!C203="ĐBSCL",1,0)</f>
        <v>0</v>
      </c>
      <c r="T1749" s="5">
        <f>IF('1_Du_lieu'!C203="TN",1,0)</f>
        <v>0</v>
      </c>
      <c r="U1749" s="5">
        <f>IF('1_Du_lieu'!C203="TDMNPB",1,0)</f>
        <v>0</v>
      </c>
    </row>
    <row r="1750" spans="1:21" x14ac:dyDescent="0.25">
      <c r="A1750" t="s">
        <v>100</v>
      </c>
      <c r="B1750">
        <v>2020</v>
      </c>
      <c r="C1750" s="7">
        <f>'1_Du_lieu'!V204</f>
        <v>3.7750571503549888</v>
      </c>
      <c r="D1750" s="9">
        <f>'1_Du_lieu'!W204</f>
        <v>3.735285826928092</v>
      </c>
      <c r="E1750" s="9">
        <f>'1_Du_lieu'!L204</f>
        <v>2.5739999999999998</v>
      </c>
      <c r="F1750" s="9">
        <f>'1_Du_lieu'!M204</f>
        <v>9.8000000000000007</v>
      </c>
      <c r="G1750" s="9">
        <f>'1_Du_lieu'!N204</f>
        <v>12.6</v>
      </c>
      <c r="H1750" s="9">
        <f>'1_Du_lieu'!X204</f>
        <v>0.92153846733122535</v>
      </c>
      <c r="I1750" s="9">
        <f>'1_Du_lieu'!T204</f>
        <v>0.46425255338904359</v>
      </c>
      <c r="J1750" s="9">
        <f>'1_Du_lieu'!Y204</f>
        <v>7.1294577924999425</v>
      </c>
      <c r="K1750" s="9">
        <f>'1_Du_lieu'!O204</f>
        <v>14.5</v>
      </c>
      <c r="L1750" s="5">
        <f t="shared" si="208"/>
        <v>1</v>
      </c>
      <c r="M1750" s="5">
        <f t="shared" si="209"/>
        <v>0</v>
      </c>
      <c r="N1750" s="5">
        <f t="shared" si="210"/>
        <v>0</v>
      </c>
      <c r="O1750" s="5">
        <f t="shared" si="211"/>
        <v>0</v>
      </c>
      <c r="P1750" s="5">
        <f t="shared" si="212"/>
        <v>0</v>
      </c>
      <c r="Q1750" s="5">
        <f>IF('1_Du_lieu'!C204="ĐBSH",1,0)</f>
        <v>0</v>
      </c>
      <c r="R1750" s="5">
        <f>IF('1_Du_lieu'!C204="BTB&amp;DHMT",1,0)</f>
        <v>0</v>
      </c>
      <c r="S1750" s="5">
        <f>IF('1_Du_lieu'!C204="ĐBSCL",1,0)</f>
        <v>1</v>
      </c>
      <c r="T1750" s="5">
        <f>IF('1_Du_lieu'!C204="TN",1,0)</f>
        <v>0</v>
      </c>
      <c r="U1750" s="5">
        <f>IF('1_Du_lieu'!C204="TDMNPB",1,0)</f>
        <v>0</v>
      </c>
    </row>
    <row r="1751" spans="1:21" x14ac:dyDescent="0.25">
      <c r="A1751" t="s">
        <v>102</v>
      </c>
      <c r="B1751">
        <v>2020</v>
      </c>
      <c r="C1751" s="7">
        <f>'1_Du_lieu'!V206</f>
        <v>3.3499040872746049</v>
      </c>
      <c r="D1751" s="9">
        <f>'1_Du_lieu'!W206</f>
        <v>3.9357395320454622</v>
      </c>
      <c r="E1751" s="9">
        <f>'1_Du_lieu'!L206</f>
        <v>2.9929999999999999</v>
      </c>
      <c r="F1751" s="9">
        <f>'1_Du_lieu'!M206</f>
        <v>22.71</v>
      </c>
      <c r="G1751" s="9">
        <f>'1_Du_lieu'!N206</f>
        <v>13</v>
      </c>
      <c r="H1751" s="9">
        <f>'1_Du_lieu'!X206</f>
        <v>-0.64931105481926565</v>
      </c>
      <c r="I1751" s="9">
        <f>'1_Du_lieu'!T206</f>
        <v>0.67007287042465857</v>
      </c>
      <c r="J1751" s="9">
        <f>'1_Du_lieu'!Y206</f>
        <v>4.8418220873270936</v>
      </c>
      <c r="K1751" s="9">
        <f>'1_Du_lieu'!O206</f>
        <v>16.5</v>
      </c>
      <c r="L1751" s="5">
        <f t="shared" si="208"/>
        <v>1</v>
      </c>
      <c r="M1751" s="5">
        <f t="shared" si="209"/>
        <v>0</v>
      </c>
      <c r="N1751" s="5">
        <f t="shared" si="210"/>
        <v>0</v>
      </c>
      <c r="O1751" s="5">
        <f t="shared" si="211"/>
        <v>0</v>
      </c>
      <c r="P1751" s="5">
        <f t="shared" si="212"/>
        <v>0</v>
      </c>
      <c r="Q1751" s="5">
        <f>IF('1_Du_lieu'!C206="ĐBSH",1,0)</f>
        <v>0</v>
      </c>
      <c r="R1751" s="5">
        <f>IF('1_Du_lieu'!C206="BTB&amp;DHMT",1,0)</f>
        <v>0</v>
      </c>
      <c r="S1751" s="5">
        <f>IF('1_Du_lieu'!C206="ĐBSCL",1,0)</f>
        <v>1</v>
      </c>
      <c r="T1751" s="5">
        <f>IF('1_Du_lieu'!C206="TN",1,0)</f>
        <v>0</v>
      </c>
      <c r="U1751" s="5">
        <f>IF('1_Du_lieu'!C206="TDMNPB",1,0)</f>
        <v>0</v>
      </c>
    </row>
    <row r="1752" spans="1:21" x14ac:dyDescent="0.25">
      <c r="A1752" t="s">
        <v>103</v>
      </c>
      <c r="B1752">
        <v>2020</v>
      </c>
      <c r="C1752" s="7">
        <f>'1_Du_lieu'!V207</f>
        <v>3.8877303128591016</v>
      </c>
      <c r="D1752" s="9">
        <f>'1_Du_lieu'!W207</f>
        <v>4.282206299391671</v>
      </c>
      <c r="E1752" s="9">
        <f>'1_Du_lieu'!L207</f>
        <v>7.3250000000000002</v>
      </c>
      <c r="F1752" s="9">
        <f>'1_Du_lieu'!M207</f>
        <v>70.02</v>
      </c>
      <c r="G1752" s="9">
        <f>'1_Du_lieu'!N207</f>
        <v>20.6</v>
      </c>
      <c r="H1752" s="9">
        <f>'1_Du_lieu'!X207</f>
        <v>0.83164325781387038</v>
      </c>
      <c r="I1752" s="9">
        <f>'1_Du_lieu'!T207</f>
        <v>1.3701942451841702</v>
      </c>
      <c r="J1752" s="9">
        <f>'1_Du_lieu'!Y207</f>
        <v>6.3919171133926023</v>
      </c>
      <c r="K1752" s="9">
        <f>'1_Du_lieu'!O207</f>
        <v>24.6</v>
      </c>
      <c r="L1752" s="5">
        <f t="shared" ref="L1752:L1815" si="213">IF(B1752=2020,1,0)</f>
        <v>1</v>
      </c>
      <c r="M1752" s="5">
        <f t="shared" ref="M1752:M1815" si="214">IF(B1752=2021,1,0)</f>
        <v>0</v>
      </c>
      <c r="N1752" s="5">
        <f t="shared" ref="N1752:N1815" si="215">IF(B1752=2022,1,0)</f>
        <v>0</v>
      </c>
      <c r="O1752" s="5">
        <f t="shared" ref="O1752:O1815" si="216">IF(B1752=2023,1,0)</f>
        <v>0</v>
      </c>
      <c r="P1752" s="5">
        <f t="shared" ref="P1752:P1815" si="217">IF(B1752=2024,1,0)</f>
        <v>0</v>
      </c>
      <c r="Q1752" s="5">
        <f>IF('1_Du_lieu'!C207="ĐBSH",1,0)</f>
        <v>0</v>
      </c>
      <c r="R1752" s="5">
        <f>IF('1_Du_lieu'!C207="BTB&amp;DHMT",1,0)</f>
        <v>0</v>
      </c>
      <c r="S1752" s="5">
        <f>IF('1_Du_lieu'!C207="ĐBSCL",1,0)</f>
        <v>1</v>
      </c>
      <c r="T1752" s="5">
        <f>IF('1_Du_lieu'!C207="TN",1,0)</f>
        <v>0</v>
      </c>
      <c r="U1752" s="5">
        <f>IF('1_Du_lieu'!C207="TDMNPB",1,0)</f>
        <v>0</v>
      </c>
    </row>
    <row r="1753" spans="1:21" x14ac:dyDescent="0.25">
      <c r="A1753" t="s">
        <v>104</v>
      </c>
      <c r="B1753">
        <v>2020</v>
      </c>
      <c r="C1753" s="7">
        <f>'1_Du_lieu'!V208</f>
        <v>3.475067230228611</v>
      </c>
      <c r="D1753" s="9">
        <f>'1_Du_lieu'!W208</f>
        <v>3.751854253275325</v>
      </c>
      <c r="E1753" s="9">
        <f>'1_Du_lieu'!L208</f>
        <v>2.92</v>
      </c>
      <c r="F1753" s="9">
        <f>'1_Du_lieu'!M208</f>
        <v>29.01</v>
      </c>
      <c r="G1753" s="9">
        <f>'1_Du_lieu'!N208</f>
        <v>14.9</v>
      </c>
      <c r="H1753" s="9">
        <f>'1_Du_lieu'!X208</f>
        <v>2.6839279710629196</v>
      </c>
      <c r="I1753" s="9">
        <f>'1_Du_lieu'!T208</f>
        <v>1.2971851083149566</v>
      </c>
      <c r="J1753" s="9">
        <f>'1_Du_lieu'!Y208</f>
        <v>2.631888840136646</v>
      </c>
      <c r="K1753" s="9">
        <f>'1_Du_lieu'!O208</f>
        <v>16.8</v>
      </c>
      <c r="L1753" s="5">
        <f t="shared" si="213"/>
        <v>1</v>
      </c>
      <c r="M1753" s="5">
        <f t="shared" si="214"/>
        <v>0</v>
      </c>
      <c r="N1753" s="5">
        <f t="shared" si="215"/>
        <v>0</v>
      </c>
      <c r="O1753" s="5">
        <f t="shared" si="216"/>
        <v>0</v>
      </c>
      <c r="P1753" s="5">
        <f t="shared" si="217"/>
        <v>0</v>
      </c>
      <c r="Q1753" s="5">
        <f>IF('1_Du_lieu'!C208="ĐBSH",1,0)</f>
        <v>0</v>
      </c>
      <c r="R1753" s="5">
        <f>IF('1_Du_lieu'!C208="BTB&amp;DHMT",1,0)</f>
        <v>0</v>
      </c>
      <c r="S1753" s="5">
        <f>IF('1_Du_lieu'!C208="ĐBSCL",1,0)</f>
        <v>0</v>
      </c>
      <c r="T1753" s="5">
        <f>IF('1_Du_lieu'!C208="TN",1,0)</f>
        <v>1</v>
      </c>
      <c r="U1753" s="5">
        <f>IF('1_Du_lieu'!C208="TDMNPB",1,0)</f>
        <v>0</v>
      </c>
    </row>
    <row r="1754" spans="1:21" x14ac:dyDescent="0.25">
      <c r="A1754" t="s">
        <v>107</v>
      </c>
      <c r="B1754">
        <v>2020</v>
      </c>
      <c r="C1754" s="7">
        <f>'1_Du_lieu'!V210</f>
        <v>3.7376696182833684</v>
      </c>
      <c r="D1754" s="9">
        <f>'1_Du_lieu'!W210</f>
        <v>4.2413267525707461</v>
      </c>
      <c r="E1754" s="9">
        <f>'1_Du_lieu'!L210</f>
        <v>5.218</v>
      </c>
      <c r="F1754" s="9">
        <f>'1_Du_lieu'!M210</f>
        <v>27.81</v>
      </c>
      <c r="G1754" s="9">
        <f>'1_Du_lieu'!N210</f>
        <v>22.1</v>
      </c>
      <c r="H1754" s="9">
        <f>'1_Du_lieu'!X210</f>
        <v>2.7133351974907103</v>
      </c>
      <c r="I1754" s="9">
        <f>'1_Du_lieu'!T210</f>
        <v>1.1603620329542819</v>
      </c>
      <c r="J1754" s="9">
        <f>'1_Du_lieu'!Y210</f>
        <v>8.4877643807254248</v>
      </c>
      <c r="K1754" s="9">
        <f>'1_Du_lieu'!O210</f>
        <v>20.3</v>
      </c>
      <c r="L1754" s="5">
        <f t="shared" si="213"/>
        <v>1</v>
      </c>
      <c r="M1754" s="5">
        <f t="shared" si="214"/>
        <v>0</v>
      </c>
      <c r="N1754" s="5">
        <f t="shared" si="215"/>
        <v>0</v>
      </c>
      <c r="O1754" s="5">
        <f t="shared" si="216"/>
        <v>0</v>
      </c>
      <c r="P1754" s="5">
        <f t="shared" si="217"/>
        <v>0</v>
      </c>
      <c r="Q1754" s="5">
        <f>IF('1_Du_lieu'!C210="ĐBSH",1,0)</f>
        <v>1</v>
      </c>
      <c r="R1754" s="5">
        <f>IF('1_Du_lieu'!C210="BTB&amp;DHMT",1,0)</f>
        <v>0</v>
      </c>
      <c r="S1754" s="5">
        <f>IF('1_Du_lieu'!C210="ĐBSCL",1,0)</f>
        <v>0</v>
      </c>
      <c r="T1754" s="5">
        <f>IF('1_Du_lieu'!C210="TN",1,0)</f>
        <v>0</v>
      </c>
      <c r="U1754" s="5">
        <f>IF('1_Du_lieu'!C210="TDMNPB",1,0)</f>
        <v>0</v>
      </c>
    </row>
    <row r="1755" spans="1:21" x14ac:dyDescent="0.25">
      <c r="A1755" t="s">
        <v>108</v>
      </c>
      <c r="B1755">
        <v>2020</v>
      </c>
      <c r="C1755" s="7">
        <f>'1_Du_lieu'!V211</f>
        <v>4.4508528256037341</v>
      </c>
      <c r="D1755" s="9">
        <f>'1_Du_lieu'!W211</f>
        <v>4.8154311114712876</v>
      </c>
      <c r="E1755" s="9">
        <f>'1_Du_lieu'!L211</f>
        <v>20.114999999999998</v>
      </c>
      <c r="F1755" s="9">
        <f>'1_Du_lieu'!M211</f>
        <v>49.25</v>
      </c>
      <c r="G1755" s="9">
        <f>'1_Du_lieu'!N211</f>
        <v>48.5</v>
      </c>
      <c r="H1755" s="9">
        <f>'1_Du_lieu'!X211</f>
        <v>2.7241116343221288</v>
      </c>
      <c r="I1755" s="9">
        <f>'1_Du_lieu'!T211</f>
        <v>1.9280907051476386</v>
      </c>
      <c r="J1755" s="9">
        <f>'1_Du_lieu'!Y211</f>
        <v>8.3882683153410103</v>
      </c>
      <c r="K1755" s="9">
        <f>'1_Du_lieu'!O211</f>
        <v>48</v>
      </c>
      <c r="L1755" s="5">
        <f t="shared" si="213"/>
        <v>1</v>
      </c>
      <c r="M1755" s="5">
        <f t="shared" si="214"/>
        <v>0</v>
      </c>
      <c r="N1755" s="5">
        <f t="shared" si="215"/>
        <v>0</v>
      </c>
      <c r="O1755" s="5">
        <f t="shared" si="216"/>
        <v>0</v>
      </c>
      <c r="P1755" s="5">
        <f t="shared" si="217"/>
        <v>0</v>
      </c>
      <c r="Q1755" s="5">
        <f>IF('1_Du_lieu'!C211="ĐBSH",1,0)</f>
        <v>1</v>
      </c>
      <c r="R1755" s="5">
        <f>IF('1_Du_lieu'!C211="BTB&amp;DHMT",1,0)</f>
        <v>0</v>
      </c>
      <c r="S1755" s="5">
        <f>IF('1_Du_lieu'!C211="ĐBSCL",1,0)</f>
        <v>0</v>
      </c>
      <c r="T1755" s="5">
        <f>IF('1_Du_lieu'!C211="TN",1,0)</f>
        <v>0</v>
      </c>
      <c r="U1755" s="5">
        <f>IF('1_Du_lieu'!C211="TDMNPB",1,0)</f>
        <v>0</v>
      </c>
    </row>
    <row r="1756" spans="1:21" x14ac:dyDescent="0.25">
      <c r="A1756" t="s">
        <v>109</v>
      </c>
      <c r="B1756">
        <v>2020</v>
      </c>
      <c r="C1756" s="7">
        <f>'1_Du_lieu'!V212</f>
        <v>3.5890591188317256</v>
      </c>
      <c r="D1756" s="9">
        <f>'1_Du_lieu'!W212</f>
        <v>4.1526134703460764</v>
      </c>
      <c r="E1756" s="9">
        <f>'1_Du_lieu'!L212</f>
        <v>3.73</v>
      </c>
      <c r="F1756" s="9">
        <f>'1_Du_lieu'!M212</f>
        <v>22.2</v>
      </c>
      <c r="G1756" s="9">
        <f>'1_Du_lieu'!N212</f>
        <v>25.7</v>
      </c>
      <c r="H1756" s="9">
        <f>'1_Du_lieu'!X212</f>
        <v>3.2259676934436348</v>
      </c>
      <c r="I1756" s="9">
        <f>'1_Du_lieu'!T212</f>
        <v>0.38562393953416629</v>
      </c>
      <c r="J1756" s="9">
        <f>'1_Du_lieu'!Y212</f>
        <v>9.1110502828289714</v>
      </c>
      <c r="K1756" s="9">
        <f>'1_Du_lieu'!O212</f>
        <v>18.5</v>
      </c>
      <c r="L1756" s="5">
        <f t="shared" si="213"/>
        <v>1</v>
      </c>
      <c r="M1756" s="5">
        <f t="shared" si="214"/>
        <v>0</v>
      </c>
      <c r="N1756" s="5">
        <f t="shared" si="215"/>
        <v>0</v>
      </c>
      <c r="O1756" s="5">
        <f t="shared" si="216"/>
        <v>0</v>
      </c>
      <c r="P1756" s="5">
        <f t="shared" si="217"/>
        <v>0</v>
      </c>
      <c r="Q1756" s="5">
        <f>IF('1_Du_lieu'!C212="ĐBSH",1,0)</f>
        <v>0</v>
      </c>
      <c r="R1756" s="5">
        <f>IF('1_Du_lieu'!C212="BTB&amp;DHMT",1,0)</f>
        <v>1</v>
      </c>
      <c r="S1756" s="5">
        <f>IF('1_Du_lieu'!C212="ĐBSCL",1,0)</f>
        <v>0</v>
      </c>
      <c r="T1756" s="5">
        <f>IF('1_Du_lieu'!C212="TN",1,0)</f>
        <v>0</v>
      </c>
      <c r="U1756" s="5">
        <f>IF('1_Du_lieu'!C212="TDMNPB",1,0)</f>
        <v>0</v>
      </c>
    </row>
    <row r="1757" spans="1:21" x14ac:dyDescent="0.25">
      <c r="A1757" t="s">
        <v>110</v>
      </c>
      <c r="B1757">
        <v>2020</v>
      </c>
      <c r="C1757" s="7">
        <f>'1_Du_lieu'!V213</f>
        <v>3.5085558999826545</v>
      </c>
      <c r="D1757" s="9">
        <f>'1_Du_lieu'!W213</f>
        <v>4.0552571735140539</v>
      </c>
      <c r="E1757" s="9">
        <f>'1_Du_lieu'!L213</f>
        <v>2.8610000000000002</v>
      </c>
      <c r="F1757" s="9">
        <f>'1_Du_lieu'!M213</f>
        <v>23.85</v>
      </c>
      <c r="G1757" s="9">
        <f>'1_Du_lieu'!N213</f>
        <v>18.600000000000001</v>
      </c>
      <c r="H1757" s="9">
        <f>'1_Du_lieu'!X213</f>
        <v>2.3219390891201424</v>
      </c>
      <c r="I1757" s="9">
        <f>'1_Du_lieu'!T213</f>
        <v>1.0450534138411518</v>
      </c>
      <c r="J1757" s="9">
        <f>'1_Du_lieu'!Y213</f>
        <v>6.7341159225710161</v>
      </c>
      <c r="K1757" s="9">
        <f>'1_Du_lieu'!O213</f>
        <v>14.4</v>
      </c>
      <c r="L1757" s="5">
        <f t="shared" si="213"/>
        <v>1</v>
      </c>
      <c r="M1757" s="5">
        <f t="shared" si="214"/>
        <v>0</v>
      </c>
      <c r="N1757" s="5">
        <f t="shared" si="215"/>
        <v>0</v>
      </c>
      <c r="O1757" s="5">
        <f t="shared" si="216"/>
        <v>0</v>
      </c>
      <c r="P1757" s="5">
        <f t="shared" si="217"/>
        <v>0</v>
      </c>
      <c r="Q1757" s="5">
        <f>IF('1_Du_lieu'!C213="ĐBSH",1,0)</f>
        <v>0</v>
      </c>
      <c r="R1757" s="5">
        <f>IF('1_Du_lieu'!C213="BTB&amp;DHMT",1,0)</f>
        <v>0</v>
      </c>
      <c r="S1757" s="5">
        <f>IF('1_Du_lieu'!C213="ĐBSCL",1,0)</f>
        <v>0</v>
      </c>
      <c r="T1757" s="5">
        <f>IF('1_Du_lieu'!C213="TN",1,0)</f>
        <v>0</v>
      </c>
      <c r="U1757" s="5">
        <f>IF('1_Du_lieu'!C213="TDMNPB",1,0)</f>
        <v>1</v>
      </c>
    </row>
    <row r="1758" spans="1:21" x14ac:dyDescent="0.25">
      <c r="A1758" t="s">
        <v>111</v>
      </c>
      <c r="B1758">
        <v>2020</v>
      </c>
      <c r="C1758" s="7">
        <f>'1_Du_lieu'!V214</f>
        <v>3.7471483622379123</v>
      </c>
      <c r="D1758" s="9">
        <f>'1_Du_lieu'!W214</f>
        <v>4.3694478524670215</v>
      </c>
      <c r="E1758" s="9">
        <f>'1_Du_lieu'!L214</f>
        <v>6.0430000000000001</v>
      </c>
      <c r="F1758" s="9">
        <f>'1_Du_lieu'!M214</f>
        <v>16.52</v>
      </c>
      <c r="G1758" s="9">
        <f>'1_Du_lieu'!N214</f>
        <v>26.4</v>
      </c>
      <c r="H1758" s="9">
        <f>'1_Du_lieu'!X214</f>
        <v>3.1917424454682166</v>
      </c>
      <c r="I1758" s="9">
        <f>'1_Du_lieu'!T214</f>
        <v>1.8123079347569144</v>
      </c>
      <c r="J1758" s="9">
        <f>'1_Du_lieu'!Y214</f>
        <v>8.3331501537239419</v>
      </c>
      <c r="K1758" s="9">
        <f>'1_Du_lieu'!O214</f>
        <v>23.9</v>
      </c>
      <c r="L1758" s="5">
        <f t="shared" si="213"/>
        <v>1</v>
      </c>
      <c r="M1758" s="5">
        <f t="shared" si="214"/>
        <v>0</v>
      </c>
      <c r="N1758" s="5">
        <f t="shared" si="215"/>
        <v>0</v>
      </c>
      <c r="O1758" s="5">
        <f t="shared" si="216"/>
        <v>0</v>
      </c>
      <c r="P1758" s="5">
        <f t="shared" si="217"/>
        <v>0</v>
      </c>
      <c r="Q1758" s="5">
        <f>IF('1_Du_lieu'!C214="ĐBSH",1,0)</f>
        <v>1</v>
      </c>
      <c r="R1758" s="5">
        <f>IF('1_Du_lieu'!C214="BTB&amp;DHMT",1,0)</f>
        <v>0</v>
      </c>
      <c r="S1758" s="5">
        <f>IF('1_Du_lieu'!C214="ĐBSCL",1,0)</f>
        <v>0</v>
      </c>
      <c r="T1758" s="5">
        <f>IF('1_Du_lieu'!C214="TN",1,0)</f>
        <v>0</v>
      </c>
      <c r="U1758" s="5">
        <f>IF('1_Du_lieu'!C214="TDMNPB",1,0)</f>
        <v>0</v>
      </c>
    </row>
    <row r="1759" spans="1:21" x14ac:dyDescent="0.25">
      <c r="A1759" t="s">
        <v>112</v>
      </c>
      <c r="B1759">
        <v>2020</v>
      </c>
      <c r="C1759" s="7">
        <f>'1_Du_lieu'!V215</f>
        <v>3.8607297110405954</v>
      </c>
      <c r="D1759" s="9">
        <f>'1_Du_lieu'!W215</f>
        <v>4.2253728246285052</v>
      </c>
      <c r="E1759" s="9">
        <f>'1_Du_lieu'!L215</f>
        <v>5.0540000000000003</v>
      </c>
      <c r="F1759" s="9">
        <f>'1_Du_lieu'!M215</f>
        <v>31.47</v>
      </c>
      <c r="G1759" s="9">
        <f>'1_Du_lieu'!N215</f>
        <v>24.8</v>
      </c>
      <c r="H1759" s="9">
        <f>'1_Du_lieu'!X215</f>
        <v>2.9572562746849327</v>
      </c>
      <c r="I1759" s="9">
        <f>'1_Du_lieu'!T215</f>
        <v>0.52170283806343909</v>
      </c>
      <c r="J1759" s="9">
        <f>'1_Du_lieu'!Y215</f>
        <v>8.4325499173471332</v>
      </c>
      <c r="K1759" s="9">
        <f>'1_Du_lieu'!O215</f>
        <v>27.5</v>
      </c>
      <c r="L1759" s="5">
        <f t="shared" si="213"/>
        <v>1</v>
      </c>
      <c r="M1759" s="5">
        <f t="shared" si="214"/>
        <v>0</v>
      </c>
      <c r="N1759" s="5">
        <f t="shared" si="215"/>
        <v>0</v>
      </c>
      <c r="O1759" s="5">
        <f t="shared" si="216"/>
        <v>0</v>
      </c>
      <c r="P1759" s="5">
        <f t="shared" si="217"/>
        <v>0</v>
      </c>
      <c r="Q1759" s="5">
        <f>IF('1_Du_lieu'!C215="ĐBSH",1,0)</f>
        <v>1</v>
      </c>
      <c r="R1759" s="5">
        <f>IF('1_Du_lieu'!C215="BTB&amp;DHMT",1,0)</f>
        <v>0</v>
      </c>
      <c r="S1759" s="5">
        <f>IF('1_Du_lieu'!C215="ĐBSCL",1,0)</f>
        <v>0</v>
      </c>
      <c r="T1759" s="5">
        <f>IF('1_Du_lieu'!C215="TN",1,0)</f>
        <v>0</v>
      </c>
      <c r="U1759" s="5">
        <f>IF('1_Du_lieu'!C215="TDMNPB",1,0)</f>
        <v>0</v>
      </c>
    </row>
    <row r="1760" spans="1:21" x14ac:dyDescent="0.25">
      <c r="A1760" t="s">
        <v>113</v>
      </c>
      <c r="B1760">
        <v>2020</v>
      </c>
      <c r="C1760" s="7">
        <f>'1_Du_lieu'!V216</f>
        <v>4.1042948930752692</v>
      </c>
      <c r="D1760" s="9">
        <f>'1_Du_lieu'!W216</f>
        <v>4.8970932526971271</v>
      </c>
      <c r="E1760" s="9">
        <f>'1_Du_lieu'!L216</f>
        <v>9.8339999999999996</v>
      </c>
      <c r="F1760" s="9">
        <f>'1_Du_lieu'!M216</f>
        <v>45.41</v>
      </c>
      <c r="G1760" s="9">
        <f>'1_Du_lieu'!N216</f>
        <v>34.700000000000003</v>
      </c>
      <c r="H1760" s="9">
        <f>'1_Du_lieu'!X216</f>
        <v>3.8170726342718257</v>
      </c>
      <c r="I1760" s="9">
        <f>'1_Du_lieu'!T216</f>
        <v>1.7531044558071585</v>
      </c>
      <c r="J1760" s="9">
        <f>'1_Du_lieu'!Y216</f>
        <v>9.199623147134977</v>
      </c>
      <c r="K1760" s="9">
        <f>'1_Du_lieu'!O216</f>
        <v>29</v>
      </c>
      <c r="L1760" s="5">
        <f t="shared" si="213"/>
        <v>1</v>
      </c>
      <c r="M1760" s="5">
        <f t="shared" si="214"/>
        <v>0</v>
      </c>
      <c r="N1760" s="5">
        <f t="shared" si="215"/>
        <v>0</v>
      </c>
      <c r="O1760" s="5">
        <f t="shared" si="216"/>
        <v>0</v>
      </c>
      <c r="P1760" s="5">
        <f t="shared" si="217"/>
        <v>0</v>
      </c>
      <c r="Q1760" s="5">
        <f>IF('1_Du_lieu'!C216="ĐBSH",1,0)</f>
        <v>1</v>
      </c>
      <c r="R1760" s="5">
        <f>IF('1_Du_lieu'!C216="BTB&amp;DHMT",1,0)</f>
        <v>0</v>
      </c>
      <c r="S1760" s="5">
        <f>IF('1_Du_lieu'!C216="ĐBSCL",1,0)</f>
        <v>0</v>
      </c>
      <c r="T1760" s="5">
        <f>IF('1_Du_lieu'!C216="TN",1,0)</f>
        <v>0</v>
      </c>
      <c r="U1760" s="5">
        <f>IF('1_Du_lieu'!C216="TDMNPB",1,0)</f>
        <v>0</v>
      </c>
    </row>
    <row r="1761" spans="1:21" x14ac:dyDescent="0.25">
      <c r="A1761" t="s">
        <v>115</v>
      </c>
      <c r="B1761">
        <v>2020</v>
      </c>
      <c r="C1761" s="7">
        <f>'1_Du_lieu'!V218</f>
        <v>3.7704594411063592</v>
      </c>
      <c r="D1761" s="9">
        <f>'1_Du_lieu'!W218</f>
        <v>4.1635596312435741</v>
      </c>
      <c r="E1761" s="9">
        <f>'1_Du_lieu'!L218</f>
        <v>9.0410000000000004</v>
      </c>
      <c r="F1761" s="9">
        <f>'1_Du_lieu'!M218</f>
        <v>42.4</v>
      </c>
      <c r="G1761" s="9">
        <f>'1_Du_lieu'!N218</f>
        <v>23.9</v>
      </c>
      <c r="H1761" s="9">
        <f>'1_Du_lieu'!X218</f>
        <v>2.7153971117261362</v>
      </c>
      <c r="I1761" s="9">
        <f>'1_Du_lieu'!T218</f>
        <v>3.3053853595614315</v>
      </c>
      <c r="J1761" s="9">
        <f>'1_Du_lieu'!Y218</f>
        <v>8.1649654866904893</v>
      </c>
      <c r="K1761" s="9">
        <f>'1_Du_lieu'!O218</f>
        <v>31.1</v>
      </c>
      <c r="L1761" s="5">
        <f t="shared" si="213"/>
        <v>1</v>
      </c>
      <c r="M1761" s="5">
        <f t="shared" si="214"/>
        <v>0</v>
      </c>
      <c r="N1761" s="5">
        <f t="shared" si="215"/>
        <v>0</v>
      </c>
      <c r="O1761" s="5">
        <f t="shared" si="216"/>
        <v>0</v>
      </c>
      <c r="P1761" s="5">
        <f t="shared" si="217"/>
        <v>0</v>
      </c>
      <c r="Q1761" s="5">
        <f>IF('1_Du_lieu'!C218="ĐBSH",1,0)</f>
        <v>0</v>
      </c>
      <c r="R1761" s="5">
        <f>IF('1_Du_lieu'!C218="BTB&amp;DHMT",1,0)</f>
        <v>1</v>
      </c>
      <c r="S1761" s="5">
        <f>IF('1_Du_lieu'!C218="ĐBSCL",1,0)</f>
        <v>0</v>
      </c>
      <c r="T1761" s="5">
        <f>IF('1_Du_lieu'!C218="TN",1,0)</f>
        <v>0</v>
      </c>
      <c r="U1761" s="5">
        <f>IF('1_Du_lieu'!C218="TDMNPB",1,0)</f>
        <v>0</v>
      </c>
    </row>
    <row r="1762" spans="1:21" x14ac:dyDescent="0.25">
      <c r="A1762" t="s">
        <v>116</v>
      </c>
      <c r="B1762">
        <v>2020</v>
      </c>
      <c r="C1762" s="7">
        <f>'1_Du_lieu'!V219</f>
        <v>3.6375861597263857</v>
      </c>
      <c r="D1762" s="9">
        <f>'1_Du_lieu'!W219</f>
        <v>4.0181832012565364</v>
      </c>
      <c r="E1762" s="9">
        <f>'1_Du_lieu'!L219</f>
        <v>4.4980000000000002</v>
      </c>
      <c r="F1762" s="9">
        <f>'1_Du_lieu'!M219</f>
        <v>28.45</v>
      </c>
      <c r="G1762" s="9">
        <f>'1_Du_lieu'!N219</f>
        <v>14.8</v>
      </c>
      <c r="H1762" s="9">
        <f>'1_Du_lieu'!X219</f>
        <v>0.64897932070702102</v>
      </c>
      <c r="I1762" s="9">
        <f>'1_Du_lieu'!T219</f>
        <v>0.98328416912487704</v>
      </c>
      <c r="J1762" s="9">
        <f>'1_Du_lieu'!Y219</f>
        <v>7.9309253724833884</v>
      </c>
      <c r="K1762" s="9">
        <f>'1_Du_lieu'!O219</f>
        <v>17.8</v>
      </c>
      <c r="L1762" s="5">
        <f t="shared" si="213"/>
        <v>1</v>
      </c>
      <c r="M1762" s="5">
        <f t="shared" si="214"/>
        <v>0</v>
      </c>
      <c r="N1762" s="5">
        <f t="shared" si="215"/>
        <v>0</v>
      </c>
      <c r="O1762" s="5">
        <f t="shared" si="216"/>
        <v>0</v>
      </c>
      <c r="P1762" s="5">
        <f t="shared" si="217"/>
        <v>0</v>
      </c>
      <c r="Q1762" s="5">
        <f>IF('1_Du_lieu'!C219="ĐBSH",1,0)</f>
        <v>0</v>
      </c>
      <c r="R1762" s="5">
        <f>IF('1_Du_lieu'!C219="BTB&amp;DHMT",1,0)</f>
        <v>0</v>
      </c>
      <c r="S1762" s="5">
        <f>IF('1_Du_lieu'!C219="ĐBSCL",1,0)</f>
        <v>1</v>
      </c>
      <c r="T1762" s="5">
        <f>IF('1_Du_lieu'!C219="TN",1,0)</f>
        <v>0</v>
      </c>
      <c r="U1762" s="5">
        <f>IF('1_Du_lieu'!C219="TDMNPB",1,0)</f>
        <v>0</v>
      </c>
    </row>
    <row r="1763" spans="1:21" x14ac:dyDescent="0.25">
      <c r="A1763" t="s">
        <v>117</v>
      </c>
      <c r="B1763">
        <v>2020</v>
      </c>
      <c r="C1763" s="7">
        <f>'1_Du_lieu'!V220</f>
        <v>3.4372078191851885</v>
      </c>
      <c r="D1763" s="9">
        <f>'1_Du_lieu'!W220</f>
        <v>3.7612001156935624</v>
      </c>
      <c r="E1763" s="9">
        <f>'1_Du_lieu'!L220</f>
        <v>3.3119999999999998</v>
      </c>
      <c r="F1763" s="9">
        <f>'1_Du_lieu'!M220</f>
        <v>32.74</v>
      </c>
      <c r="G1763" s="9">
        <f>'1_Du_lieu'!N220</f>
        <v>16</v>
      </c>
      <c r="H1763" s="9">
        <f>'1_Du_lieu'!X220</f>
        <v>2.4049714277383649</v>
      </c>
      <c r="I1763" s="9">
        <f>'1_Du_lieu'!T220</f>
        <v>0.89992800575953924</v>
      </c>
      <c r="J1763" s="9">
        <f>'1_Du_lieu'!Y220</f>
        <v>5.1357984370502621</v>
      </c>
      <c r="K1763" s="9">
        <f>'1_Du_lieu'!O220</f>
        <v>20.8</v>
      </c>
      <c r="L1763" s="5">
        <f t="shared" si="213"/>
        <v>1</v>
      </c>
      <c r="M1763" s="5">
        <f t="shared" si="214"/>
        <v>0</v>
      </c>
      <c r="N1763" s="5">
        <f t="shared" si="215"/>
        <v>0</v>
      </c>
      <c r="O1763" s="5">
        <f t="shared" si="216"/>
        <v>0</v>
      </c>
      <c r="P1763" s="5">
        <f t="shared" si="217"/>
        <v>0</v>
      </c>
      <c r="Q1763" s="5">
        <f>IF('1_Du_lieu'!C220="ĐBSH",1,0)</f>
        <v>0</v>
      </c>
      <c r="R1763" s="5">
        <f>IF('1_Du_lieu'!C220="BTB&amp;DHMT",1,0)</f>
        <v>0</v>
      </c>
      <c r="S1763" s="5">
        <f>IF('1_Du_lieu'!C220="ĐBSCL",1,0)</f>
        <v>0</v>
      </c>
      <c r="T1763" s="5">
        <f>IF('1_Du_lieu'!C220="TN",1,0)</f>
        <v>1</v>
      </c>
      <c r="U1763" s="5">
        <f>IF('1_Du_lieu'!C220="TDMNPB",1,0)</f>
        <v>0</v>
      </c>
    </row>
    <row r="1764" spans="1:21" x14ac:dyDescent="0.25">
      <c r="A1764" t="s">
        <v>119</v>
      </c>
      <c r="B1764">
        <v>2020</v>
      </c>
      <c r="C1764" s="7">
        <f>'1_Du_lieu'!V222</f>
        <v>3.7612001156935624</v>
      </c>
      <c r="D1764" s="9">
        <f>'1_Du_lieu'!W222</f>
        <v>4.3359826961724748</v>
      </c>
      <c r="E1764" s="9">
        <f>'1_Du_lieu'!L222</f>
        <v>6.1130000000000004</v>
      </c>
      <c r="F1764" s="9">
        <f>'1_Du_lieu'!M222</f>
        <v>18.239999999999998</v>
      </c>
      <c r="G1764" s="9">
        <f>'1_Du_lieu'!N222</f>
        <v>15.9</v>
      </c>
      <c r="H1764" s="9">
        <f>'1_Du_lieu'!X222</f>
        <v>1.2452909119757585</v>
      </c>
      <c r="I1764" s="9">
        <f>'1_Du_lieu'!T222</f>
        <v>0.46682616560658224</v>
      </c>
      <c r="J1764" s="9">
        <f>'1_Du_lieu'!Y222</f>
        <v>8.5092416616286179</v>
      </c>
      <c r="K1764" s="9">
        <f>'1_Du_lieu'!O222</f>
        <v>19.8</v>
      </c>
      <c r="L1764" s="5">
        <f t="shared" si="213"/>
        <v>1</v>
      </c>
      <c r="M1764" s="5">
        <f t="shared" si="214"/>
        <v>0</v>
      </c>
      <c r="N1764" s="5">
        <f t="shared" si="215"/>
        <v>0</v>
      </c>
      <c r="O1764" s="5">
        <f t="shared" si="216"/>
        <v>0</v>
      </c>
      <c r="P1764" s="5">
        <f t="shared" si="217"/>
        <v>0</v>
      </c>
      <c r="Q1764" s="5">
        <f>IF('1_Du_lieu'!C222="ĐBSH",1,0)</f>
        <v>0</v>
      </c>
      <c r="R1764" s="5">
        <f>IF('1_Du_lieu'!C222="BTB&amp;DHMT",1,0)</f>
        <v>0</v>
      </c>
      <c r="S1764" s="5">
        <f>IF('1_Du_lieu'!C222="ĐBSCL",1,0)</f>
        <v>1</v>
      </c>
      <c r="T1764" s="5">
        <f>IF('1_Du_lieu'!C222="TN",1,0)</f>
        <v>0</v>
      </c>
      <c r="U1764" s="5">
        <f>IF('1_Du_lieu'!C222="TDMNPB",1,0)</f>
        <v>0</v>
      </c>
    </row>
    <row r="1765" spans="1:21" x14ac:dyDescent="0.25">
      <c r="A1765" t="s">
        <v>120</v>
      </c>
      <c r="B1765">
        <v>2020</v>
      </c>
      <c r="C1765" s="7">
        <f>'1_Du_lieu'!V223</f>
        <v>3.5862928653388351</v>
      </c>
      <c r="D1765" s="9">
        <f>'1_Du_lieu'!W223</f>
        <v>4.2766661190160553</v>
      </c>
      <c r="E1765" s="9">
        <f>'1_Du_lieu'!L223</f>
        <v>3.8340000000000001</v>
      </c>
      <c r="F1765" s="9">
        <f>'1_Du_lieu'!M223</f>
        <v>26.42</v>
      </c>
      <c r="G1765" s="9">
        <f>'1_Du_lieu'!N223</f>
        <v>21</v>
      </c>
      <c r="H1765" s="9">
        <f>'1_Du_lieu'!X223</f>
        <v>1.8359413008432575</v>
      </c>
      <c r="I1765" s="9">
        <f>'1_Du_lieu'!T223</f>
        <v>1.741693461950697</v>
      </c>
      <c r="J1765" s="9">
        <f>'1_Du_lieu'!Y223</f>
        <v>6.6545390434116349</v>
      </c>
      <c r="K1765" s="9">
        <f>'1_Du_lieu'!O223</f>
        <v>20.3</v>
      </c>
      <c r="L1765" s="5">
        <f t="shared" si="213"/>
        <v>1</v>
      </c>
      <c r="M1765" s="5">
        <f t="shared" si="214"/>
        <v>0</v>
      </c>
      <c r="N1765" s="5">
        <f t="shared" si="215"/>
        <v>0</v>
      </c>
      <c r="O1765" s="5">
        <f t="shared" si="216"/>
        <v>0</v>
      </c>
      <c r="P1765" s="5">
        <f t="shared" si="217"/>
        <v>0</v>
      </c>
      <c r="Q1765" s="5">
        <f>IF('1_Du_lieu'!C223="ĐBSH",1,0)</f>
        <v>0</v>
      </c>
      <c r="R1765" s="5">
        <f>IF('1_Du_lieu'!C223="BTB&amp;DHMT",1,0)</f>
        <v>0</v>
      </c>
      <c r="S1765" s="5">
        <f>IF('1_Du_lieu'!C223="ĐBSCL",1,0)</f>
        <v>0</v>
      </c>
      <c r="T1765" s="5">
        <f>IF('1_Du_lieu'!C223="TN",1,0)</f>
        <v>0</v>
      </c>
      <c r="U1765" s="5">
        <f>IF('1_Du_lieu'!C223="TDMNPB",1,0)</f>
        <v>1</v>
      </c>
    </row>
    <row r="1766" spans="1:21" x14ac:dyDescent="0.25">
      <c r="A1766" t="s">
        <v>121</v>
      </c>
      <c r="B1766">
        <v>2020</v>
      </c>
      <c r="C1766" s="7">
        <f>'1_Du_lieu'!V224</f>
        <v>3.7160081215021892</v>
      </c>
      <c r="D1766" s="9">
        <f>'1_Du_lieu'!W224</f>
        <v>4.1415461637063951</v>
      </c>
      <c r="E1766" s="9">
        <f>'1_Du_lieu'!L224</f>
        <v>5.3209999999999997</v>
      </c>
      <c r="F1766" s="9">
        <f>'1_Du_lieu'!M224</f>
        <v>39.26</v>
      </c>
      <c r="G1766" s="9">
        <f>'1_Du_lieu'!N224</f>
        <v>18.5</v>
      </c>
      <c r="H1766" s="9">
        <f>'1_Du_lieu'!X224</f>
        <v>2.5379004113395909</v>
      </c>
      <c r="I1766" s="9">
        <f>'1_Du_lieu'!T224</f>
        <v>0.45808520384791573</v>
      </c>
      <c r="J1766" s="9">
        <f>'1_Du_lieu'!Y224</f>
        <v>5.9804035997485574</v>
      </c>
      <c r="K1766" s="9">
        <f>'1_Du_lieu'!O224</f>
        <v>30.3</v>
      </c>
      <c r="L1766" s="5">
        <f t="shared" si="213"/>
        <v>1</v>
      </c>
      <c r="M1766" s="5">
        <f t="shared" si="214"/>
        <v>0</v>
      </c>
      <c r="N1766" s="5">
        <f t="shared" si="215"/>
        <v>0</v>
      </c>
      <c r="O1766" s="5">
        <f t="shared" si="216"/>
        <v>0</v>
      </c>
      <c r="P1766" s="5">
        <f t="shared" si="217"/>
        <v>0</v>
      </c>
      <c r="Q1766" s="5">
        <f>IF('1_Du_lieu'!C224="ĐBSH",1,0)</f>
        <v>0</v>
      </c>
      <c r="R1766" s="5">
        <f>IF('1_Du_lieu'!C224="BTB&amp;DHMT",1,0)</f>
        <v>0</v>
      </c>
      <c r="S1766" s="5">
        <f>IF('1_Du_lieu'!C224="ĐBSCL",1,0)</f>
        <v>0</v>
      </c>
      <c r="T1766" s="5">
        <f>IF('1_Du_lieu'!C224="TN",1,0)</f>
        <v>1</v>
      </c>
      <c r="U1766" s="5">
        <f>IF('1_Du_lieu'!C224="TDMNPB",1,0)</f>
        <v>0</v>
      </c>
    </row>
    <row r="1767" spans="1:21" x14ac:dyDescent="0.25">
      <c r="A1767" t="s">
        <v>122</v>
      </c>
      <c r="B1767">
        <v>2020</v>
      </c>
      <c r="C1767" s="7">
        <f>'1_Du_lieu'!V225</f>
        <v>3.3775875160230218</v>
      </c>
      <c r="D1767" s="9">
        <f>'1_Du_lieu'!W225</f>
        <v>3.7887247890836524</v>
      </c>
      <c r="E1767" s="9">
        <f>'1_Du_lieu'!L225</f>
        <v>2.5550000000000002</v>
      </c>
      <c r="F1767" s="9">
        <f>'1_Du_lieu'!M225</f>
        <v>23.04</v>
      </c>
      <c r="G1767" s="9">
        <f>'1_Du_lieu'!N225</f>
        <v>21</v>
      </c>
      <c r="H1767" s="9">
        <f>'1_Du_lieu'!X225</f>
        <v>2.1034164457094953</v>
      </c>
      <c r="I1767" s="9">
        <f>'1_Du_lieu'!T225</f>
        <v>0.63395460885000632</v>
      </c>
      <c r="J1767" s="9">
        <f>'1_Du_lieu'!Y225</f>
        <v>5.7137328055093688</v>
      </c>
      <c r="K1767" s="9">
        <f>'1_Du_lieu'!O225</f>
        <v>16</v>
      </c>
      <c r="L1767" s="5">
        <f t="shared" si="213"/>
        <v>1</v>
      </c>
      <c r="M1767" s="5">
        <f t="shared" si="214"/>
        <v>0</v>
      </c>
      <c r="N1767" s="5">
        <f t="shared" si="215"/>
        <v>0</v>
      </c>
      <c r="O1767" s="5">
        <f t="shared" si="216"/>
        <v>0</v>
      </c>
      <c r="P1767" s="5">
        <f t="shared" si="217"/>
        <v>0</v>
      </c>
      <c r="Q1767" s="5">
        <f>IF('1_Du_lieu'!C225="ĐBSH",1,0)</f>
        <v>0</v>
      </c>
      <c r="R1767" s="5">
        <f>IF('1_Du_lieu'!C225="BTB&amp;DHMT",1,0)</f>
        <v>0</v>
      </c>
      <c r="S1767" s="5">
        <f>IF('1_Du_lieu'!C225="ĐBSCL",1,0)</f>
        <v>0</v>
      </c>
      <c r="T1767" s="5">
        <f>IF('1_Du_lieu'!C225="TN",1,0)</f>
        <v>0</v>
      </c>
      <c r="U1767" s="5">
        <f>IF('1_Du_lieu'!C225="TDMNPB",1,0)</f>
        <v>1</v>
      </c>
    </row>
    <row r="1768" spans="1:21" x14ac:dyDescent="0.25">
      <c r="A1768" t="s">
        <v>123</v>
      </c>
      <c r="B1768">
        <v>2020</v>
      </c>
      <c r="C1768" s="7">
        <f>'1_Du_lieu'!V226</f>
        <v>3.7062280924485496</v>
      </c>
      <c r="D1768" s="9">
        <f>'1_Du_lieu'!W226</f>
        <v>3.7541989202345789</v>
      </c>
      <c r="E1768" s="9">
        <f>'1_Du_lieu'!L226</f>
        <v>3.36</v>
      </c>
      <c r="F1768" s="9">
        <f>'1_Du_lieu'!M226</f>
        <v>20.23</v>
      </c>
      <c r="G1768" s="9">
        <f>'1_Du_lieu'!N226</f>
        <v>20.100000000000001</v>
      </c>
      <c r="H1768" s="9">
        <f>'1_Du_lieu'!X226</f>
        <v>1.9318494249643563</v>
      </c>
      <c r="I1768" s="9">
        <f>'1_Du_lieu'!T226</f>
        <v>1.0110655507498738</v>
      </c>
      <c r="J1768" s="9">
        <f>'1_Du_lieu'!Y226</f>
        <v>7.60668570429781</v>
      </c>
      <c r="K1768" s="9">
        <f>'1_Du_lieu'!O226</f>
        <v>13.7</v>
      </c>
      <c r="L1768" s="5">
        <f t="shared" si="213"/>
        <v>1</v>
      </c>
      <c r="M1768" s="5">
        <f t="shared" si="214"/>
        <v>0</v>
      </c>
      <c r="N1768" s="5">
        <f t="shared" si="215"/>
        <v>0</v>
      </c>
      <c r="O1768" s="5">
        <f t="shared" si="216"/>
        <v>0</v>
      </c>
      <c r="P1768" s="5">
        <f t="shared" si="217"/>
        <v>0</v>
      </c>
      <c r="Q1768" s="5">
        <f>IF('1_Du_lieu'!C226="ĐBSH",1,0)</f>
        <v>1</v>
      </c>
      <c r="R1768" s="5">
        <f>IF('1_Du_lieu'!C226="BTB&amp;DHMT",1,0)</f>
        <v>0</v>
      </c>
      <c r="S1768" s="5">
        <f>IF('1_Du_lieu'!C226="ĐBSCL",1,0)</f>
        <v>0</v>
      </c>
      <c r="T1768" s="5">
        <f>IF('1_Du_lieu'!C226="TN",1,0)</f>
        <v>0</v>
      </c>
      <c r="U1768" s="5">
        <f>IF('1_Du_lieu'!C226="TDMNPB",1,0)</f>
        <v>0</v>
      </c>
    </row>
    <row r="1769" spans="1:21" x14ac:dyDescent="0.25">
      <c r="A1769" t="s">
        <v>124</v>
      </c>
      <c r="B1769">
        <v>2020</v>
      </c>
      <c r="C1769" s="7">
        <f>'1_Du_lieu'!V227</f>
        <v>3.8351419610921882</v>
      </c>
      <c r="D1769" s="9">
        <f>'1_Du_lieu'!W227</f>
        <v>3.763522997109702</v>
      </c>
      <c r="E1769" s="9">
        <f>'1_Du_lieu'!L227</f>
        <v>3.4580000000000002</v>
      </c>
      <c r="F1769" s="9">
        <f>'1_Du_lieu'!M227</f>
        <v>15.5</v>
      </c>
      <c r="G1769" s="9">
        <f>'1_Du_lieu'!N227</f>
        <v>20.8</v>
      </c>
      <c r="H1769" s="9">
        <f>'1_Du_lieu'!X227</f>
        <v>3.5320636705213357</v>
      </c>
      <c r="I1769" s="9">
        <f>'1_Du_lieu'!T227</f>
        <v>3.3876144062760014</v>
      </c>
      <c r="J1769" s="9">
        <f>'1_Du_lieu'!Y227</f>
        <v>6.4864656205270013</v>
      </c>
      <c r="K1769" s="9">
        <f>'1_Du_lieu'!O227</f>
        <v>18.5</v>
      </c>
      <c r="L1769" s="5">
        <f t="shared" si="213"/>
        <v>1</v>
      </c>
      <c r="M1769" s="5">
        <f t="shared" si="214"/>
        <v>0</v>
      </c>
      <c r="N1769" s="5">
        <f t="shared" si="215"/>
        <v>0</v>
      </c>
      <c r="O1769" s="5">
        <f t="shared" si="216"/>
        <v>0</v>
      </c>
      <c r="P1769" s="5">
        <f t="shared" si="217"/>
        <v>0</v>
      </c>
      <c r="Q1769" s="5">
        <f>IF('1_Du_lieu'!C227="ĐBSH",1,0)</f>
        <v>0</v>
      </c>
      <c r="R1769" s="5">
        <f>IF('1_Du_lieu'!C227="BTB&amp;DHMT",1,0)</f>
        <v>1</v>
      </c>
      <c r="S1769" s="5">
        <f>IF('1_Du_lieu'!C227="ĐBSCL",1,0)</f>
        <v>0</v>
      </c>
      <c r="T1769" s="5">
        <f>IF('1_Du_lieu'!C227="TN",1,0)</f>
        <v>0</v>
      </c>
      <c r="U1769" s="5">
        <f>IF('1_Du_lieu'!C227="TDMNPB",1,0)</f>
        <v>0</v>
      </c>
    </row>
    <row r="1770" spans="1:21" x14ac:dyDescent="0.25">
      <c r="A1770" t="s">
        <v>125</v>
      </c>
      <c r="B1770">
        <v>2020</v>
      </c>
      <c r="C1770" s="7">
        <f>'1_Du_lieu'!V228</f>
        <v>3.7658404952500648</v>
      </c>
      <c r="D1770" s="9">
        <f>'1_Du_lieu'!W228</f>
        <v>4.2121275978784842</v>
      </c>
      <c r="E1770" s="9">
        <f>'1_Du_lieu'!L228</f>
        <v>4.6379999999999999</v>
      </c>
      <c r="F1770" s="9">
        <f>'1_Du_lieu'!M228</f>
        <v>21.39</v>
      </c>
      <c r="G1770" s="9">
        <f>'1_Du_lieu'!N228</f>
        <v>30.2</v>
      </c>
      <c r="H1770" s="9">
        <f>'1_Du_lieu'!X228</f>
        <v>3.2384949632101967</v>
      </c>
      <c r="I1770" s="9">
        <f>'1_Du_lieu'!T228</f>
        <v>3.5214810343092866</v>
      </c>
      <c r="J1770" s="9">
        <f>'1_Du_lieu'!Y228</f>
        <v>7.2911792562134208</v>
      </c>
      <c r="K1770" s="9">
        <f>'1_Du_lieu'!O228</f>
        <v>20</v>
      </c>
      <c r="L1770" s="5">
        <f t="shared" si="213"/>
        <v>1</v>
      </c>
      <c r="M1770" s="5">
        <f t="shared" si="214"/>
        <v>0</v>
      </c>
      <c r="N1770" s="5">
        <f t="shared" si="215"/>
        <v>0</v>
      </c>
      <c r="O1770" s="5">
        <f t="shared" si="216"/>
        <v>0</v>
      </c>
      <c r="P1770" s="5">
        <f t="shared" si="217"/>
        <v>0</v>
      </c>
      <c r="Q1770" s="5">
        <f>IF('1_Du_lieu'!C228="ĐBSH",1,0)</f>
        <v>1</v>
      </c>
      <c r="R1770" s="5">
        <f>IF('1_Du_lieu'!C228="BTB&amp;DHMT",1,0)</f>
        <v>0</v>
      </c>
      <c r="S1770" s="5">
        <f>IF('1_Du_lieu'!C228="ĐBSCL",1,0)</f>
        <v>0</v>
      </c>
      <c r="T1770" s="5">
        <f>IF('1_Du_lieu'!C228="TN",1,0)</f>
        <v>0</v>
      </c>
      <c r="U1770" s="5">
        <f>IF('1_Du_lieu'!C228="TDMNPB",1,0)</f>
        <v>0</v>
      </c>
    </row>
    <row r="1771" spans="1:21" x14ac:dyDescent="0.25">
      <c r="A1771" t="s">
        <v>126</v>
      </c>
      <c r="B1771">
        <v>2020</v>
      </c>
      <c r="C1771" s="7">
        <f>'1_Du_lieu'!V229</f>
        <v>3.5263605246161616</v>
      </c>
      <c r="D1771" s="9">
        <f>'1_Du_lieu'!W229</f>
        <v>4.0792309244120526</v>
      </c>
      <c r="E1771" s="9">
        <f>'1_Du_lieu'!L229</f>
        <v>4.55</v>
      </c>
      <c r="F1771" s="9">
        <f>'1_Du_lieu'!M229</f>
        <v>35.31</v>
      </c>
      <c r="G1771" s="9">
        <f>'1_Du_lieu'!N229</f>
        <v>16.2</v>
      </c>
      <c r="H1771" s="9">
        <f>'1_Du_lieu'!X229</f>
        <v>2.2531343333209515</v>
      </c>
      <c r="I1771" s="9">
        <f>'1_Du_lieu'!T229</f>
        <v>1.3477088948787062</v>
      </c>
      <c r="J1771" s="9">
        <f>'1_Du_lieu'!Y229</f>
        <v>7.8694399381461775</v>
      </c>
      <c r="K1771" s="9">
        <f>'1_Du_lieu'!O229</f>
        <v>15.8</v>
      </c>
      <c r="L1771" s="5">
        <f t="shared" si="213"/>
        <v>1</v>
      </c>
      <c r="M1771" s="5">
        <f t="shared" si="214"/>
        <v>0</v>
      </c>
      <c r="N1771" s="5">
        <f t="shared" si="215"/>
        <v>0</v>
      </c>
      <c r="O1771" s="5">
        <f t="shared" si="216"/>
        <v>0</v>
      </c>
      <c r="P1771" s="5">
        <f t="shared" si="217"/>
        <v>0</v>
      </c>
      <c r="Q1771" s="5">
        <f>IF('1_Du_lieu'!C229="ĐBSH",1,0)</f>
        <v>0</v>
      </c>
      <c r="R1771" s="5">
        <f>IF('1_Du_lieu'!C229="BTB&amp;DHMT",1,0)</f>
        <v>1</v>
      </c>
      <c r="S1771" s="5">
        <f>IF('1_Du_lieu'!C229="ĐBSCL",1,0)</f>
        <v>0</v>
      </c>
      <c r="T1771" s="5">
        <f>IF('1_Du_lieu'!C229="TN",1,0)</f>
        <v>0</v>
      </c>
      <c r="U1771" s="5">
        <f>IF('1_Du_lieu'!C229="TDMNPB",1,0)</f>
        <v>0</v>
      </c>
    </row>
    <row r="1772" spans="1:21" x14ac:dyDescent="0.25">
      <c r="A1772" t="s">
        <v>127</v>
      </c>
      <c r="B1772">
        <v>2020</v>
      </c>
      <c r="C1772" s="7">
        <f>'1_Du_lieu'!V230</f>
        <v>3.673765816303888</v>
      </c>
      <c r="D1772" s="9">
        <f>'1_Du_lieu'!W230</f>
        <v>3.9259259105971376</v>
      </c>
      <c r="E1772" s="9">
        <f>'1_Du_lieu'!L230</f>
        <v>3.5779999999999998</v>
      </c>
      <c r="F1772" s="9">
        <f>'1_Du_lieu'!M230</f>
        <v>19.02</v>
      </c>
      <c r="G1772" s="9">
        <f>'1_Du_lieu'!N230</f>
        <v>25.2</v>
      </c>
      <c r="H1772" s="9">
        <f>'1_Du_lieu'!X230</f>
        <v>3.0163959043890363</v>
      </c>
      <c r="I1772" s="9">
        <f>'1_Du_lieu'!T230</f>
        <v>1.4170996693434104</v>
      </c>
      <c r="J1772" s="9">
        <f>'1_Du_lieu'!Y230</f>
        <v>7.1620098253213991</v>
      </c>
      <c r="K1772" s="9">
        <f>'1_Du_lieu'!O230</f>
        <v>23.7</v>
      </c>
      <c r="L1772" s="5">
        <f t="shared" si="213"/>
        <v>1</v>
      </c>
      <c r="M1772" s="5">
        <f t="shared" si="214"/>
        <v>0</v>
      </c>
      <c r="N1772" s="5">
        <f t="shared" si="215"/>
        <v>0</v>
      </c>
      <c r="O1772" s="5">
        <f t="shared" si="216"/>
        <v>0</v>
      </c>
      <c r="P1772" s="5">
        <f t="shared" si="217"/>
        <v>0</v>
      </c>
      <c r="Q1772" s="5">
        <f>IF('1_Du_lieu'!C230="ĐBSH",1,0)</f>
        <v>0</v>
      </c>
      <c r="R1772" s="5">
        <f>IF('1_Du_lieu'!C230="BTB&amp;DHMT",1,0)</f>
        <v>0</v>
      </c>
      <c r="S1772" s="5">
        <f>IF('1_Du_lieu'!C230="ĐBSCL",1,0)</f>
        <v>0</v>
      </c>
      <c r="T1772" s="5">
        <f>IF('1_Du_lieu'!C230="TN",1,0)</f>
        <v>0</v>
      </c>
      <c r="U1772" s="5">
        <f>IF('1_Du_lieu'!C230="TDMNPB",1,0)</f>
        <v>1</v>
      </c>
    </row>
    <row r="1773" spans="1:21" x14ac:dyDescent="0.25">
      <c r="A1773" t="s">
        <v>128</v>
      </c>
      <c r="B1773">
        <v>2020</v>
      </c>
      <c r="C1773" s="7">
        <f>'1_Du_lieu'!V231</f>
        <v>3.5695326964813701</v>
      </c>
      <c r="D1773" s="9">
        <f>'1_Du_lieu'!W231</f>
        <v>3.9219733362813143</v>
      </c>
      <c r="E1773" s="9">
        <f>'1_Du_lieu'!L231</f>
        <v>3.4209999999999998</v>
      </c>
      <c r="F1773" s="9">
        <f>'1_Du_lieu'!M231</f>
        <v>32.700000000000003</v>
      </c>
      <c r="G1773" s="9">
        <f>'1_Du_lieu'!N231</f>
        <v>17.5</v>
      </c>
      <c r="H1773" s="9">
        <f>'1_Du_lieu'!X231</f>
        <v>2.6356774965350644</v>
      </c>
      <c r="I1773" s="9">
        <f>'1_Du_lieu'!T231</f>
        <v>0.57188608029280563</v>
      </c>
      <c r="J1773" s="9">
        <f>'1_Du_lieu'!Y231</f>
        <v>7.752979562422432</v>
      </c>
      <c r="K1773" s="9">
        <f>'1_Du_lieu'!O231</f>
        <v>21.1</v>
      </c>
      <c r="L1773" s="5">
        <f t="shared" si="213"/>
        <v>1</v>
      </c>
      <c r="M1773" s="5">
        <f t="shared" si="214"/>
        <v>0</v>
      </c>
      <c r="N1773" s="5">
        <f t="shared" si="215"/>
        <v>0</v>
      </c>
      <c r="O1773" s="5">
        <f t="shared" si="216"/>
        <v>0</v>
      </c>
      <c r="P1773" s="5">
        <f t="shared" si="217"/>
        <v>0</v>
      </c>
      <c r="Q1773" s="5">
        <f>IF('1_Du_lieu'!C231="ĐBSH",1,0)</f>
        <v>0</v>
      </c>
      <c r="R1773" s="5">
        <f>IF('1_Du_lieu'!C231="BTB&amp;DHMT",1,0)</f>
        <v>1</v>
      </c>
      <c r="S1773" s="5">
        <f>IF('1_Du_lieu'!C231="ĐBSCL",1,0)</f>
        <v>0</v>
      </c>
      <c r="T1773" s="5">
        <f>IF('1_Du_lieu'!C231="TN",1,0)</f>
        <v>0</v>
      </c>
      <c r="U1773" s="5">
        <f>IF('1_Du_lieu'!C231="TDMNPB",1,0)</f>
        <v>0</v>
      </c>
    </row>
    <row r="1774" spans="1:21" x14ac:dyDescent="0.25">
      <c r="A1774" t="s">
        <v>129</v>
      </c>
      <c r="B1774">
        <v>2020</v>
      </c>
      <c r="C1774" s="7">
        <f>'1_Du_lieu'!V232</f>
        <v>3.4781584227982836</v>
      </c>
      <c r="D1774" s="9">
        <f>'1_Du_lieu'!W232</f>
        <v>3.8351419610921882</v>
      </c>
      <c r="E1774" s="9">
        <f>'1_Du_lieu'!L232</f>
        <v>4.952</v>
      </c>
      <c r="F1774" s="9">
        <f>'1_Du_lieu'!M232</f>
        <v>22.96</v>
      </c>
      <c r="G1774" s="9">
        <f>'1_Du_lieu'!N232</f>
        <v>21.9</v>
      </c>
      <c r="H1774" s="9">
        <f>'1_Du_lieu'!X232</f>
        <v>3.2330323529100875</v>
      </c>
      <c r="I1774" s="9">
        <f>'1_Du_lieu'!T232</f>
        <v>0.99778270509977818</v>
      </c>
      <c r="J1774" s="9">
        <f>'1_Du_lieu'!Y232</f>
        <v>7.0716582502520735</v>
      </c>
      <c r="K1774" s="9">
        <f>'1_Du_lieu'!O232</f>
        <v>15.3</v>
      </c>
      <c r="L1774" s="5">
        <f t="shared" si="213"/>
        <v>1</v>
      </c>
      <c r="M1774" s="5">
        <f t="shared" si="214"/>
        <v>0</v>
      </c>
      <c r="N1774" s="5">
        <f t="shared" si="215"/>
        <v>0</v>
      </c>
      <c r="O1774" s="5">
        <f t="shared" si="216"/>
        <v>0</v>
      </c>
      <c r="P1774" s="5">
        <f t="shared" si="217"/>
        <v>0</v>
      </c>
      <c r="Q1774" s="5">
        <f>IF('1_Du_lieu'!C232="ĐBSH",1,0)</f>
        <v>0</v>
      </c>
      <c r="R1774" s="5">
        <f>IF('1_Du_lieu'!C232="BTB&amp;DHMT",1,0)</f>
        <v>1</v>
      </c>
      <c r="S1774" s="5">
        <f>IF('1_Du_lieu'!C232="ĐBSCL",1,0)</f>
        <v>0</v>
      </c>
      <c r="T1774" s="5">
        <f>IF('1_Du_lieu'!C232="TN",1,0)</f>
        <v>0</v>
      </c>
      <c r="U1774" s="5">
        <f>IF('1_Du_lieu'!C232="TDMNPB",1,0)</f>
        <v>0</v>
      </c>
    </row>
    <row r="1775" spans="1:21" x14ac:dyDescent="0.25">
      <c r="A1775" t="s">
        <v>130</v>
      </c>
      <c r="B1775">
        <v>2020</v>
      </c>
      <c r="C1775" s="7">
        <f>'1_Du_lieu'!V233</f>
        <v>3.6838669122903918</v>
      </c>
      <c r="D1775" s="9">
        <f>'1_Du_lieu'!W233</f>
        <v>4.180522258463153</v>
      </c>
      <c r="E1775" s="9">
        <f>'1_Du_lieu'!L233</f>
        <v>5.1319999999999997</v>
      </c>
      <c r="F1775" s="9">
        <f>'1_Du_lieu'!M233</f>
        <v>26.33</v>
      </c>
      <c r="G1775" s="9">
        <f>'1_Du_lieu'!N233</f>
        <v>21.5</v>
      </c>
      <c r="H1775" s="9">
        <f>'1_Du_lieu'!X233</f>
        <v>2.1939412307003638</v>
      </c>
      <c r="I1775" s="9">
        <f>'1_Du_lieu'!T233</f>
        <v>0.26578073089700999</v>
      </c>
      <c r="J1775" s="9">
        <f>'1_Du_lieu'!Y233</f>
        <v>8.2999820087551353</v>
      </c>
      <c r="K1775" s="9">
        <f>'1_Du_lieu'!O233</f>
        <v>20.100000000000001</v>
      </c>
      <c r="L1775" s="5">
        <f t="shared" si="213"/>
        <v>1</v>
      </c>
      <c r="M1775" s="5">
        <f t="shared" si="214"/>
        <v>0</v>
      </c>
      <c r="N1775" s="5">
        <f t="shared" si="215"/>
        <v>0</v>
      </c>
      <c r="O1775" s="5">
        <f t="shared" si="216"/>
        <v>0</v>
      </c>
      <c r="P1775" s="5">
        <f t="shared" si="217"/>
        <v>0</v>
      </c>
      <c r="Q1775" s="5">
        <f>IF('1_Du_lieu'!C233="ĐBSH",1,0)</f>
        <v>0</v>
      </c>
      <c r="R1775" s="5">
        <f>IF('1_Du_lieu'!C233="BTB&amp;DHMT",1,0)</f>
        <v>1</v>
      </c>
      <c r="S1775" s="5">
        <f>IF('1_Du_lieu'!C233="ĐBSCL",1,0)</f>
        <v>0</v>
      </c>
      <c r="T1775" s="5">
        <f>IF('1_Du_lieu'!C233="TN",1,0)</f>
        <v>0</v>
      </c>
      <c r="U1775" s="5">
        <f>IF('1_Du_lieu'!C233="TDMNPB",1,0)</f>
        <v>0</v>
      </c>
    </row>
    <row r="1776" spans="1:21" x14ac:dyDescent="0.25">
      <c r="A1776" t="s">
        <v>131</v>
      </c>
      <c r="B1776">
        <v>2020</v>
      </c>
      <c r="C1776" s="7">
        <f>'1_Du_lieu'!V234</f>
        <v>3.5553480614894135</v>
      </c>
      <c r="D1776" s="9">
        <f>'1_Du_lieu'!W234</f>
        <v>4.2413267525707461</v>
      </c>
      <c r="E1776" s="9">
        <f>'1_Du_lieu'!L234</f>
        <v>4.2949999999999999</v>
      </c>
      <c r="F1776" s="9">
        <f>'1_Du_lieu'!M234</f>
        <v>21.1</v>
      </c>
      <c r="G1776" s="9">
        <f>'1_Du_lieu'!N234</f>
        <v>22</v>
      </c>
      <c r="H1776" s="9">
        <f>'1_Du_lieu'!X234</f>
        <v>2.1421719389565141</v>
      </c>
      <c r="I1776" s="9">
        <f>'1_Du_lieu'!T234</f>
        <v>0.81076698556834748</v>
      </c>
      <c r="J1776" s="9">
        <f>'1_Du_lieu'!Y234</f>
        <v>7.3729347908623808</v>
      </c>
      <c r="K1776" s="9">
        <f>'1_Du_lieu'!O234</f>
        <v>19.3</v>
      </c>
      <c r="L1776" s="5">
        <f t="shared" si="213"/>
        <v>1</v>
      </c>
      <c r="M1776" s="5">
        <f t="shared" si="214"/>
        <v>0</v>
      </c>
      <c r="N1776" s="5">
        <f t="shared" si="215"/>
        <v>0</v>
      </c>
      <c r="O1776" s="5">
        <f t="shared" si="216"/>
        <v>0</v>
      </c>
      <c r="P1776" s="5">
        <f t="shared" si="217"/>
        <v>0</v>
      </c>
      <c r="Q1776" s="5">
        <f>IF('1_Du_lieu'!C234="ĐBSH",1,0)</f>
        <v>0</v>
      </c>
      <c r="R1776" s="5">
        <f>IF('1_Du_lieu'!C234="BTB&amp;DHMT",1,0)</f>
        <v>1</v>
      </c>
      <c r="S1776" s="5">
        <f>IF('1_Du_lieu'!C234="ĐBSCL",1,0)</f>
        <v>0</v>
      </c>
      <c r="T1776" s="5">
        <f>IF('1_Du_lieu'!C234="TN",1,0)</f>
        <v>0</v>
      </c>
      <c r="U1776" s="5">
        <f>IF('1_Du_lieu'!C234="TDMNPB",1,0)</f>
        <v>0</v>
      </c>
    </row>
    <row r="1777" spans="1:21" x14ac:dyDescent="0.25">
      <c r="A1777" t="s">
        <v>132</v>
      </c>
      <c r="B1777">
        <v>2020</v>
      </c>
      <c r="C1777" s="7">
        <f>'1_Du_lieu'!V235</f>
        <v>3.8979240810486444</v>
      </c>
      <c r="D1777" s="9">
        <f>'1_Du_lieu'!W235</f>
        <v>5.0472886117442908</v>
      </c>
      <c r="E1777" s="9">
        <f>'1_Du_lieu'!L235</f>
        <v>6.9009999999999998</v>
      </c>
      <c r="F1777" s="9">
        <f>'1_Du_lieu'!M235</f>
        <v>64.44</v>
      </c>
      <c r="G1777" s="9">
        <f>'1_Du_lieu'!N235</f>
        <v>38.700000000000003</v>
      </c>
      <c r="H1777" s="9">
        <f>'1_Du_lieu'!X235</f>
        <v>3.4470021567975442</v>
      </c>
      <c r="I1777" s="9">
        <f>'1_Du_lieu'!T235</f>
        <v>2.5418660287081343</v>
      </c>
      <c r="J1777" s="9">
        <f>'1_Du_lieu'!Y235</f>
        <v>8.5321803212244856</v>
      </c>
      <c r="K1777" s="9">
        <f>'1_Du_lieu'!O235</f>
        <v>26.4</v>
      </c>
      <c r="L1777" s="5">
        <f t="shared" si="213"/>
        <v>1</v>
      </c>
      <c r="M1777" s="5">
        <f t="shared" si="214"/>
        <v>0</v>
      </c>
      <c r="N1777" s="5">
        <f t="shared" si="215"/>
        <v>0</v>
      </c>
      <c r="O1777" s="5">
        <f t="shared" si="216"/>
        <v>0</v>
      </c>
      <c r="P1777" s="5">
        <f t="shared" si="217"/>
        <v>0</v>
      </c>
      <c r="Q1777" s="5">
        <f>IF('1_Du_lieu'!C235="ĐBSH",1,0)</f>
        <v>1</v>
      </c>
      <c r="R1777" s="5">
        <f>IF('1_Du_lieu'!C235="BTB&amp;DHMT",1,0)</f>
        <v>0</v>
      </c>
      <c r="S1777" s="5">
        <f>IF('1_Du_lieu'!C235="ĐBSCL",1,0)</f>
        <v>0</v>
      </c>
      <c r="T1777" s="5">
        <f>IF('1_Du_lieu'!C235="TN",1,0)</f>
        <v>0</v>
      </c>
      <c r="U1777" s="5">
        <f>IF('1_Du_lieu'!C235="TDMNPB",1,0)</f>
        <v>0</v>
      </c>
    </row>
    <row r="1778" spans="1:21" x14ac:dyDescent="0.25">
      <c r="A1778" t="s">
        <v>133</v>
      </c>
      <c r="B1778">
        <v>2020</v>
      </c>
      <c r="C1778" s="7">
        <f>'1_Du_lieu'!V236</f>
        <v>3.4404180948154366</v>
      </c>
      <c r="D1778" s="9">
        <f>'1_Du_lieu'!W236</f>
        <v>3.9665111907122159</v>
      </c>
      <c r="E1778" s="9">
        <f>'1_Du_lieu'!L236</f>
        <v>4.49</v>
      </c>
      <c r="F1778" s="9">
        <f>'1_Du_lieu'!M236</f>
        <v>32.46</v>
      </c>
      <c r="G1778" s="9">
        <f>'1_Du_lieu'!N236</f>
        <v>25.6</v>
      </c>
      <c r="H1778" s="9">
        <f>'1_Du_lieu'!X236</f>
        <v>2.7821133472927264</v>
      </c>
      <c r="I1778" s="9">
        <f>'1_Du_lieu'!T236</f>
        <v>3.4515218073423282</v>
      </c>
      <c r="J1778" s="9">
        <f>'1_Du_lieu'!Y236</f>
        <v>5.2246708263797386</v>
      </c>
      <c r="K1778" s="9">
        <f>'1_Du_lieu'!O236</f>
        <v>22</v>
      </c>
      <c r="L1778" s="5">
        <f t="shared" si="213"/>
        <v>1</v>
      </c>
      <c r="M1778" s="5">
        <f t="shared" si="214"/>
        <v>0</v>
      </c>
      <c r="N1778" s="5">
        <f t="shared" si="215"/>
        <v>0</v>
      </c>
      <c r="O1778" s="5">
        <f t="shared" si="216"/>
        <v>0</v>
      </c>
      <c r="P1778" s="5">
        <f t="shared" si="217"/>
        <v>0</v>
      </c>
      <c r="Q1778" s="5">
        <f>IF('1_Du_lieu'!C236="ĐBSH",1,0)</f>
        <v>0</v>
      </c>
      <c r="R1778" s="5">
        <f>IF('1_Du_lieu'!C236="BTB&amp;DHMT",1,0)</f>
        <v>1</v>
      </c>
      <c r="S1778" s="5">
        <f>IF('1_Du_lieu'!C236="ĐBSCL",1,0)</f>
        <v>0</v>
      </c>
      <c r="T1778" s="5">
        <f>IF('1_Du_lieu'!C236="TN",1,0)</f>
        <v>0</v>
      </c>
      <c r="U1778" s="5">
        <f>IF('1_Du_lieu'!C236="TDMNPB",1,0)</f>
        <v>0</v>
      </c>
    </row>
    <row r="1779" spans="1:21" x14ac:dyDescent="0.25">
      <c r="A1779" t="s">
        <v>136</v>
      </c>
      <c r="B1779">
        <v>2020</v>
      </c>
      <c r="C1779" s="7">
        <f>'1_Du_lieu'!V239</f>
        <v>4.4897593344767639</v>
      </c>
      <c r="D1779" s="9">
        <f>'1_Du_lieu'!W239</f>
        <v>5.0012581322836587</v>
      </c>
      <c r="E1779" s="9">
        <f>'1_Du_lieu'!L239</f>
        <v>27.602</v>
      </c>
      <c r="F1779" s="9">
        <f>'1_Du_lieu'!M239</f>
        <v>79.010000000000005</v>
      </c>
      <c r="G1779" s="9">
        <f>'1_Du_lieu'!N239</f>
        <v>38.700000000000003</v>
      </c>
      <c r="H1779" s="9">
        <f>'1_Du_lieu'!X239</f>
        <v>2.441180665348742</v>
      </c>
      <c r="I1779" s="9">
        <f>'1_Du_lieu'!T239</f>
        <v>3.0560492435736268</v>
      </c>
      <c r="J1779" s="9">
        <f>'1_Du_lieu'!Y239</f>
        <v>8.561573647096969</v>
      </c>
      <c r="K1779" s="9">
        <f>'1_Du_lieu'!O239</f>
        <v>51.2</v>
      </c>
      <c r="L1779" s="5">
        <f t="shared" si="213"/>
        <v>1</v>
      </c>
      <c r="M1779" s="5">
        <f t="shared" si="214"/>
        <v>0</v>
      </c>
      <c r="N1779" s="5">
        <f t="shared" si="215"/>
        <v>0</v>
      </c>
      <c r="O1779" s="5">
        <f t="shared" si="216"/>
        <v>0</v>
      </c>
      <c r="P1779" s="5">
        <f t="shared" si="217"/>
        <v>0</v>
      </c>
      <c r="Q1779" s="5">
        <f>IF('1_Du_lieu'!C239="ĐBSH",1,0)</f>
        <v>0</v>
      </c>
      <c r="R1779" s="5">
        <f>IF('1_Du_lieu'!C239="BTB&amp;DHMT",1,0)</f>
        <v>0</v>
      </c>
      <c r="S1779" s="5">
        <f>IF('1_Du_lieu'!C239="ĐBSCL",1,0)</f>
        <v>0</v>
      </c>
      <c r="T1779" s="5">
        <f>IF('1_Du_lieu'!C239="TN",1,0)</f>
        <v>0</v>
      </c>
      <c r="U1779" s="5">
        <f>IF('1_Du_lieu'!C239="TDMNPB",1,0)</f>
        <v>0</v>
      </c>
    </row>
    <row r="1780" spans="1:21" x14ac:dyDescent="0.25">
      <c r="A1780" t="s">
        <v>137</v>
      </c>
      <c r="B1780">
        <v>2020</v>
      </c>
      <c r="C1780" s="7">
        <f>'1_Du_lieu'!V240</f>
        <v>3.7541989202345789</v>
      </c>
      <c r="D1780" s="9">
        <f>'1_Du_lieu'!W240</f>
        <v>3.9376907521767239</v>
      </c>
      <c r="E1780" s="9">
        <f>'1_Du_lieu'!L240</f>
        <v>3.589</v>
      </c>
      <c r="F1780" s="9">
        <f>'1_Du_lieu'!M240</f>
        <v>23.28</v>
      </c>
      <c r="G1780" s="9">
        <f>'1_Du_lieu'!N240</f>
        <v>21.4</v>
      </c>
      <c r="H1780" s="9">
        <f>'1_Du_lieu'!X240</f>
        <v>2.5701808339622447</v>
      </c>
      <c r="I1780" s="9">
        <f>'1_Du_lieu'!T240</f>
        <v>0.70943272667739909</v>
      </c>
      <c r="J1780" s="9">
        <f>'1_Du_lieu'!Y240</f>
        <v>8.2849332114557459</v>
      </c>
      <c r="K1780" s="9">
        <f>'1_Du_lieu'!O240</f>
        <v>16.2</v>
      </c>
      <c r="L1780" s="5">
        <f t="shared" si="213"/>
        <v>1</v>
      </c>
      <c r="M1780" s="5">
        <f t="shared" si="214"/>
        <v>0</v>
      </c>
      <c r="N1780" s="5">
        <f t="shared" si="215"/>
        <v>0</v>
      </c>
      <c r="O1780" s="5">
        <f t="shared" si="216"/>
        <v>0</v>
      </c>
      <c r="P1780" s="5">
        <f t="shared" si="217"/>
        <v>0</v>
      </c>
      <c r="Q1780" s="5">
        <f>IF('1_Du_lieu'!C240="ĐBSH",1,0)</f>
        <v>0</v>
      </c>
      <c r="R1780" s="5">
        <f>IF('1_Du_lieu'!C240="BTB&amp;DHMT",1,0)</f>
        <v>1</v>
      </c>
      <c r="S1780" s="5">
        <f>IF('1_Du_lieu'!C240="ĐBSCL",1,0)</f>
        <v>0</v>
      </c>
      <c r="T1780" s="5">
        <f>IF('1_Du_lieu'!C240="TN",1,0)</f>
        <v>0</v>
      </c>
      <c r="U1780" s="5">
        <f>IF('1_Du_lieu'!C240="TDMNPB",1,0)</f>
        <v>0</v>
      </c>
    </row>
    <row r="1781" spans="1:21" x14ac:dyDescent="0.25">
      <c r="A1781" t="s">
        <v>138</v>
      </c>
      <c r="B1781">
        <v>2020</v>
      </c>
      <c r="C1781" s="7">
        <f>'1_Du_lieu'!V241</f>
        <v>3.6506582412937387</v>
      </c>
      <c r="D1781" s="9">
        <f>'1_Du_lieu'!W241</f>
        <v>3.8691155044168695</v>
      </c>
      <c r="E1781" s="9">
        <f>'1_Du_lieu'!L241</f>
        <v>2.7549999999999999</v>
      </c>
      <c r="F1781" s="9">
        <f>'1_Du_lieu'!M241</f>
        <v>11.74</v>
      </c>
      <c r="G1781" s="9">
        <f>'1_Du_lieu'!N241</f>
        <v>17.899999999999999</v>
      </c>
      <c r="H1781" s="9">
        <f>'1_Du_lieu'!X241</f>
        <v>1.4077709866343509</v>
      </c>
      <c r="I1781" s="9">
        <f>'1_Du_lieu'!T241</f>
        <v>0.74858303924713931</v>
      </c>
      <c r="J1781" s="9">
        <f>'1_Du_lieu'!Y241</f>
        <v>6.081990573807353</v>
      </c>
      <c r="K1781" s="9">
        <f>'1_Du_lieu'!O241</f>
        <v>13.4</v>
      </c>
      <c r="L1781" s="5">
        <f t="shared" si="213"/>
        <v>1</v>
      </c>
      <c r="M1781" s="5">
        <f t="shared" si="214"/>
        <v>0</v>
      </c>
      <c r="N1781" s="5">
        <f t="shared" si="215"/>
        <v>0</v>
      </c>
      <c r="O1781" s="5">
        <f t="shared" si="216"/>
        <v>0</v>
      </c>
      <c r="P1781" s="5">
        <f t="shared" si="217"/>
        <v>0</v>
      </c>
      <c r="Q1781" s="5">
        <f>IF('1_Du_lieu'!C241="ĐBSH",1,0)</f>
        <v>1</v>
      </c>
      <c r="R1781" s="5">
        <f>IF('1_Du_lieu'!C241="BTB&amp;DHMT",1,0)</f>
        <v>0</v>
      </c>
      <c r="S1781" s="5">
        <f>IF('1_Du_lieu'!C241="ĐBSCL",1,0)</f>
        <v>0</v>
      </c>
      <c r="T1781" s="5">
        <f>IF('1_Du_lieu'!C241="TN",1,0)</f>
        <v>0</v>
      </c>
      <c r="U1781" s="5">
        <f>IF('1_Du_lieu'!C241="TDMNPB",1,0)</f>
        <v>0</v>
      </c>
    </row>
    <row r="1782" spans="1:21" x14ac:dyDescent="0.25">
      <c r="A1782" t="s">
        <v>139</v>
      </c>
      <c r="B1782">
        <v>2020</v>
      </c>
      <c r="C1782" s="7">
        <f>'1_Du_lieu'!V242</f>
        <v>3.6838669122903918</v>
      </c>
      <c r="D1782" s="9">
        <f>'1_Du_lieu'!W242</f>
        <v>4.5464811896394117</v>
      </c>
      <c r="E1782" s="9">
        <f>'1_Du_lieu'!L242</f>
        <v>3.6619999999999999</v>
      </c>
      <c r="F1782" s="9">
        <f>'1_Du_lieu'!M242</f>
        <v>32.090000000000003</v>
      </c>
      <c r="G1782" s="9">
        <f>'1_Du_lieu'!N242</f>
        <v>28.2</v>
      </c>
      <c r="H1782" s="9">
        <f>'1_Du_lieu'!X242</f>
        <v>3.2720030509182005</v>
      </c>
      <c r="I1782" s="9">
        <f>'1_Du_lieu'!T242</f>
        <v>1.1468766725284807</v>
      </c>
      <c r="J1782" s="9">
        <f>'1_Du_lieu'!Y242</f>
        <v>8.8088473646204193</v>
      </c>
      <c r="K1782" s="9">
        <f>'1_Du_lieu'!O242</f>
        <v>24.4</v>
      </c>
      <c r="L1782" s="5">
        <f t="shared" si="213"/>
        <v>1</v>
      </c>
      <c r="M1782" s="5">
        <f t="shared" si="214"/>
        <v>0</v>
      </c>
      <c r="N1782" s="5">
        <f t="shared" si="215"/>
        <v>0</v>
      </c>
      <c r="O1782" s="5">
        <f t="shared" si="216"/>
        <v>0</v>
      </c>
      <c r="P1782" s="5">
        <f t="shared" si="217"/>
        <v>0</v>
      </c>
      <c r="Q1782" s="5">
        <f>IF('1_Du_lieu'!C242="ĐBSH",1,0)</f>
        <v>0</v>
      </c>
      <c r="R1782" s="5">
        <f>IF('1_Du_lieu'!C242="BTB&amp;DHMT",1,0)</f>
        <v>0</v>
      </c>
      <c r="S1782" s="5">
        <f>IF('1_Du_lieu'!C242="ĐBSCL",1,0)</f>
        <v>0</v>
      </c>
      <c r="T1782" s="5">
        <f>IF('1_Du_lieu'!C242="TN",1,0)</f>
        <v>0</v>
      </c>
      <c r="U1782" s="5">
        <f>IF('1_Du_lieu'!C242="TDMNPB",1,0)</f>
        <v>1</v>
      </c>
    </row>
    <row r="1783" spans="1:21" x14ac:dyDescent="0.25">
      <c r="A1783" t="s">
        <v>141</v>
      </c>
      <c r="B1783">
        <v>2020</v>
      </c>
      <c r="C1783" s="7">
        <f>'1_Du_lieu'!V244</f>
        <v>3.6888794541139363</v>
      </c>
      <c r="D1783" s="9">
        <f>'1_Du_lieu'!W244</f>
        <v>4.0217738693872649</v>
      </c>
      <c r="E1783" s="9">
        <f>'1_Du_lieu'!L244</f>
        <v>2.738</v>
      </c>
      <c r="F1783" s="9">
        <f>'1_Du_lieu'!M244</f>
        <v>14.21</v>
      </c>
      <c r="G1783" s="9">
        <f>'1_Du_lieu'!N244</f>
        <v>14.2</v>
      </c>
      <c r="H1783" s="9">
        <f>'1_Du_lieu'!X244</f>
        <v>0.66499725844119417</v>
      </c>
      <c r="I1783" s="9">
        <f>'1_Du_lieu'!T244</f>
        <v>0.7334273624823695</v>
      </c>
      <c r="J1783" s="9">
        <f>'1_Du_lieu'!Y244</f>
        <v>7.3458166427932889</v>
      </c>
      <c r="K1783" s="9">
        <f>'1_Du_lieu'!O244</f>
        <v>18.3</v>
      </c>
      <c r="L1783" s="5">
        <f t="shared" si="213"/>
        <v>1</v>
      </c>
      <c r="M1783" s="5">
        <f t="shared" si="214"/>
        <v>0</v>
      </c>
      <c r="N1783" s="5">
        <f t="shared" si="215"/>
        <v>0</v>
      </c>
      <c r="O1783" s="5">
        <f t="shared" si="216"/>
        <v>0</v>
      </c>
      <c r="P1783" s="5">
        <f t="shared" si="217"/>
        <v>0</v>
      </c>
      <c r="Q1783" s="5">
        <f>IF('1_Du_lieu'!C244="ĐBSH",1,0)</f>
        <v>0</v>
      </c>
      <c r="R1783" s="5">
        <f>IF('1_Du_lieu'!C244="BTB&amp;DHMT",1,0)</f>
        <v>0</v>
      </c>
      <c r="S1783" s="5">
        <f>IF('1_Du_lieu'!C244="ĐBSCL",1,0)</f>
        <v>1</v>
      </c>
      <c r="T1783" s="5">
        <f>IF('1_Du_lieu'!C244="TN",1,0)</f>
        <v>0</v>
      </c>
      <c r="U1783" s="5">
        <f>IF('1_Du_lieu'!C244="TDMNPB",1,0)</f>
        <v>0</v>
      </c>
    </row>
    <row r="1784" spans="1:21" x14ac:dyDescent="0.25">
      <c r="A1784" t="s">
        <v>142</v>
      </c>
      <c r="B1784">
        <v>2020</v>
      </c>
      <c r="C1784" s="7">
        <f>'1_Du_lieu'!V245</f>
        <v>3.4468078929142076</v>
      </c>
      <c r="D1784" s="9">
        <f>'1_Du_lieu'!W245</f>
        <v>4.1108738641733114</v>
      </c>
      <c r="E1784" s="9">
        <f>'1_Du_lieu'!L245</f>
        <v>2.278</v>
      </c>
      <c r="F1784" s="9">
        <f>'1_Du_lieu'!M245</f>
        <v>17.41</v>
      </c>
      <c r="G1784" s="9">
        <f>'1_Du_lieu'!N245</f>
        <v>11.6</v>
      </c>
      <c r="H1784" s="9">
        <f>'1_Du_lieu'!X245</f>
        <v>1.2813078499544777</v>
      </c>
      <c r="I1784" s="9">
        <f>'1_Du_lieu'!T245</f>
        <v>0.89117734429151396</v>
      </c>
      <c r="J1784" s="9">
        <f>'1_Du_lieu'!Y245</f>
        <v>8.1018898461721687</v>
      </c>
      <c r="K1784" s="9">
        <f>'1_Du_lieu'!O245</f>
        <v>12.8</v>
      </c>
      <c r="L1784" s="5">
        <f t="shared" si="213"/>
        <v>1</v>
      </c>
      <c r="M1784" s="5">
        <f t="shared" si="214"/>
        <v>0</v>
      </c>
      <c r="N1784" s="5">
        <f t="shared" si="215"/>
        <v>0</v>
      </c>
      <c r="O1784" s="5">
        <f t="shared" si="216"/>
        <v>0</v>
      </c>
      <c r="P1784" s="5">
        <f t="shared" si="217"/>
        <v>0</v>
      </c>
      <c r="Q1784" s="5">
        <f>IF('1_Du_lieu'!C245="ĐBSH",1,0)</f>
        <v>0</v>
      </c>
      <c r="R1784" s="5">
        <f>IF('1_Du_lieu'!C245="BTB&amp;DHMT",1,0)</f>
        <v>0</v>
      </c>
      <c r="S1784" s="5">
        <f>IF('1_Du_lieu'!C245="ĐBSCL",1,0)</f>
        <v>1</v>
      </c>
      <c r="T1784" s="5">
        <f>IF('1_Du_lieu'!C245="TN",1,0)</f>
        <v>0</v>
      </c>
      <c r="U1784" s="5">
        <f>IF('1_Du_lieu'!C245="TDMNPB",1,0)</f>
        <v>0</v>
      </c>
    </row>
    <row r="1785" spans="1:21" x14ac:dyDescent="0.25">
      <c r="A1785" t="s">
        <v>143</v>
      </c>
      <c r="B1785">
        <v>2020</v>
      </c>
      <c r="C1785" s="7">
        <f>'1_Du_lieu'!V246</f>
        <v>3.380994674344636</v>
      </c>
      <c r="D1785" s="9">
        <f>'1_Du_lieu'!W246</f>
        <v>3.7727609380946383</v>
      </c>
      <c r="E1785" s="9">
        <f>'1_Du_lieu'!L246</f>
        <v>1.841</v>
      </c>
      <c r="F1785" s="9">
        <f>'1_Du_lieu'!M246</f>
        <v>13.82</v>
      </c>
      <c r="G1785" s="9">
        <f>'1_Du_lieu'!N246</f>
        <v>21.3</v>
      </c>
      <c r="H1785" s="9">
        <f>'1_Du_lieu'!X246</f>
        <v>2.8888922654216747</v>
      </c>
      <c r="I1785" s="9">
        <f>'1_Du_lieu'!T246</f>
        <v>0.88283516206331192</v>
      </c>
      <c r="J1785" s="9">
        <f>'1_Du_lieu'!Y246</f>
        <v>5.6182245862945548</v>
      </c>
      <c r="K1785" s="9">
        <f>'1_Du_lieu'!O246</f>
        <v>14.1</v>
      </c>
      <c r="L1785" s="5">
        <f t="shared" si="213"/>
        <v>1</v>
      </c>
      <c r="M1785" s="5">
        <f t="shared" si="214"/>
        <v>0</v>
      </c>
      <c r="N1785" s="5">
        <f t="shared" si="215"/>
        <v>0</v>
      </c>
      <c r="O1785" s="5">
        <f t="shared" si="216"/>
        <v>0</v>
      </c>
      <c r="P1785" s="5">
        <f t="shared" si="217"/>
        <v>0</v>
      </c>
      <c r="Q1785" s="5">
        <f>IF('1_Du_lieu'!C246="ĐBSH",1,0)</f>
        <v>0</v>
      </c>
      <c r="R1785" s="5">
        <f>IF('1_Du_lieu'!C246="BTB&amp;DHMT",1,0)</f>
        <v>0</v>
      </c>
      <c r="S1785" s="5">
        <f>IF('1_Du_lieu'!C246="ĐBSCL",1,0)</f>
        <v>0</v>
      </c>
      <c r="T1785" s="5">
        <f>IF('1_Du_lieu'!C246="TN",1,0)</f>
        <v>0</v>
      </c>
      <c r="U1785" s="5">
        <f>IF('1_Du_lieu'!C246="TDMNPB",1,0)</f>
        <v>1</v>
      </c>
    </row>
    <row r="1786" spans="1:21" x14ac:dyDescent="0.25">
      <c r="A1786" t="s">
        <v>144</v>
      </c>
      <c r="B1786">
        <v>2020</v>
      </c>
      <c r="C1786" s="7">
        <f>'1_Du_lieu'!V247</f>
        <v>3.673765816303888</v>
      </c>
      <c r="D1786" s="9">
        <f>'1_Du_lieu'!W247</f>
        <v>4.3040650932041702</v>
      </c>
      <c r="E1786" s="9">
        <f>'1_Du_lieu'!L247</f>
        <v>3.6930000000000001</v>
      </c>
      <c r="F1786" s="9">
        <f>'1_Du_lieu'!M247</f>
        <v>32.340000000000003</v>
      </c>
      <c r="G1786" s="9">
        <f>'1_Du_lieu'!N247</f>
        <v>14.7</v>
      </c>
      <c r="H1786" s="9">
        <f>'1_Du_lieu'!X247</f>
        <v>2.5556293321054997</v>
      </c>
      <c r="I1786" s="9">
        <f>'1_Du_lieu'!T247</f>
        <v>1.1881524229822626</v>
      </c>
      <c r="J1786" s="9">
        <f>'1_Du_lieu'!Y247</f>
        <v>8.7825376261463042</v>
      </c>
      <c r="K1786" s="9">
        <f>'1_Du_lieu'!O247</f>
        <v>15.6</v>
      </c>
      <c r="L1786" s="5">
        <f t="shared" si="213"/>
        <v>1</v>
      </c>
      <c r="M1786" s="5">
        <f t="shared" si="214"/>
        <v>0</v>
      </c>
      <c r="N1786" s="5">
        <f t="shared" si="215"/>
        <v>0</v>
      </c>
      <c r="O1786" s="5">
        <f t="shared" si="216"/>
        <v>0</v>
      </c>
      <c r="P1786" s="5">
        <f t="shared" si="217"/>
        <v>0</v>
      </c>
      <c r="Q1786" s="5">
        <f>IF('1_Du_lieu'!C247="ĐBSH",1,0)</f>
        <v>0</v>
      </c>
      <c r="R1786" s="5">
        <f>IF('1_Du_lieu'!C247="BTB&amp;DHMT",1,0)</f>
        <v>0</v>
      </c>
      <c r="S1786" s="5">
        <f>IF('1_Du_lieu'!C247="ĐBSCL",1,0)</f>
        <v>0</v>
      </c>
      <c r="T1786" s="5">
        <f>IF('1_Du_lieu'!C247="TN",1,0)</f>
        <v>0</v>
      </c>
      <c r="U1786" s="5">
        <f>IF('1_Du_lieu'!C247="TDMNPB",1,0)</f>
        <v>0</v>
      </c>
    </row>
    <row r="1787" spans="1:21" x14ac:dyDescent="0.25">
      <c r="A1787" t="s">
        <v>145</v>
      </c>
      <c r="B1787">
        <v>2020</v>
      </c>
      <c r="C1787" s="7">
        <f>'1_Du_lieu'!V248</f>
        <v>3.4626060097907989</v>
      </c>
      <c r="D1787" s="9">
        <f>'1_Du_lieu'!W248</f>
        <v>4.048300623720694</v>
      </c>
      <c r="E1787" s="9">
        <f>'1_Du_lieu'!L248</f>
        <v>2.6030000000000002</v>
      </c>
      <c r="F1787" s="9">
        <f>'1_Du_lieu'!M248</f>
        <v>22.69</v>
      </c>
      <c r="G1787" s="9">
        <f>'1_Du_lieu'!N248</f>
        <v>15.8</v>
      </c>
      <c r="H1787" s="9">
        <f>'1_Du_lieu'!X248</f>
        <v>0.63000227895541705</v>
      </c>
      <c r="I1787" s="9">
        <f>'1_Du_lieu'!T248</f>
        <v>0.5865102639296188</v>
      </c>
      <c r="J1787" s="9">
        <f>'1_Du_lieu'!Y248</f>
        <v>6.6849866573730008</v>
      </c>
      <c r="K1787" s="9">
        <f>'1_Du_lieu'!O248</f>
        <v>16.899999999999999</v>
      </c>
      <c r="L1787" s="5">
        <f t="shared" si="213"/>
        <v>1</v>
      </c>
      <c r="M1787" s="5">
        <f t="shared" si="214"/>
        <v>0</v>
      </c>
      <c r="N1787" s="5">
        <f t="shared" si="215"/>
        <v>0</v>
      </c>
      <c r="O1787" s="5">
        <f t="shared" si="216"/>
        <v>0</v>
      </c>
      <c r="P1787" s="5">
        <f t="shared" si="217"/>
        <v>0</v>
      </c>
      <c r="Q1787" s="5">
        <f>IF('1_Du_lieu'!C248="ĐBSH",1,0)</f>
        <v>0</v>
      </c>
      <c r="R1787" s="5">
        <f>IF('1_Du_lieu'!C248="BTB&amp;DHMT",1,0)</f>
        <v>0</v>
      </c>
      <c r="S1787" s="5">
        <f>IF('1_Du_lieu'!C248="ĐBSCL",1,0)</f>
        <v>1</v>
      </c>
      <c r="T1787" s="5">
        <f>IF('1_Du_lieu'!C248="TN",1,0)</f>
        <v>0</v>
      </c>
      <c r="U1787" s="5">
        <f>IF('1_Du_lieu'!C248="TDMNPB",1,0)</f>
        <v>0</v>
      </c>
    </row>
    <row r="1788" spans="1:21" x14ac:dyDescent="0.25">
      <c r="A1788" t="s">
        <v>146</v>
      </c>
      <c r="B1788">
        <v>2020</v>
      </c>
      <c r="C1788" s="7">
        <f>'1_Du_lieu'!V249</f>
        <v>3.7887247890836524</v>
      </c>
      <c r="D1788" s="9">
        <f>'1_Du_lieu'!W249</f>
        <v>4.6624952526073606</v>
      </c>
      <c r="E1788" s="9">
        <f>'1_Du_lieu'!L249</f>
        <v>6.6239999999999997</v>
      </c>
      <c r="F1788" s="9">
        <f>'1_Du_lieu'!M249</f>
        <v>29.97</v>
      </c>
      <c r="G1788" s="9">
        <f>'1_Du_lieu'!N249</f>
        <v>28.6</v>
      </c>
      <c r="H1788" s="9">
        <f>'1_Du_lieu'!X249</f>
        <v>2.9784778824002407</v>
      </c>
      <c r="I1788" s="9">
        <f>'1_Du_lieu'!T249</f>
        <v>0.76844262295081966</v>
      </c>
      <c r="J1788" s="9">
        <f>'1_Du_lieu'!Y249</f>
        <v>8.4123214451800639</v>
      </c>
      <c r="K1788" s="9">
        <f>'1_Du_lieu'!O249</f>
        <v>31.5</v>
      </c>
      <c r="L1788" s="5">
        <f t="shared" si="213"/>
        <v>1</v>
      </c>
      <c r="M1788" s="5">
        <f t="shared" si="214"/>
        <v>0</v>
      </c>
      <c r="N1788" s="5">
        <f t="shared" si="215"/>
        <v>0</v>
      </c>
      <c r="O1788" s="5">
        <f t="shared" si="216"/>
        <v>0</v>
      </c>
      <c r="P1788" s="5">
        <f t="shared" si="217"/>
        <v>0</v>
      </c>
      <c r="Q1788" s="5">
        <f>IF('1_Du_lieu'!C249="ĐBSH",1,0)</f>
        <v>1</v>
      </c>
      <c r="R1788" s="5">
        <f>IF('1_Du_lieu'!C249="BTB&amp;DHMT",1,0)</f>
        <v>0</v>
      </c>
      <c r="S1788" s="5">
        <f>IF('1_Du_lieu'!C249="ĐBSCL",1,0)</f>
        <v>0</v>
      </c>
      <c r="T1788" s="5">
        <f>IF('1_Du_lieu'!C249="TN",1,0)</f>
        <v>0</v>
      </c>
      <c r="U1788" s="5">
        <f>IF('1_Du_lieu'!C249="TDMNPB",1,0)</f>
        <v>0</v>
      </c>
    </row>
    <row r="1789" spans="1:21" x14ac:dyDescent="0.25">
      <c r="A1789" t="s">
        <v>147</v>
      </c>
      <c r="B1789">
        <v>2020</v>
      </c>
      <c r="C1789" s="7">
        <f>'1_Du_lieu'!V250</f>
        <v>3.535145354171894</v>
      </c>
      <c r="D1789" s="9">
        <f>'1_Du_lieu'!W250</f>
        <v>3.6863763238958178</v>
      </c>
      <c r="E1789" s="9">
        <f>'1_Du_lieu'!L250</f>
        <v>2.0760000000000001</v>
      </c>
      <c r="F1789" s="9">
        <f>'1_Du_lieu'!M250</f>
        <v>20.63</v>
      </c>
      <c r="G1789" s="9">
        <f>'1_Du_lieu'!N250</f>
        <v>19.100000000000001</v>
      </c>
      <c r="H1789" s="9">
        <f>'1_Du_lieu'!X250</f>
        <v>2.5107639346430943</v>
      </c>
      <c r="I1789" s="9">
        <f>'1_Du_lieu'!T250</f>
        <v>0.36075036075036077</v>
      </c>
      <c r="J1789" s="9">
        <f>'1_Du_lieu'!Y250</f>
        <v>6.1791881531909318</v>
      </c>
      <c r="K1789" s="9">
        <f>'1_Du_lieu'!O250</f>
        <v>12.2</v>
      </c>
      <c r="L1789" s="5">
        <f t="shared" si="213"/>
        <v>1</v>
      </c>
      <c r="M1789" s="5">
        <f t="shared" si="214"/>
        <v>0</v>
      </c>
      <c r="N1789" s="5">
        <f t="shared" si="215"/>
        <v>0</v>
      </c>
      <c r="O1789" s="5">
        <f t="shared" si="216"/>
        <v>0</v>
      </c>
      <c r="P1789" s="5">
        <f t="shared" si="217"/>
        <v>0</v>
      </c>
      <c r="Q1789" s="5">
        <f>IF('1_Du_lieu'!C250="ĐBSH",1,0)</f>
        <v>0</v>
      </c>
      <c r="R1789" s="5">
        <f>IF('1_Du_lieu'!C250="BTB&amp;DHMT",1,0)</f>
        <v>0</v>
      </c>
      <c r="S1789" s="5">
        <f>IF('1_Du_lieu'!C250="ĐBSCL",1,0)</f>
        <v>0</v>
      </c>
      <c r="T1789" s="5">
        <f>IF('1_Du_lieu'!C250="TN",1,0)</f>
        <v>0</v>
      </c>
      <c r="U1789" s="5">
        <f>IF('1_Du_lieu'!C250="TDMNPB",1,0)</f>
        <v>1</v>
      </c>
    </row>
    <row r="1790" spans="1:21" x14ac:dyDescent="0.25">
      <c r="A1790" t="s">
        <v>149</v>
      </c>
      <c r="B1790">
        <v>2020</v>
      </c>
      <c r="C1790" s="7">
        <f>'1_Du_lieu'!V252</f>
        <v>4.0673158898341812</v>
      </c>
      <c r="D1790" s="9">
        <f>'1_Du_lieu'!W252</f>
        <v>4.4863866499981242</v>
      </c>
      <c r="E1790" s="9">
        <f>'1_Du_lieu'!L252</f>
        <v>20.236000000000001</v>
      </c>
      <c r="F1790" s="9">
        <f>'1_Du_lieu'!M252</f>
        <v>87.25</v>
      </c>
      <c r="G1790" s="9">
        <f>'1_Du_lieu'!N252</f>
        <v>44</v>
      </c>
      <c r="H1790" s="9">
        <f>'1_Du_lieu'!X252</f>
        <v>3.2759808431445858</v>
      </c>
      <c r="I1790" s="9">
        <f>'1_Du_lieu'!T252</f>
        <v>6.7550235143223603</v>
      </c>
      <c r="J1790" s="9">
        <f>'1_Du_lieu'!Y252</f>
        <v>8.4658998970286863</v>
      </c>
      <c r="K1790" s="9">
        <f>'1_Du_lieu'!O252</f>
        <v>54.2</v>
      </c>
      <c r="L1790" s="5">
        <f t="shared" si="213"/>
        <v>1</v>
      </c>
      <c r="M1790" s="5">
        <f t="shared" si="214"/>
        <v>0</v>
      </c>
      <c r="N1790" s="5">
        <f t="shared" si="215"/>
        <v>0</v>
      </c>
      <c r="O1790" s="5">
        <f t="shared" si="216"/>
        <v>0</v>
      </c>
      <c r="P1790" s="5">
        <f t="shared" si="217"/>
        <v>0</v>
      </c>
      <c r="Q1790" s="5">
        <f>IF('1_Du_lieu'!C252="ĐBSH",1,0)</f>
        <v>0</v>
      </c>
      <c r="R1790" s="5">
        <f>IF('1_Du_lieu'!C252="BTB&amp;DHMT",1,0)</f>
        <v>1</v>
      </c>
      <c r="S1790" s="5">
        <f>IF('1_Du_lieu'!C252="ĐBSCL",1,0)</f>
        <v>0</v>
      </c>
      <c r="T1790" s="5">
        <f>IF('1_Du_lieu'!C252="TN",1,0)</f>
        <v>0</v>
      </c>
      <c r="U1790" s="5">
        <f>IF('1_Du_lieu'!C252="TDMNPB",1,0)</f>
        <v>0</v>
      </c>
    </row>
    <row r="1791" spans="1:21" x14ac:dyDescent="0.25">
      <c r="A1791" t="s">
        <v>150</v>
      </c>
      <c r="B1791">
        <v>2020</v>
      </c>
      <c r="C1791" s="7">
        <f>'1_Du_lieu'!V253</f>
        <v>3.5890591188317256</v>
      </c>
      <c r="D1791" s="9">
        <f>'1_Du_lieu'!W253</f>
        <v>3.8308129500026027</v>
      </c>
      <c r="E1791" s="9">
        <f>'1_Du_lieu'!L253</f>
        <v>3.5859999999999999</v>
      </c>
      <c r="F1791" s="9">
        <f>'1_Du_lieu'!M253</f>
        <v>24.72</v>
      </c>
      <c r="G1791" s="9">
        <f>'1_Du_lieu'!N253</f>
        <v>17.2</v>
      </c>
      <c r="H1791" s="9">
        <f>'1_Du_lieu'!X253</f>
        <v>2.25137268546117</v>
      </c>
      <c r="I1791" s="9">
        <f>'1_Du_lieu'!T253</f>
        <v>0.52996979172187186</v>
      </c>
      <c r="J1791" s="9">
        <f>'1_Du_lieu'!Y253</f>
        <v>5.0807830539983376</v>
      </c>
      <c r="K1791" s="9">
        <f>'1_Du_lieu'!O253</f>
        <v>23.2</v>
      </c>
      <c r="L1791" s="5">
        <f t="shared" si="213"/>
        <v>1</v>
      </c>
      <c r="M1791" s="5">
        <f t="shared" si="214"/>
        <v>0</v>
      </c>
      <c r="N1791" s="5">
        <f t="shared" si="215"/>
        <v>0</v>
      </c>
      <c r="O1791" s="5">
        <f t="shared" si="216"/>
        <v>0</v>
      </c>
      <c r="P1791" s="5">
        <f t="shared" si="217"/>
        <v>0</v>
      </c>
      <c r="Q1791" s="5">
        <f>IF('1_Du_lieu'!C253="ĐBSH",1,0)</f>
        <v>0</v>
      </c>
      <c r="R1791" s="5">
        <f>IF('1_Du_lieu'!C253="BTB&amp;DHMT",1,0)</f>
        <v>0</v>
      </c>
      <c r="S1791" s="5">
        <f>IF('1_Du_lieu'!C253="ĐBSCL",1,0)</f>
        <v>0</v>
      </c>
      <c r="T1791" s="5">
        <f>IF('1_Du_lieu'!C253="TN",1,0)</f>
        <v>1</v>
      </c>
      <c r="U1791" s="5">
        <f>IF('1_Du_lieu'!C253="TDMNPB",1,0)</f>
        <v>0</v>
      </c>
    </row>
    <row r="1792" spans="1:21" x14ac:dyDescent="0.25">
      <c r="A1792" t="s">
        <v>151</v>
      </c>
      <c r="B1792">
        <v>2020</v>
      </c>
      <c r="C1792" s="7">
        <f>'1_Du_lieu'!V254</f>
        <v>3.4781584227982836</v>
      </c>
      <c r="D1792" s="9">
        <f>'1_Du_lieu'!W254</f>
        <v>3.8732821771117156</v>
      </c>
      <c r="E1792" s="9">
        <f>'1_Du_lieu'!L254</f>
        <v>3.4820000000000002</v>
      </c>
      <c r="F1792" s="9">
        <f>'1_Du_lieu'!M254</f>
        <v>15.28</v>
      </c>
      <c r="G1792" s="9">
        <f>'1_Du_lieu'!N254</f>
        <v>14.3</v>
      </c>
      <c r="H1792" s="9">
        <f>'1_Du_lieu'!X254</f>
        <v>1.0246128398138439</v>
      </c>
      <c r="I1792" s="9">
        <f>'1_Du_lieu'!T254</f>
        <v>0.47029314939645711</v>
      </c>
      <c r="J1792" s="9">
        <f>'1_Du_lieu'!Y254</f>
        <v>5.5138318906977553</v>
      </c>
      <c r="K1792" s="9">
        <f>'1_Du_lieu'!O254</f>
        <v>25.3</v>
      </c>
      <c r="L1792" s="5">
        <f t="shared" si="213"/>
        <v>1</v>
      </c>
      <c r="M1792" s="5">
        <f t="shared" si="214"/>
        <v>0</v>
      </c>
      <c r="N1792" s="5">
        <f t="shared" si="215"/>
        <v>0</v>
      </c>
      <c r="O1792" s="5">
        <f t="shared" si="216"/>
        <v>0</v>
      </c>
      <c r="P1792" s="5">
        <f t="shared" si="217"/>
        <v>0</v>
      </c>
      <c r="Q1792" s="5">
        <f>IF('1_Du_lieu'!C254="ĐBSH",1,0)</f>
        <v>0</v>
      </c>
      <c r="R1792" s="5">
        <f>IF('1_Du_lieu'!C254="BTB&amp;DHMT",1,0)</f>
        <v>0</v>
      </c>
      <c r="S1792" s="5">
        <f>IF('1_Du_lieu'!C254="ĐBSCL",1,0)</f>
        <v>0</v>
      </c>
      <c r="T1792" s="5">
        <f>IF('1_Du_lieu'!C254="TN",1,0)</f>
        <v>1</v>
      </c>
      <c r="U1792" s="5">
        <f>IF('1_Du_lieu'!C254="TDMNPB",1,0)</f>
        <v>0</v>
      </c>
    </row>
    <row r="1793" spans="1:21" x14ac:dyDescent="0.25">
      <c r="A1793" t="s">
        <v>152</v>
      </c>
      <c r="B1793">
        <v>2020</v>
      </c>
      <c r="C1793" s="7">
        <f>'1_Du_lieu'!V255</f>
        <v>4.0055133485154846</v>
      </c>
      <c r="D1793" s="9">
        <f>'1_Du_lieu'!W255</f>
        <v>4.7458013157278369</v>
      </c>
      <c r="E1793" s="9">
        <f>'1_Du_lieu'!L255</f>
        <v>7.6379999999999999</v>
      </c>
      <c r="F1793" s="9">
        <f>'1_Du_lieu'!M255</f>
        <v>44.27</v>
      </c>
      <c r="G1793" s="9">
        <f>'1_Du_lieu'!N255</f>
        <v>22.5</v>
      </c>
      <c r="H1793" s="9">
        <f>'1_Du_lieu'!X255</f>
        <v>2.6366918656208997</v>
      </c>
      <c r="I1793" s="9">
        <f>'1_Du_lieu'!T255</f>
        <v>0.59797318562346569</v>
      </c>
      <c r="J1793" s="9">
        <f>'1_Du_lieu'!Y255</f>
        <v>9.2098302418819493</v>
      </c>
      <c r="K1793" s="9">
        <f>'1_Du_lieu'!O255</f>
        <v>25.5</v>
      </c>
      <c r="L1793" s="5">
        <f t="shared" si="213"/>
        <v>1</v>
      </c>
      <c r="M1793" s="5">
        <f t="shared" si="214"/>
        <v>0</v>
      </c>
      <c r="N1793" s="5">
        <f t="shared" si="215"/>
        <v>0</v>
      </c>
      <c r="O1793" s="5">
        <f t="shared" si="216"/>
        <v>0</v>
      </c>
      <c r="P1793" s="5">
        <f t="shared" si="217"/>
        <v>0</v>
      </c>
      <c r="Q1793" s="5">
        <f>IF('1_Du_lieu'!C255="ĐBSH",1,0)</f>
        <v>0</v>
      </c>
      <c r="R1793" s="5">
        <f>IF('1_Du_lieu'!C255="BTB&amp;DHMT",1,0)</f>
        <v>0</v>
      </c>
      <c r="S1793" s="5">
        <f>IF('1_Du_lieu'!C255="ĐBSCL",1,0)</f>
        <v>0</v>
      </c>
      <c r="T1793" s="5">
        <f>IF('1_Du_lieu'!C255="TN",1,0)</f>
        <v>0</v>
      </c>
      <c r="U1793" s="5">
        <f>IF('1_Du_lieu'!C255="TDMNPB",1,0)</f>
        <v>0</v>
      </c>
    </row>
    <row r="1794" spans="1:21" x14ac:dyDescent="0.25">
      <c r="A1794" t="s">
        <v>153</v>
      </c>
      <c r="B1794">
        <v>2020</v>
      </c>
      <c r="C1794" s="7">
        <f>'1_Du_lieu'!V256</f>
        <v>3.6532522764707851</v>
      </c>
      <c r="D1794" s="9">
        <f>'1_Du_lieu'!W256</f>
        <v>3.9778107459661491</v>
      </c>
      <c r="E1794" s="9">
        <f>'1_Du_lieu'!L256</f>
        <v>2.2570000000000001</v>
      </c>
      <c r="F1794" s="9">
        <f>'1_Du_lieu'!M256</f>
        <v>19.13</v>
      </c>
      <c r="G1794" s="9">
        <f>'1_Du_lieu'!N256</f>
        <v>15</v>
      </c>
      <c r="H1794" s="9">
        <f>'1_Du_lieu'!X256</f>
        <v>0.47662230242449244</v>
      </c>
      <c r="I1794" s="9">
        <f>'1_Du_lieu'!T256</f>
        <v>0.625</v>
      </c>
      <c r="J1794" s="9">
        <f>'1_Du_lieu'!Y256</f>
        <v>4.6876714074998347</v>
      </c>
      <c r="K1794" s="9">
        <f>'1_Du_lieu'!O256</f>
        <v>18.3</v>
      </c>
      <c r="L1794" s="5">
        <f t="shared" si="213"/>
        <v>1</v>
      </c>
      <c r="M1794" s="5">
        <f t="shared" si="214"/>
        <v>0</v>
      </c>
      <c r="N1794" s="5">
        <f t="shared" si="215"/>
        <v>0</v>
      </c>
      <c r="O1794" s="5">
        <f t="shared" si="216"/>
        <v>0</v>
      </c>
      <c r="P1794" s="5">
        <f t="shared" si="217"/>
        <v>0</v>
      </c>
      <c r="Q1794" s="5">
        <f>IF('1_Du_lieu'!C256="ĐBSH",1,0)</f>
        <v>0</v>
      </c>
      <c r="R1794" s="5">
        <f>IF('1_Du_lieu'!C256="BTB&amp;DHMT",1,0)</f>
        <v>0</v>
      </c>
      <c r="S1794" s="5">
        <f>IF('1_Du_lieu'!C256="ĐBSCL",1,0)</f>
        <v>1</v>
      </c>
      <c r="T1794" s="5">
        <f>IF('1_Du_lieu'!C256="TN",1,0)</f>
        <v>0</v>
      </c>
      <c r="U1794" s="5">
        <f>IF('1_Du_lieu'!C256="TDMNPB",1,0)</f>
        <v>0</v>
      </c>
    </row>
    <row r="1795" spans="1:21" x14ac:dyDescent="0.25">
      <c r="A1795" t="s">
        <v>85</v>
      </c>
      <c r="B1795">
        <v>2021</v>
      </c>
      <c r="C1795" s="7">
        <f>'1_Du_lieu'!V257</f>
        <v>1.6937790608678513</v>
      </c>
      <c r="D1795" s="9">
        <f>'1_Du_lieu'!W257</f>
        <v>3.8649313978942956</v>
      </c>
      <c r="E1795" s="9">
        <f>'1_Du_lieu'!L257</f>
        <v>2.5430000000000001</v>
      </c>
      <c r="F1795" s="9">
        <f>'1_Du_lieu'!M257</f>
        <v>33.83</v>
      </c>
      <c r="G1795" s="9">
        <f>'1_Du_lieu'!N257</f>
        <v>13.4</v>
      </c>
      <c r="H1795" s="9">
        <f>'1_Du_lieu'!X257</f>
        <v>1.4629474402226359</v>
      </c>
      <c r="I1795" s="9">
        <f>'1_Du_lieu'!T257</f>
        <v>0.47132757266300079</v>
      </c>
      <c r="J1795" s="9">
        <f>'1_Du_lieu'!Y257</f>
        <v>5.0388987593691148</v>
      </c>
      <c r="K1795" s="9">
        <f>'1_Du_lieu'!O257</f>
        <v>20.399999999999999</v>
      </c>
      <c r="L1795" s="5">
        <f t="shared" si="213"/>
        <v>0</v>
      </c>
      <c r="M1795" s="5">
        <f t="shared" si="214"/>
        <v>1</v>
      </c>
      <c r="N1795" s="5">
        <f t="shared" si="215"/>
        <v>0</v>
      </c>
      <c r="O1795" s="5">
        <f t="shared" si="216"/>
        <v>0</v>
      </c>
      <c r="P1795" s="5">
        <f t="shared" si="217"/>
        <v>0</v>
      </c>
      <c r="Q1795" s="5">
        <f>IF('1_Du_lieu'!C257="ĐBSH",1,0)</f>
        <v>0</v>
      </c>
      <c r="R1795" s="5">
        <f>IF('1_Du_lieu'!C257="BTB&amp;DHMT",1,0)</f>
        <v>0</v>
      </c>
      <c r="S1795" s="5">
        <f>IF('1_Du_lieu'!C257="ĐBSCL",1,0)</f>
        <v>1</v>
      </c>
      <c r="T1795" s="5">
        <f>IF('1_Du_lieu'!C257="TN",1,0)</f>
        <v>0</v>
      </c>
      <c r="U1795" s="5">
        <f>IF('1_Du_lieu'!C257="TDMNPB",1,0)</f>
        <v>0</v>
      </c>
    </row>
    <row r="1796" spans="1:21" x14ac:dyDescent="0.25">
      <c r="A1796" t="s">
        <v>87</v>
      </c>
      <c r="B1796">
        <v>2021</v>
      </c>
      <c r="C1796" s="7">
        <f>'1_Du_lieu'!V258</f>
        <v>2.3015845926604621</v>
      </c>
      <c r="D1796" s="9">
        <f>'1_Du_lieu'!W258</f>
        <v>5.6957503029589365</v>
      </c>
      <c r="E1796" s="9">
        <f>'1_Du_lieu'!L258</f>
        <v>9.6869999999999994</v>
      </c>
      <c r="F1796" s="9">
        <f>'1_Du_lieu'!M258</f>
        <v>58.4</v>
      </c>
      <c r="G1796" s="9">
        <f>'1_Du_lieu'!N258</f>
        <v>29.9</v>
      </c>
      <c r="H1796" s="9">
        <f>'1_Du_lieu'!X258</f>
        <v>1.9398671720527669</v>
      </c>
      <c r="I1796" s="9">
        <f>'1_Du_lieu'!T258</f>
        <v>1.1903749681149565</v>
      </c>
      <c r="J1796" s="9">
        <f>'1_Du_lieu'!Y258</f>
        <v>10.242531479525159</v>
      </c>
      <c r="K1796" s="9">
        <f>'1_Du_lieu'!O258</f>
        <v>28.5</v>
      </c>
      <c r="L1796" s="5">
        <f t="shared" si="213"/>
        <v>0</v>
      </c>
      <c r="M1796" s="5">
        <f t="shared" si="214"/>
        <v>1</v>
      </c>
      <c r="N1796" s="5">
        <f t="shared" si="215"/>
        <v>0</v>
      </c>
      <c r="O1796" s="5">
        <f t="shared" si="216"/>
        <v>0</v>
      </c>
      <c r="P1796" s="5">
        <f t="shared" si="217"/>
        <v>0</v>
      </c>
      <c r="Q1796" s="5">
        <f>IF('1_Du_lieu'!C258="ĐBSH",1,0)</f>
        <v>0</v>
      </c>
      <c r="R1796" s="5">
        <f>IF('1_Du_lieu'!C258="BTB&amp;DHMT",1,0)</f>
        <v>0</v>
      </c>
      <c r="S1796" s="5">
        <f>IF('1_Du_lieu'!C258="ĐBSCL",1,0)</f>
        <v>0</v>
      </c>
      <c r="T1796" s="5">
        <f>IF('1_Du_lieu'!C258="TN",1,0)</f>
        <v>0</v>
      </c>
      <c r="U1796" s="5">
        <f>IF('1_Du_lieu'!C258="TDMNPB",1,0)</f>
        <v>0</v>
      </c>
    </row>
    <row r="1797" spans="1:21" x14ac:dyDescent="0.25">
      <c r="A1797" t="s">
        <v>89</v>
      </c>
      <c r="B1797">
        <v>2021</v>
      </c>
      <c r="C1797" s="7">
        <f>'1_Du_lieu'!V259</f>
        <v>2.6919208191723265</v>
      </c>
      <c r="D1797" s="9">
        <f>'1_Du_lieu'!W259</f>
        <v>5.0587903359833026</v>
      </c>
      <c r="E1797" s="9">
        <f>'1_Du_lieu'!L259</f>
        <v>14.506</v>
      </c>
      <c r="F1797" s="9">
        <f>'1_Du_lieu'!M259</f>
        <v>84.32</v>
      </c>
      <c r="G1797" s="9">
        <f>'1_Du_lieu'!N259</f>
        <v>21</v>
      </c>
      <c r="H1797" s="9">
        <f>'1_Du_lieu'!X259</f>
        <v>3.1894784236488696</v>
      </c>
      <c r="I1797" s="9">
        <f>'1_Du_lieu'!T259</f>
        <v>0.65465187923598278</v>
      </c>
      <c r="J1797" s="9">
        <f>'1_Du_lieu'!Y259</f>
        <v>9.5856280198467356</v>
      </c>
      <c r="K1797" s="9">
        <f>'1_Du_lieu'!O259</f>
        <v>20.3</v>
      </c>
      <c r="L1797" s="5">
        <f t="shared" si="213"/>
        <v>0</v>
      </c>
      <c r="M1797" s="5">
        <f t="shared" si="214"/>
        <v>1</v>
      </c>
      <c r="N1797" s="5">
        <f t="shared" si="215"/>
        <v>0</v>
      </c>
      <c r="O1797" s="5">
        <f t="shared" si="216"/>
        <v>0</v>
      </c>
      <c r="P1797" s="5">
        <f t="shared" si="217"/>
        <v>0</v>
      </c>
      <c r="Q1797" s="5">
        <f>IF('1_Du_lieu'!C259="ĐBSH",1,0)</f>
        <v>0</v>
      </c>
      <c r="R1797" s="5">
        <f>IF('1_Du_lieu'!C259="BTB&amp;DHMT",1,0)</f>
        <v>0</v>
      </c>
      <c r="S1797" s="5">
        <f>IF('1_Du_lieu'!C259="ĐBSCL",1,0)</f>
        <v>0</v>
      </c>
      <c r="T1797" s="5">
        <f>IF('1_Du_lieu'!C259="TN",1,0)</f>
        <v>0</v>
      </c>
      <c r="U1797" s="5">
        <f>IF('1_Du_lieu'!C259="TDMNPB",1,0)</f>
        <v>0</v>
      </c>
    </row>
    <row r="1798" spans="1:21" x14ac:dyDescent="0.25">
      <c r="A1798" t="s">
        <v>90</v>
      </c>
      <c r="B1798">
        <v>2021</v>
      </c>
      <c r="C1798" s="7">
        <f>'1_Du_lieu'!V260</f>
        <v>1.6272778305624314</v>
      </c>
      <c r="D1798" s="9">
        <f>'1_Du_lieu'!W260</f>
        <v>4.3320482648676402</v>
      </c>
      <c r="E1798" s="9">
        <f>'1_Du_lieu'!L260</f>
        <v>6.069</v>
      </c>
      <c r="F1798" s="9">
        <f>'1_Du_lieu'!M260</f>
        <v>24.16</v>
      </c>
      <c r="G1798" s="9">
        <f>'1_Du_lieu'!N260</f>
        <v>19.2</v>
      </c>
      <c r="H1798" s="9">
        <f>'1_Du_lieu'!X260</f>
        <v>0.91400363148611896</v>
      </c>
      <c r="I1798" s="9">
        <f>'1_Du_lieu'!T260</f>
        <v>0.87864883334960475</v>
      </c>
      <c r="J1798" s="9">
        <f>'1_Du_lieu'!Y260</f>
        <v>8.2010842092241667</v>
      </c>
      <c r="K1798" s="9">
        <f>'1_Du_lieu'!O260</f>
        <v>19.7</v>
      </c>
      <c r="L1798" s="5">
        <f t="shared" si="213"/>
        <v>0</v>
      </c>
      <c r="M1798" s="5">
        <f t="shared" si="214"/>
        <v>1</v>
      </c>
      <c r="N1798" s="5">
        <f t="shared" si="215"/>
        <v>0</v>
      </c>
      <c r="O1798" s="5">
        <f t="shared" si="216"/>
        <v>0</v>
      </c>
      <c r="P1798" s="5">
        <f t="shared" si="217"/>
        <v>0</v>
      </c>
      <c r="Q1798" s="5">
        <f>IF('1_Du_lieu'!C260="ĐBSH",1,0)</f>
        <v>0</v>
      </c>
      <c r="R1798" s="5">
        <f>IF('1_Du_lieu'!C260="BTB&amp;DHMT",1,0)</f>
        <v>0</v>
      </c>
      <c r="S1798" s="5">
        <f>IF('1_Du_lieu'!C260="ĐBSCL",1,0)</f>
        <v>0</v>
      </c>
      <c r="T1798" s="5">
        <f>IF('1_Du_lieu'!C260="TN",1,0)</f>
        <v>0</v>
      </c>
      <c r="U1798" s="5">
        <f>IF('1_Du_lieu'!C260="TDMNPB",1,0)</f>
        <v>0</v>
      </c>
    </row>
    <row r="1799" spans="1:21" x14ac:dyDescent="0.25">
      <c r="A1799" t="s">
        <v>91</v>
      </c>
      <c r="B1799">
        <v>2021</v>
      </c>
      <c r="C1799" s="7">
        <f>'1_Du_lieu'!V261</f>
        <v>1.7613002617433464</v>
      </c>
      <c r="D1799" s="9">
        <f>'1_Du_lieu'!W261</f>
        <v>4.2959239356204701</v>
      </c>
      <c r="E1799" s="9">
        <f>'1_Du_lieu'!L261</f>
        <v>4.3860000000000001</v>
      </c>
      <c r="F1799" s="9">
        <f>'1_Du_lieu'!M261</f>
        <v>38.5</v>
      </c>
      <c r="G1799" s="9">
        <f>'1_Du_lieu'!N261</f>
        <v>18.3</v>
      </c>
      <c r="H1799" s="9">
        <f>'1_Du_lieu'!X261</f>
        <v>1.3082655913743744</v>
      </c>
      <c r="I1799" s="9">
        <f>'1_Du_lieu'!T261</f>
        <v>0.32095001203562545</v>
      </c>
      <c r="J1799" s="9">
        <f>'1_Du_lieu'!Y261</f>
        <v>8.0287485674318138</v>
      </c>
      <c r="K1799" s="9">
        <f>'1_Du_lieu'!O261</f>
        <v>21.9</v>
      </c>
      <c r="L1799" s="5">
        <f t="shared" si="213"/>
        <v>0</v>
      </c>
      <c r="M1799" s="5">
        <f t="shared" si="214"/>
        <v>1</v>
      </c>
      <c r="N1799" s="5">
        <f t="shared" si="215"/>
        <v>0</v>
      </c>
      <c r="O1799" s="5">
        <f t="shared" si="216"/>
        <v>0</v>
      </c>
      <c r="P1799" s="5">
        <f t="shared" si="217"/>
        <v>0</v>
      </c>
      <c r="Q1799" s="5">
        <f>IF('1_Du_lieu'!C261="ĐBSH",1,0)</f>
        <v>0</v>
      </c>
      <c r="R1799" s="5">
        <f>IF('1_Du_lieu'!C261="BTB&amp;DHMT",1,0)</f>
        <v>1</v>
      </c>
      <c r="S1799" s="5">
        <f>IF('1_Du_lieu'!C261="ĐBSCL",1,0)</f>
        <v>0</v>
      </c>
      <c r="T1799" s="5">
        <f>IF('1_Du_lieu'!C261="TN",1,0)</f>
        <v>0</v>
      </c>
      <c r="U1799" s="5">
        <f>IF('1_Du_lieu'!C261="TDMNPB",1,0)</f>
        <v>0</v>
      </c>
    </row>
    <row r="1800" spans="1:21" x14ac:dyDescent="0.25">
      <c r="A1800" t="s">
        <v>93</v>
      </c>
      <c r="B1800">
        <v>2021</v>
      </c>
      <c r="C1800" s="7">
        <f>'1_Du_lieu'!V262</f>
        <v>1.8453002361560848</v>
      </c>
      <c r="D1800" s="9">
        <f>'1_Du_lieu'!W262</f>
        <v>4.1541845625781173</v>
      </c>
      <c r="E1800" s="9">
        <f>'1_Du_lieu'!L262</f>
        <v>4.6790000000000003</v>
      </c>
      <c r="F1800" s="9">
        <f>'1_Du_lieu'!M262</f>
        <v>41.16</v>
      </c>
      <c r="G1800" s="9">
        <f>'1_Du_lieu'!N262</f>
        <v>25</v>
      </c>
      <c r="H1800" s="9">
        <f>'1_Du_lieu'!X262</f>
        <v>2.8253474112841697</v>
      </c>
      <c r="I1800" s="9">
        <f>'1_Du_lieu'!T262</f>
        <v>0.79559769276669101</v>
      </c>
      <c r="J1800" s="9">
        <f>'1_Du_lieu'!Y262</f>
        <v>6.6705128032884256</v>
      </c>
      <c r="K1800" s="9">
        <f>'1_Du_lieu'!O262</f>
        <v>26.1</v>
      </c>
      <c r="L1800" s="5">
        <f t="shared" si="213"/>
        <v>0</v>
      </c>
      <c r="M1800" s="5">
        <f t="shared" si="214"/>
        <v>1</v>
      </c>
      <c r="N1800" s="5">
        <f t="shared" si="215"/>
        <v>0</v>
      </c>
      <c r="O1800" s="5">
        <f t="shared" si="216"/>
        <v>0</v>
      </c>
      <c r="P1800" s="5">
        <f t="shared" si="217"/>
        <v>0</v>
      </c>
      <c r="Q1800" s="5">
        <f>IF('1_Du_lieu'!C262="ĐBSH",1,0)</f>
        <v>0</v>
      </c>
      <c r="R1800" s="5">
        <f>IF('1_Du_lieu'!C262="BTB&amp;DHMT",1,0)</f>
        <v>1</v>
      </c>
      <c r="S1800" s="5">
        <f>IF('1_Du_lieu'!C262="ĐBSCL",1,0)</f>
        <v>0</v>
      </c>
      <c r="T1800" s="5">
        <f>IF('1_Du_lieu'!C262="TN",1,0)</f>
        <v>0</v>
      </c>
      <c r="U1800" s="5">
        <f>IF('1_Du_lieu'!C262="TDMNPB",1,0)</f>
        <v>0</v>
      </c>
    </row>
    <row r="1801" spans="1:21" x14ac:dyDescent="0.25">
      <c r="A1801" t="s">
        <v>95</v>
      </c>
      <c r="B1801">
        <v>2021</v>
      </c>
      <c r="C1801" s="7">
        <f>'1_Du_lieu'!V264</f>
        <v>1.8578592709325787</v>
      </c>
      <c r="D1801" s="9">
        <f>'1_Du_lieu'!W264</f>
        <v>4.2527717988166192</v>
      </c>
      <c r="E1801" s="9">
        <f>'1_Du_lieu'!L264</f>
        <v>3.7949999999999999</v>
      </c>
      <c r="F1801" s="9">
        <f>'1_Du_lieu'!M264</f>
        <v>18.22</v>
      </c>
      <c r="G1801" s="9">
        <f>'1_Du_lieu'!N264</f>
        <v>26.7</v>
      </c>
      <c r="H1801" s="9">
        <f>'1_Du_lieu'!X264</f>
        <v>2.5595528323543606</v>
      </c>
      <c r="I1801" s="9">
        <f>'1_Du_lieu'!T264</f>
        <v>0.63993174061433444</v>
      </c>
      <c r="J1801" s="9">
        <f>'1_Du_lieu'!Y264</f>
        <v>8.4331156882250244</v>
      </c>
      <c r="K1801" s="9">
        <f>'1_Du_lieu'!O264</f>
        <v>20.7</v>
      </c>
      <c r="L1801" s="5">
        <f t="shared" si="213"/>
        <v>0</v>
      </c>
      <c r="M1801" s="5">
        <f t="shared" si="214"/>
        <v>1</v>
      </c>
      <c r="N1801" s="5">
        <f t="shared" si="215"/>
        <v>0</v>
      </c>
      <c r="O1801" s="5">
        <f t="shared" si="216"/>
        <v>0</v>
      </c>
      <c r="P1801" s="5">
        <f t="shared" si="217"/>
        <v>0</v>
      </c>
      <c r="Q1801" s="5">
        <f>IF('1_Du_lieu'!C264="ĐBSH",1,0)</f>
        <v>0</v>
      </c>
      <c r="R1801" s="5">
        <f>IF('1_Du_lieu'!C264="BTB&amp;DHMT",1,0)</f>
        <v>0</v>
      </c>
      <c r="S1801" s="5">
        <f>IF('1_Du_lieu'!C264="ĐBSCL",1,0)</f>
        <v>0</v>
      </c>
      <c r="T1801" s="5">
        <f>IF('1_Du_lieu'!C264="TN",1,0)</f>
        <v>0</v>
      </c>
      <c r="U1801" s="5">
        <f>IF('1_Du_lieu'!C264="TDMNPB",1,0)</f>
        <v>1</v>
      </c>
    </row>
    <row r="1802" spans="1:21" x14ac:dyDescent="0.25">
      <c r="A1802" t="s">
        <v>97</v>
      </c>
      <c r="B1802">
        <v>2021</v>
      </c>
      <c r="C1802" s="7">
        <f>'1_Du_lieu'!V265</f>
        <v>1.3812818192963463</v>
      </c>
      <c r="D1802" s="9">
        <f>'1_Du_lieu'!W265</f>
        <v>3.7495040759303713</v>
      </c>
      <c r="E1802" s="9">
        <f>'1_Du_lieu'!L265</f>
        <v>2.0230000000000001</v>
      </c>
      <c r="F1802" s="9">
        <f>'1_Du_lieu'!M265</f>
        <v>22.58</v>
      </c>
      <c r="G1802" s="9">
        <f>'1_Du_lieu'!N265</f>
        <v>27</v>
      </c>
      <c r="H1802" s="9">
        <f>'1_Du_lieu'!X265</f>
        <v>1.3645900193889404</v>
      </c>
      <c r="I1802" s="9">
        <f>'1_Du_lieu'!T265</f>
        <v>0.92678405931417984</v>
      </c>
      <c r="J1802" s="9">
        <f>'1_Du_lieu'!Y265</f>
        <v>3.2347491740244907</v>
      </c>
      <c r="K1802" s="9">
        <f>'1_Du_lieu'!O265</f>
        <v>19.3</v>
      </c>
      <c r="L1802" s="5">
        <f t="shared" si="213"/>
        <v>0</v>
      </c>
      <c r="M1802" s="5">
        <f t="shared" si="214"/>
        <v>1</v>
      </c>
      <c r="N1802" s="5">
        <f t="shared" si="215"/>
        <v>0</v>
      </c>
      <c r="O1802" s="5">
        <f t="shared" si="216"/>
        <v>0</v>
      </c>
      <c r="P1802" s="5">
        <f t="shared" si="217"/>
        <v>0</v>
      </c>
      <c r="Q1802" s="5">
        <f>IF('1_Du_lieu'!C265="ĐBSH",1,0)</f>
        <v>0</v>
      </c>
      <c r="R1802" s="5">
        <f>IF('1_Du_lieu'!C265="BTB&amp;DHMT",1,0)</f>
        <v>0</v>
      </c>
      <c r="S1802" s="5">
        <f>IF('1_Du_lieu'!C265="ĐBSCL",1,0)</f>
        <v>0</v>
      </c>
      <c r="T1802" s="5">
        <f>IF('1_Du_lieu'!C265="TN",1,0)</f>
        <v>0</v>
      </c>
      <c r="U1802" s="5">
        <f>IF('1_Du_lieu'!C265="TDMNPB",1,0)</f>
        <v>1</v>
      </c>
    </row>
    <row r="1803" spans="1:21" x14ac:dyDescent="0.25">
      <c r="A1803" t="s">
        <v>98</v>
      </c>
      <c r="B1803">
        <v>2021</v>
      </c>
      <c r="C1803" s="7">
        <f>'1_Du_lieu'!V266</f>
        <v>2.2417729535972883</v>
      </c>
      <c r="D1803" s="9">
        <f>'1_Du_lieu'!W266</f>
        <v>5.0606944939689926</v>
      </c>
      <c r="E1803" s="9">
        <f>'1_Du_lieu'!L266</f>
        <v>9.532</v>
      </c>
      <c r="F1803" s="9">
        <f>'1_Du_lieu'!M266</f>
        <v>36.65</v>
      </c>
      <c r="G1803" s="9">
        <f>'1_Du_lieu'!N266</f>
        <v>33.5</v>
      </c>
      <c r="H1803" s="9">
        <f>'1_Du_lieu'!X266</f>
        <v>2.5245111422255913</v>
      </c>
      <c r="I1803" s="9">
        <f>'1_Du_lieu'!T266</f>
        <v>1.914006425593</v>
      </c>
      <c r="J1803" s="9">
        <f>'1_Du_lieu'!Y266</f>
        <v>9.6402574133072587</v>
      </c>
      <c r="K1803" s="9">
        <f>'1_Du_lieu'!O266</f>
        <v>28.7</v>
      </c>
      <c r="L1803" s="5">
        <f t="shared" si="213"/>
        <v>0</v>
      </c>
      <c r="M1803" s="5">
        <f t="shared" si="214"/>
        <v>1</v>
      </c>
      <c r="N1803" s="5">
        <f t="shared" si="215"/>
        <v>0</v>
      </c>
      <c r="O1803" s="5">
        <f t="shared" si="216"/>
        <v>0</v>
      </c>
      <c r="P1803" s="5">
        <f t="shared" si="217"/>
        <v>0</v>
      </c>
      <c r="Q1803" s="5">
        <f>IF('1_Du_lieu'!C266="ĐBSH",1,0)</f>
        <v>1</v>
      </c>
      <c r="R1803" s="5">
        <f>IF('1_Du_lieu'!C266="BTB&amp;DHMT",1,0)</f>
        <v>0</v>
      </c>
      <c r="S1803" s="5">
        <f>IF('1_Du_lieu'!C266="ĐBSCL",1,0)</f>
        <v>0</v>
      </c>
      <c r="T1803" s="5">
        <f>IF('1_Du_lieu'!C266="TN",1,0)</f>
        <v>0</v>
      </c>
      <c r="U1803" s="5">
        <f>IF('1_Du_lieu'!C266="TDMNPB",1,0)</f>
        <v>0</v>
      </c>
    </row>
    <row r="1804" spans="1:21" x14ac:dyDescent="0.25">
      <c r="A1804" t="s">
        <v>100</v>
      </c>
      <c r="B1804">
        <v>2021</v>
      </c>
      <c r="C1804" s="7">
        <f>'1_Du_lieu'!V267</f>
        <v>1.8961194845522977</v>
      </c>
      <c r="D1804" s="9">
        <f>'1_Du_lieu'!W267</f>
        <v>3.7977338590260183</v>
      </c>
      <c r="E1804" s="9">
        <f>'1_Du_lieu'!L267</f>
        <v>2.68</v>
      </c>
      <c r="F1804" s="9">
        <f>'1_Du_lieu'!M267</f>
        <v>9.9</v>
      </c>
      <c r="G1804" s="9">
        <f>'1_Du_lieu'!N267</f>
        <v>12.9</v>
      </c>
      <c r="H1804" s="9">
        <f>'1_Du_lieu'!X267</f>
        <v>0.9859676841093088</v>
      </c>
      <c r="I1804" s="9">
        <f>'1_Du_lieu'!T267</f>
        <v>0.46307015512850197</v>
      </c>
      <c r="J1804" s="9">
        <f>'1_Du_lieu'!Y267</f>
        <v>7.1093891468084642</v>
      </c>
      <c r="K1804" s="9">
        <f>'1_Du_lieu'!O267</f>
        <v>14.6</v>
      </c>
      <c r="L1804" s="5">
        <f t="shared" si="213"/>
        <v>0</v>
      </c>
      <c r="M1804" s="5">
        <f t="shared" si="214"/>
        <v>1</v>
      </c>
      <c r="N1804" s="5">
        <f t="shared" si="215"/>
        <v>0</v>
      </c>
      <c r="O1804" s="5">
        <f t="shared" si="216"/>
        <v>0</v>
      </c>
      <c r="P1804" s="5">
        <f t="shared" si="217"/>
        <v>0</v>
      </c>
      <c r="Q1804" s="5">
        <f>IF('1_Du_lieu'!C267="ĐBSH",1,0)</f>
        <v>0</v>
      </c>
      <c r="R1804" s="5">
        <f>IF('1_Du_lieu'!C267="BTB&amp;DHMT",1,0)</f>
        <v>0</v>
      </c>
      <c r="S1804" s="5">
        <f>IF('1_Du_lieu'!C267="ĐBSCL",1,0)</f>
        <v>1</v>
      </c>
      <c r="T1804" s="5">
        <f>IF('1_Du_lieu'!C267="TN",1,0)</f>
        <v>0</v>
      </c>
      <c r="U1804" s="5">
        <f>IF('1_Du_lieu'!C267="TDMNPB",1,0)</f>
        <v>0</v>
      </c>
    </row>
    <row r="1805" spans="1:21" x14ac:dyDescent="0.25">
      <c r="A1805" t="s">
        <v>102</v>
      </c>
      <c r="B1805">
        <v>2021</v>
      </c>
      <c r="C1805" s="7">
        <f>'1_Du_lieu'!V269</f>
        <v>1.5432981099295553</v>
      </c>
      <c r="D1805" s="9">
        <f>'1_Du_lieu'!W269</f>
        <v>3.9473901492654373</v>
      </c>
      <c r="E1805" s="9">
        <f>'1_Du_lieu'!L269</f>
        <v>3.0270000000000001</v>
      </c>
      <c r="F1805" s="9">
        <f>'1_Du_lieu'!M269</f>
        <v>22.77</v>
      </c>
      <c r="G1805" s="9">
        <f>'1_Du_lieu'!N269</f>
        <v>14.1</v>
      </c>
      <c r="H1805" s="9">
        <f>'1_Du_lieu'!X269</f>
        <v>-0.51757679765672882</v>
      </c>
      <c r="I1805" s="9">
        <f>'1_Du_lieu'!T269</f>
        <v>0.5790866975512905</v>
      </c>
      <c r="J1805" s="9">
        <f>'1_Du_lieu'!Y269</f>
        <v>4.8790068516178193</v>
      </c>
      <c r="K1805" s="9">
        <f>'1_Du_lieu'!O269</f>
        <v>14.3</v>
      </c>
      <c r="L1805" s="5">
        <f t="shared" si="213"/>
        <v>0</v>
      </c>
      <c r="M1805" s="5">
        <f t="shared" si="214"/>
        <v>1</v>
      </c>
      <c r="N1805" s="5">
        <f t="shared" si="215"/>
        <v>0</v>
      </c>
      <c r="O1805" s="5">
        <f t="shared" si="216"/>
        <v>0</v>
      </c>
      <c r="P1805" s="5">
        <f t="shared" si="217"/>
        <v>0</v>
      </c>
      <c r="Q1805" s="5">
        <f>IF('1_Du_lieu'!C269="ĐBSH",1,0)</f>
        <v>0</v>
      </c>
      <c r="R1805" s="5">
        <f>IF('1_Du_lieu'!C269="BTB&amp;DHMT",1,0)</f>
        <v>0</v>
      </c>
      <c r="S1805" s="5">
        <f>IF('1_Du_lieu'!C269="ĐBSCL",1,0)</f>
        <v>1</v>
      </c>
      <c r="T1805" s="5">
        <f>IF('1_Du_lieu'!C269="TN",1,0)</f>
        <v>0</v>
      </c>
      <c r="U1805" s="5">
        <f>IF('1_Du_lieu'!C269="TDMNPB",1,0)</f>
        <v>0</v>
      </c>
    </row>
    <row r="1806" spans="1:21" x14ac:dyDescent="0.25">
      <c r="A1806" t="s">
        <v>103</v>
      </c>
      <c r="B1806">
        <v>2021</v>
      </c>
      <c r="C1806" s="7">
        <f>'1_Du_lieu'!V270</f>
        <v>2.150598735996164</v>
      </c>
      <c r="D1806" s="9">
        <f>'1_Du_lieu'!W270</f>
        <v>4.3027128279541564</v>
      </c>
      <c r="E1806" s="9">
        <f>'1_Du_lieu'!L270</f>
        <v>7.7160000000000002</v>
      </c>
      <c r="F1806" s="9">
        <f>'1_Du_lieu'!M270</f>
        <v>70.319999999999993</v>
      </c>
      <c r="G1806" s="9">
        <f>'1_Du_lieu'!N270</f>
        <v>24.2</v>
      </c>
      <c r="H1806" s="9">
        <f>'1_Du_lieu'!X270</f>
        <v>0.57766702451953889</v>
      </c>
      <c r="I1806" s="9">
        <f>'1_Du_lieu'!T270</f>
        <v>1.36327185244587</v>
      </c>
      <c r="J1806" s="9">
        <f>'1_Du_lieu'!Y270</f>
        <v>7.4068928629529367</v>
      </c>
      <c r="K1806" s="9">
        <f>'1_Du_lieu'!O270</f>
        <v>27.3</v>
      </c>
      <c r="L1806" s="5">
        <f t="shared" si="213"/>
        <v>0</v>
      </c>
      <c r="M1806" s="5">
        <f t="shared" si="214"/>
        <v>1</v>
      </c>
      <c r="N1806" s="5">
        <f t="shared" si="215"/>
        <v>0</v>
      </c>
      <c r="O1806" s="5">
        <f t="shared" si="216"/>
        <v>0</v>
      </c>
      <c r="P1806" s="5">
        <f t="shared" si="217"/>
        <v>0</v>
      </c>
      <c r="Q1806" s="5">
        <f>IF('1_Du_lieu'!C270="ĐBSH",1,0)</f>
        <v>0</v>
      </c>
      <c r="R1806" s="5">
        <f>IF('1_Du_lieu'!C270="BTB&amp;DHMT",1,0)</f>
        <v>0</v>
      </c>
      <c r="S1806" s="5">
        <f>IF('1_Du_lieu'!C270="ĐBSCL",1,0)</f>
        <v>1</v>
      </c>
      <c r="T1806" s="5">
        <f>IF('1_Du_lieu'!C270="TN",1,0)</f>
        <v>0</v>
      </c>
      <c r="U1806" s="5">
        <f>IF('1_Du_lieu'!C270="TDMNPB",1,0)</f>
        <v>0</v>
      </c>
    </row>
    <row r="1807" spans="1:21" x14ac:dyDescent="0.25">
      <c r="A1807" t="s">
        <v>104</v>
      </c>
      <c r="B1807">
        <v>2021</v>
      </c>
      <c r="C1807" s="7">
        <f>'1_Du_lieu'!V271</f>
        <v>1.6174060820832772</v>
      </c>
      <c r="D1807" s="9">
        <f>'1_Du_lieu'!W271</f>
        <v>3.8753590210565547</v>
      </c>
      <c r="E1807" s="9">
        <f>'1_Du_lieu'!L271</f>
        <v>3.081</v>
      </c>
      <c r="F1807" s="9">
        <f>'1_Du_lieu'!M271</f>
        <v>29.23</v>
      </c>
      <c r="G1807" s="9">
        <f>'1_Du_lieu'!N271</f>
        <v>15.9</v>
      </c>
      <c r="H1807" s="9">
        <f>'1_Du_lieu'!X271</f>
        <v>2.3241387380562166</v>
      </c>
      <c r="I1807" s="9">
        <f>'1_Du_lieu'!T271</f>
        <v>1.2104223737019812</v>
      </c>
      <c r="J1807" s="9">
        <f>'1_Du_lieu'!Y271</f>
        <v>2.6672282065819548</v>
      </c>
      <c r="K1807" s="9">
        <f>'1_Du_lieu'!O271</f>
        <v>16.3</v>
      </c>
      <c r="L1807" s="5">
        <f t="shared" si="213"/>
        <v>0</v>
      </c>
      <c r="M1807" s="5">
        <f t="shared" si="214"/>
        <v>1</v>
      </c>
      <c r="N1807" s="5">
        <f t="shared" si="215"/>
        <v>0</v>
      </c>
      <c r="O1807" s="5">
        <f t="shared" si="216"/>
        <v>0</v>
      </c>
      <c r="P1807" s="5">
        <f t="shared" si="217"/>
        <v>0</v>
      </c>
      <c r="Q1807" s="5">
        <f>IF('1_Du_lieu'!C271="ĐBSH",1,0)</f>
        <v>0</v>
      </c>
      <c r="R1807" s="5">
        <f>IF('1_Du_lieu'!C271="BTB&amp;DHMT",1,0)</f>
        <v>0</v>
      </c>
      <c r="S1807" s="5">
        <f>IF('1_Du_lieu'!C271="ĐBSCL",1,0)</f>
        <v>0</v>
      </c>
      <c r="T1807" s="5">
        <f>IF('1_Du_lieu'!C271="TN",1,0)</f>
        <v>1</v>
      </c>
      <c r="U1807" s="5">
        <f>IF('1_Du_lieu'!C271="TDMNPB",1,0)</f>
        <v>0</v>
      </c>
    </row>
    <row r="1808" spans="1:21" x14ac:dyDescent="0.25">
      <c r="A1808" t="s">
        <v>107</v>
      </c>
      <c r="B1808">
        <v>2021</v>
      </c>
      <c r="C1808" s="7">
        <f>'1_Du_lieu'!V273</f>
        <v>1.8733394562204779</v>
      </c>
      <c r="D1808" s="9">
        <f>'1_Du_lieu'!W273</f>
        <v>4.3307333402863311</v>
      </c>
      <c r="E1808" s="9">
        <f>'1_Du_lieu'!L273</f>
        <v>5.484</v>
      </c>
      <c r="F1808" s="9">
        <f>'1_Du_lieu'!M273</f>
        <v>27.98</v>
      </c>
      <c r="G1808" s="9">
        <f>'1_Du_lieu'!N273</f>
        <v>27.6</v>
      </c>
      <c r="H1808" s="9">
        <f>'1_Du_lieu'!X273</f>
        <v>2.7170211154674084</v>
      </c>
      <c r="I1808" s="9">
        <f>'1_Du_lieu'!T273</f>
        <v>1.0283363802559415</v>
      </c>
      <c r="J1808" s="9">
        <f>'1_Du_lieu'!Y273</f>
        <v>8.6293247318597643</v>
      </c>
      <c r="K1808" s="9">
        <f>'1_Du_lieu'!O273</f>
        <v>23.7</v>
      </c>
      <c r="L1808" s="5">
        <f t="shared" si="213"/>
        <v>0</v>
      </c>
      <c r="M1808" s="5">
        <f t="shared" si="214"/>
        <v>1</v>
      </c>
      <c r="N1808" s="5">
        <f t="shared" si="215"/>
        <v>0</v>
      </c>
      <c r="O1808" s="5">
        <f t="shared" si="216"/>
        <v>0</v>
      </c>
      <c r="P1808" s="5">
        <f t="shared" si="217"/>
        <v>0</v>
      </c>
      <c r="Q1808" s="5">
        <f>IF('1_Du_lieu'!C273="ĐBSH",1,0)</f>
        <v>1</v>
      </c>
      <c r="R1808" s="5">
        <f>IF('1_Du_lieu'!C273="BTB&amp;DHMT",1,0)</f>
        <v>0</v>
      </c>
      <c r="S1808" s="5">
        <f>IF('1_Du_lieu'!C273="ĐBSCL",1,0)</f>
        <v>0</v>
      </c>
      <c r="T1808" s="5">
        <f>IF('1_Du_lieu'!C273="TN",1,0)</f>
        <v>0</v>
      </c>
      <c r="U1808" s="5">
        <f>IF('1_Du_lieu'!C273="TDMNPB",1,0)</f>
        <v>0</v>
      </c>
    </row>
    <row r="1809" spans="1:21" x14ac:dyDescent="0.25">
      <c r="A1809" t="s">
        <v>108</v>
      </c>
      <c r="B1809">
        <v>2021</v>
      </c>
      <c r="C1809" s="7">
        <f>'1_Du_lieu'!V274</f>
        <v>4.0192617560977446</v>
      </c>
      <c r="D1809" s="9">
        <f>'1_Du_lieu'!W274</f>
        <v>4.8543712716215905</v>
      </c>
      <c r="E1809" s="9">
        <f>'1_Du_lieu'!L274</f>
        <v>21.425999999999998</v>
      </c>
      <c r="F1809" s="9">
        <f>'1_Du_lieu'!M274</f>
        <v>49.16</v>
      </c>
      <c r="G1809" s="9">
        <f>'1_Du_lieu'!N274</f>
        <v>50.3</v>
      </c>
      <c r="H1809" s="9">
        <f>'1_Du_lieu'!X274</f>
        <v>2.721267313647274</v>
      </c>
      <c r="I1809" s="9">
        <f>'1_Du_lieu'!T274</f>
        <v>1.8125510155087148</v>
      </c>
      <c r="J1809" s="9">
        <f>'1_Du_lieu'!Y274</f>
        <v>8.4145401184366513</v>
      </c>
      <c r="K1809" s="9">
        <f>'1_Du_lieu'!O274</f>
        <v>53.7</v>
      </c>
      <c r="L1809" s="5">
        <f t="shared" si="213"/>
        <v>0</v>
      </c>
      <c r="M1809" s="5">
        <f t="shared" si="214"/>
        <v>1</v>
      </c>
      <c r="N1809" s="5">
        <f t="shared" si="215"/>
        <v>0</v>
      </c>
      <c r="O1809" s="5">
        <f t="shared" si="216"/>
        <v>0</v>
      </c>
      <c r="P1809" s="5">
        <f t="shared" si="217"/>
        <v>0</v>
      </c>
      <c r="Q1809" s="5">
        <f>IF('1_Du_lieu'!C274="ĐBSH",1,0)</f>
        <v>1</v>
      </c>
      <c r="R1809" s="5">
        <f>IF('1_Du_lieu'!C274="BTB&amp;DHMT",1,0)</f>
        <v>0</v>
      </c>
      <c r="S1809" s="5">
        <f>IF('1_Du_lieu'!C274="ĐBSCL",1,0)</f>
        <v>0</v>
      </c>
      <c r="T1809" s="5">
        <f>IF('1_Du_lieu'!C274="TN",1,0)</f>
        <v>0</v>
      </c>
      <c r="U1809" s="5">
        <f>IF('1_Du_lieu'!C274="TDMNPB",1,0)</f>
        <v>0</v>
      </c>
    </row>
    <row r="1810" spans="1:21" x14ac:dyDescent="0.25">
      <c r="A1810" t="s">
        <v>109</v>
      </c>
      <c r="B1810">
        <v>2021</v>
      </c>
      <c r="C1810" s="7">
        <f>'1_Du_lieu'!V275</f>
        <v>1.7509374747077999</v>
      </c>
      <c r="D1810" s="9">
        <f>'1_Du_lieu'!W275</f>
        <v>4.2326561780196128</v>
      </c>
      <c r="E1810" s="9">
        <f>'1_Du_lieu'!L275</f>
        <v>3.956</v>
      </c>
      <c r="F1810" s="9">
        <f>'1_Du_lieu'!M275</f>
        <v>22.3</v>
      </c>
      <c r="G1810" s="9">
        <f>'1_Du_lieu'!N275</f>
        <v>30.5</v>
      </c>
      <c r="H1810" s="9">
        <f>'1_Du_lieu'!X275</f>
        <v>3.118856606735112</v>
      </c>
      <c r="I1810" s="9">
        <f>'1_Du_lieu'!T275</f>
        <v>0.38048854729472648</v>
      </c>
      <c r="J1810" s="9">
        <f>'1_Du_lieu'!Y275</f>
        <v>9.0976530809318952</v>
      </c>
      <c r="K1810" s="9">
        <f>'1_Du_lieu'!O275</f>
        <v>19.600000000000001</v>
      </c>
      <c r="L1810" s="5">
        <f t="shared" si="213"/>
        <v>0</v>
      </c>
      <c r="M1810" s="5">
        <f t="shared" si="214"/>
        <v>1</v>
      </c>
      <c r="N1810" s="5">
        <f t="shared" si="215"/>
        <v>0</v>
      </c>
      <c r="O1810" s="5">
        <f t="shared" si="216"/>
        <v>0</v>
      </c>
      <c r="P1810" s="5">
        <f t="shared" si="217"/>
        <v>0</v>
      </c>
      <c r="Q1810" s="5">
        <f>IF('1_Du_lieu'!C275="ĐBSH",1,0)</f>
        <v>0</v>
      </c>
      <c r="R1810" s="5">
        <f>IF('1_Du_lieu'!C275="BTB&amp;DHMT",1,0)</f>
        <v>1</v>
      </c>
      <c r="S1810" s="5">
        <f>IF('1_Du_lieu'!C275="ĐBSCL",1,0)</f>
        <v>0</v>
      </c>
      <c r="T1810" s="5">
        <f>IF('1_Du_lieu'!C275="TN",1,0)</f>
        <v>0</v>
      </c>
      <c r="U1810" s="5">
        <f>IF('1_Du_lieu'!C275="TDMNPB",1,0)</f>
        <v>0</v>
      </c>
    </row>
    <row r="1811" spans="1:21" x14ac:dyDescent="0.25">
      <c r="A1811" t="s">
        <v>110</v>
      </c>
      <c r="B1811">
        <v>2021</v>
      </c>
      <c r="C1811" s="7">
        <f>'1_Du_lieu'!V276</f>
        <v>1.5260563034950492</v>
      </c>
      <c r="D1811" s="9">
        <f>'1_Du_lieu'!W276</f>
        <v>4.0809215418899605</v>
      </c>
      <c r="E1811" s="9">
        <f>'1_Du_lieu'!L276</f>
        <v>3.05</v>
      </c>
      <c r="F1811" s="9">
        <f>'1_Du_lieu'!M276</f>
        <v>23.95</v>
      </c>
      <c r="G1811" s="9">
        <f>'1_Du_lieu'!N276</f>
        <v>23.6</v>
      </c>
      <c r="H1811" s="9">
        <f>'1_Du_lieu'!X276</f>
        <v>2.1568555115548667</v>
      </c>
      <c r="I1811" s="9">
        <f>'1_Du_lieu'!T276</f>
        <v>1.0324652976941608</v>
      </c>
      <c r="J1811" s="9">
        <f>'1_Du_lieu'!Y276</f>
        <v>6.717925606697861</v>
      </c>
      <c r="K1811" s="9">
        <f>'1_Du_lieu'!O276</f>
        <v>15</v>
      </c>
      <c r="L1811" s="5">
        <f t="shared" si="213"/>
        <v>0</v>
      </c>
      <c r="M1811" s="5">
        <f t="shared" si="214"/>
        <v>1</v>
      </c>
      <c r="N1811" s="5">
        <f t="shared" si="215"/>
        <v>0</v>
      </c>
      <c r="O1811" s="5">
        <f t="shared" si="216"/>
        <v>0</v>
      </c>
      <c r="P1811" s="5">
        <f t="shared" si="217"/>
        <v>0</v>
      </c>
      <c r="Q1811" s="5">
        <f>IF('1_Du_lieu'!C276="ĐBSH",1,0)</f>
        <v>0</v>
      </c>
      <c r="R1811" s="5">
        <f>IF('1_Du_lieu'!C276="BTB&amp;DHMT",1,0)</f>
        <v>0</v>
      </c>
      <c r="S1811" s="5">
        <f>IF('1_Du_lieu'!C276="ĐBSCL",1,0)</f>
        <v>0</v>
      </c>
      <c r="T1811" s="5">
        <f>IF('1_Du_lieu'!C276="TN",1,0)</f>
        <v>0</v>
      </c>
      <c r="U1811" s="5">
        <f>IF('1_Du_lieu'!C276="TDMNPB",1,0)</f>
        <v>1</v>
      </c>
    </row>
    <row r="1812" spans="1:21" x14ac:dyDescent="0.25">
      <c r="A1812" t="s">
        <v>111</v>
      </c>
      <c r="B1812">
        <v>2021</v>
      </c>
      <c r="C1812" s="7">
        <f>'1_Du_lieu'!V277</f>
        <v>1.9960599327407849</v>
      </c>
      <c r="D1812" s="9">
        <f>'1_Du_lieu'!W277</f>
        <v>4.4773368144782069</v>
      </c>
      <c r="E1812" s="9">
        <f>'1_Du_lieu'!L277</f>
        <v>6.48</v>
      </c>
      <c r="F1812" s="9">
        <f>'1_Du_lieu'!M277</f>
        <v>16.63</v>
      </c>
      <c r="G1812" s="9">
        <f>'1_Du_lieu'!N277</f>
        <v>26.7</v>
      </c>
      <c r="H1812" s="9">
        <f>'1_Du_lieu'!X277</f>
        <v>3.1871783524341519</v>
      </c>
      <c r="I1812" s="9">
        <f>'1_Du_lieu'!T277</f>
        <v>1.8682858477347037</v>
      </c>
      <c r="J1812" s="9">
        <f>'1_Du_lieu'!Y277</f>
        <v>8.4657314617916377</v>
      </c>
      <c r="K1812" s="9">
        <f>'1_Du_lieu'!O277</f>
        <v>31.1</v>
      </c>
      <c r="L1812" s="5">
        <f t="shared" si="213"/>
        <v>0</v>
      </c>
      <c r="M1812" s="5">
        <f t="shared" si="214"/>
        <v>1</v>
      </c>
      <c r="N1812" s="5">
        <f t="shared" si="215"/>
        <v>0</v>
      </c>
      <c r="O1812" s="5">
        <f t="shared" si="216"/>
        <v>0</v>
      </c>
      <c r="P1812" s="5">
        <f t="shared" si="217"/>
        <v>0</v>
      </c>
      <c r="Q1812" s="5">
        <f>IF('1_Du_lieu'!C277="ĐBSH",1,0)</f>
        <v>1</v>
      </c>
      <c r="R1812" s="5">
        <f>IF('1_Du_lieu'!C277="BTB&amp;DHMT",1,0)</f>
        <v>0</v>
      </c>
      <c r="S1812" s="5">
        <f>IF('1_Du_lieu'!C277="ĐBSCL",1,0)</f>
        <v>0</v>
      </c>
      <c r="T1812" s="5">
        <f>IF('1_Du_lieu'!C277="TN",1,0)</f>
        <v>0</v>
      </c>
      <c r="U1812" s="5">
        <f>IF('1_Du_lieu'!C277="TDMNPB",1,0)</f>
        <v>0</v>
      </c>
    </row>
    <row r="1813" spans="1:21" x14ac:dyDescent="0.25">
      <c r="A1813" t="s">
        <v>112</v>
      </c>
      <c r="B1813">
        <v>2021</v>
      </c>
      <c r="C1813" s="7">
        <f>'1_Du_lieu'!V278</f>
        <v>1.9169226121820611</v>
      </c>
      <c r="D1813" s="9">
        <f>'1_Du_lieu'!W278</f>
        <v>4.3476939555933765</v>
      </c>
      <c r="E1813" s="9">
        <f>'1_Du_lieu'!L278</f>
        <v>5.2279999999999998</v>
      </c>
      <c r="F1813" s="9">
        <f>'1_Du_lieu'!M278</f>
        <v>31.66</v>
      </c>
      <c r="G1813" s="9">
        <f>'1_Du_lieu'!N278</f>
        <v>30.4</v>
      </c>
      <c r="H1813" s="9">
        <f>'1_Du_lieu'!X278</f>
        <v>2.9528574324724923</v>
      </c>
      <c r="I1813" s="9">
        <f>'1_Du_lieu'!T278</f>
        <v>0.56794712928541924</v>
      </c>
      <c r="J1813" s="9">
        <f>'1_Du_lieu'!Y278</f>
        <v>8.4314174143948328</v>
      </c>
      <c r="K1813" s="9">
        <f>'1_Du_lieu'!O278</f>
        <v>35</v>
      </c>
      <c r="L1813" s="5">
        <f t="shared" si="213"/>
        <v>0</v>
      </c>
      <c r="M1813" s="5">
        <f t="shared" si="214"/>
        <v>1</v>
      </c>
      <c r="N1813" s="5">
        <f t="shared" si="215"/>
        <v>0</v>
      </c>
      <c r="O1813" s="5">
        <f t="shared" si="216"/>
        <v>0</v>
      </c>
      <c r="P1813" s="5">
        <f t="shared" si="217"/>
        <v>0</v>
      </c>
      <c r="Q1813" s="5">
        <f>IF('1_Du_lieu'!C278="ĐBSH",1,0)</f>
        <v>1</v>
      </c>
      <c r="R1813" s="5">
        <f>IF('1_Du_lieu'!C278="BTB&amp;DHMT",1,0)</f>
        <v>0</v>
      </c>
      <c r="S1813" s="5">
        <f>IF('1_Du_lieu'!C278="ĐBSCL",1,0)</f>
        <v>0</v>
      </c>
      <c r="T1813" s="5">
        <f>IF('1_Du_lieu'!C278="TN",1,0)</f>
        <v>0</v>
      </c>
      <c r="U1813" s="5">
        <f>IF('1_Du_lieu'!C278="TDMNPB",1,0)</f>
        <v>0</v>
      </c>
    </row>
    <row r="1814" spans="1:21" x14ac:dyDescent="0.25">
      <c r="A1814" t="s">
        <v>113</v>
      </c>
      <c r="B1814">
        <v>2021</v>
      </c>
      <c r="C1814" s="7">
        <f>'1_Du_lieu'!V279</f>
        <v>2.4078456036515385</v>
      </c>
      <c r="D1814" s="9">
        <f>'1_Du_lieu'!W279</f>
        <v>5.0179418692786939</v>
      </c>
      <c r="E1814" s="9">
        <f>'1_Du_lieu'!L279</f>
        <v>9.5570000000000004</v>
      </c>
      <c r="F1814" s="9">
        <f>'1_Du_lieu'!M279</f>
        <v>45.51</v>
      </c>
      <c r="G1814" s="9">
        <f>'1_Du_lieu'!N279</f>
        <v>36</v>
      </c>
      <c r="H1814" s="9">
        <f>'1_Du_lieu'!X279</f>
        <v>3.9155142980925031</v>
      </c>
      <c r="I1814" s="9">
        <f>'1_Du_lieu'!T279</f>
        <v>1.7853696197645244</v>
      </c>
      <c r="J1814" s="9">
        <f>'1_Du_lieu'!Y279</f>
        <v>9.3407719651828476</v>
      </c>
      <c r="K1814" s="9">
        <f>'1_Du_lieu'!O279</f>
        <v>32.6</v>
      </c>
      <c r="L1814" s="5">
        <f t="shared" si="213"/>
        <v>0</v>
      </c>
      <c r="M1814" s="5">
        <f t="shared" si="214"/>
        <v>1</v>
      </c>
      <c r="N1814" s="5">
        <f t="shared" si="215"/>
        <v>0</v>
      </c>
      <c r="O1814" s="5">
        <f t="shared" si="216"/>
        <v>0</v>
      </c>
      <c r="P1814" s="5">
        <f t="shared" si="217"/>
        <v>0</v>
      </c>
      <c r="Q1814" s="5">
        <f>IF('1_Du_lieu'!C279="ĐBSH",1,0)</f>
        <v>1</v>
      </c>
      <c r="R1814" s="5">
        <f>IF('1_Du_lieu'!C279="BTB&amp;DHMT",1,0)</f>
        <v>0</v>
      </c>
      <c r="S1814" s="5">
        <f>IF('1_Du_lieu'!C279="ĐBSCL",1,0)</f>
        <v>0</v>
      </c>
      <c r="T1814" s="5">
        <f>IF('1_Du_lieu'!C279="TN",1,0)</f>
        <v>0</v>
      </c>
      <c r="U1814" s="5">
        <f>IF('1_Du_lieu'!C279="TDMNPB",1,0)</f>
        <v>0</v>
      </c>
    </row>
    <row r="1815" spans="1:21" x14ac:dyDescent="0.25">
      <c r="A1815" t="s">
        <v>114</v>
      </c>
      <c r="B1815">
        <v>2021</v>
      </c>
      <c r="C1815" s="7">
        <f>'1_Du_lieu'!V280</f>
        <v>1.4929040961781488</v>
      </c>
      <c r="D1815" s="9">
        <f>'1_Du_lieu'!W280</f>
        <v>3.9963641538618968</v>
      </c>
      <c r="E1815" s="9">
        <f>'1_Du_lieu'!L280</f>
        <v>3.218</v>
      </c>
      <c r="F1815" s="9">
        <f>'1_Du_lieu'!M280</f>
        <v>29.14</v>
      </c>
      <c r="G1815" s="9">
        <f>'1_Du_lieu'!N280</f>
        <v>13.5</v>
      </c>
      <c r="H1815" s="9">
        <f>'1_Du_lieu'!X280</f>
        <v>1.1202516034301633</v>
      </c>
      <c r="I1815" s="9">
        <f>'1_Du_lieu'!T280</f>
        <v>0.68502534593779973</v>
      </c>
      <c r="J1815" s="9">
        <f>'1_Du_lieu'!Y280</f>
        <v>6.8469431395853793</v>
      </c>
      <c r="K1815" s="9">
        <f>'1_Du_lieu'!O280</f>
        <v>19</v>
      </c>
      <c r="L1815" s="5">
        <f t="shared" si="213"/>
        <v>0</v>
      </c>
      <c r="M1815" s="5">
        <f t="shared" si="214"/>
        <v>1</v>
      </c>
      <c r="N1815" s="5">
        <f t="shared" si="215"/>
        <v>0</v>
      </c>
      <c r="O1815" s="5">
        <f t="shared" si="216"/>
        <v>0</v>
      </c>
      <c r="P1815" s="5">
        <f t="shared" si="217"/>
        <v>0</v>
      </c>
      <c r="Q1815" s="5">
        <f>IF('1_Du_lieu'!C280="ĐBSH",1,0)</f>
        <v>0</v>
      </c>
      <c r="R1815" s="5">
        <f>IF('1_Du_lieu'!C280="BTB&amp;DHMT",1,0)</f>
        <v>0</v>
      </c>
      <c r="S1815" s="5">
        <f>IF('1_Du_lieu'!C280="ĐBSCL",1,0)</f>
        <v>1</v>
      </c>
      <c r="T1815" s="5">
        <f>IF('1_Du_lieu'!C280="TN",1,0)</f>
        <v>0</v>
      </c>
      <c r="U1815" s="5">
        <f>IF('1_Du_lieu'!C280="TDMNPB",1,0)</f>
        <v>0</v>
      </c>
    </row>
    <row r="1816" spans="1:21" x14ac:dyDescent="0.25">
      <c r="A1816" t="s">
        <v>115</v>
      </c>
      <c r="B1816">
        <v>2021</v>
      </c>
      <c r="C1816" s="7">
        <f>'1_Du_lieu'!V281</f>
        <v>2.2731562823032334</v>
      </c>
      <c r="D1816" s="9">
        <f>'1_Du_lieu'!W281</f>
        <v>4.1510399058986458</v>
      </c>
      <c r="E1816" s="9">
        <f>'1_Du_lieu'!L281</f>
        <v>8.9290000000000003</v>
      </c>
      <c r="F1816" s="9">
        <f>'1_Du_lieu'!M281</f>
        <v>42.36</v>
      </c>
      <c r="G1816" s="9">
        <f>'1_Du_lieu'!N281</f>
        <v>25.6</v>
      </c>
      <c r="H1816" s="9">
        <f>'1_Du_lieu'!X281</f>
        <v>2.6380438479329342</v>
      </c>
      <c r="I1816" s="9">
        <f>'1_Du_lieu'!T281</f>
        <v>3.2849931896482656</v>
      </c>
      <c r="J1816" s="9">
        <f>'1_Du_lieu'!Y281</f>
        <v>8.1667275015266778</v>
      </c>
      <c r="K1816" s="9">
        <f>'1_Du_lieu'!O281</f>
        <v>32.1</v>
      </c>
      <c r="L1816" s="5">
        <f t="shared" ref="L1816:L1879" si="218">IF(B1816=2020,1,0)</f>
        <v>0</v>
      </c>
      <c r="M1816" s="5">
        <f t="shared" ref="M1816:M1879" si="219">IF(B1816=2021,1,0)</f>
        <v>1</v>
      </c>
      <c r="N1816" s="5">
        <f t="shared" ref="N1816:N1879" si="220">IF(B1816=2022,1,0)</f>
        <v>0</v>
      </c>
      <c r="O1816" s="5">
        <f t="shared" ref="O1816:O1879" si="221">IF(B1816=2023,1,0)</f>
        <v>0</v>
      </c>
      <c r="P1816" s="5">
        <f t="shared" ref="P1816:P1879" si="222">IF(B1816=2024,1,0)</f>
        <v>0</v>
      </c>
      <c r="Q1816" s="5">
        <f>IF('1_Du_lieu'!C281="ĐBSH",1,0)</f>
        <v>0</v>
      </c>
      <c r="R1816" s="5">
        <f>IF('1_Du_lieu'!C281="BTB&amp;DHMT",1,0)</f>
        <v>1</v>
      </c>
      <c r="S1816" s="5">
        <f>IF('1_Du_lieu'!C281="ĐBSCL",1,0)</f>
        <v>0</v>
      </c>
      <c r="T1816" s="5">
        <f>IF('1_Du_lieu'!C281="TN",1,0)</f>
        <v>0</v>
      </c>
      <c r="U1816" s="5">
        <f>IF('1_Du_lieu'!C281="TDMNPB",1,0)</f>
        <v>0</v>
      </c>
    </row>
    <row r="1817" spans="1:21" x14ac:dyDescent="0.25">
      <c r="A1817" t="s">
        <v>116</v>
      </c>
      <c r="B1817">
        <v>2021</v>
      </c>
      <c r="C1817" s="7">
        <f>'1_Du_lieu'!V282</f>
        <v>1.7387102481382397</v>
      </c>
      <c r="D1817" s="9">
        <f>'1_Du_lieu'!W282</f>
        <v>4.0775374439057197</v>
      </c>
      <c r="E1817" s="9">
        <f>'1_Du_lieu'!L282</f>
        <v>4.6059999999999999</v>
      </c>
      <c r="F1817" s="9">
        <f>'1_Du_lieu'!M282</f>
        <v>28.79</v>
      </c>
      <c r="G1817" s="9">
        <f>'1_Du_lieu'!N282</f>
        <v>15.7</v>
      </c>
      <c r="H1817" s="9">
        <f>'1_Du_lieu'!X282</f>
        <v>0.18575873675573884</v>
      </c>
      <c r="I1817" s="9">
        <f>'1_Du_lieu'!T282</f>
        <v>3.6523426353934831</v>
      </c>
      <c r="J1817" s="9">
        <f>'1_Du_lieu'!Y282</f>
        <v>7.9174999234075516</v>
      </c>
      <c r="K1817" s="9">
        <f>'1_Du_lieu'!O282</f>
        <v>14.8</v>
      </c>
      <c r="L1817" s="5">
        <f t="shared" si="218"/>
        <v>0</v>
      </c>
      <c r="M1817" s="5">
        <f t="shared" si="219"/>
        <v>1</v>
      </c>
      <c r="N1817" s="5">
        <f t="shared" si="220"/>
        <v>0</v>
      </c>
      <c r="O1817" s="5">
        <f t="shared" si="221"/>
        <v>0</v>
      </c>
      <c r="P1817" s="5">
        <f t="shared" si="222"/>
        <v>0</v>
      </c>
      <c r="Q1817" s="5">
        <f>IF('1_Du_lieu'!C282="ĐBSH",1,0)</f>
        <v>0</v>
      </c>
      <c r="R1817" s="5">
        <f>IF('1_Du_lieu'!C282="BTB&amp;DHMT",1,0)</f>
        <v>0</v>
      </c>
      <c r="S1817" s="5">
        <f>IF('1_Du_lieu'!C282="ĐBSCL",1,0)</f>
        <v>1</v>
      </c>
      <c r="T1817" s="5">
        <f>IF('1_Du_lieu'!C282="TN",1,0)</f>
        <v>0</v>
      </c>
      <c r="U1817" s="5">
        <f>IF('1_Du_lieu'!C282="TDMNPB",1,0)</f>
        <v>0</v>
      </c>
    </row>
    <row r="1818" spans="1:21" x14ac:dyDescent="0.25">
      <c r="A1818" t="s">
        <v>117</v>
      </c>
      <c r="B1818">
        <v>2021</v>
      </c>
      <c r="C1818" s="7">
        <f>'1_Du_lieu'!V283</f>
        <v>1.5040773967762742</v>
      </c>
      <c r="D1818" s="9">
        <f>'1_Du_lieu'!W283</f>
        <v>3.8649313978942956</v>
      </c>
      <c r="E1818" s="9">
        <f>'1_Du_lieu'!L283</f>
        <v>3.4670000000000001</v>
      </c>
      <c r="F1818" s="9">
        <f>'1_Du_lieu'!M283</f>
        <v>32.58</v>
      </c>
      <c r="G1818" s="9">
        <f>'1_Du_lieu'!N283</f>
        <v>18.2</v>
      </c>
      <c r="H1818" s="9">
        <f>'1_Du_lieu'!X283</f>
        <v>2.391835522614858</v>
      </c>
      <c r="I1818" s="9">
        <f>'1_Du_lieu'!T283</f>
        <v>0.87904360056258801</v>
      </c>
      <c r="J1818" s="9">
        <f>'1_Du_lieu'!Y283</f>
        <v>6.0746561379947464</v>
      </c>
      <c r="K1818" s="9">
        <f>'1_Du_lieu'!O283</f>
        <v>26.5</v>
      </c>
      <c r="L1818" s="5">
        <f t="shared" si="218"/>
        <v>0</v>
      </c>
      <c r="M1818" s="5">
        <f t="shared" si="219"/>
        <v>1</v>
      </c>
      <c r="N1818" s="5">
        <f t="shared" si="220"/>
        <v>0</v>
      </c>
      <c r="O1818" s="5">
        <f t="shared" si="221"/>
        <v>0</v>
      </c>
      <c r="P1818" s="5">
        <f t="shared" si="222"/>
        <v>0</v>
      </c>
      <c r="Q1818" s="5">
        <f>IF('1_Du_lieu'!C283="ĐBSH",1,0)</f>
        <v>0</v>
      </c>
      <c r="R1818" s="5">
        <f>IF('1_Du_lieu'!C283="BTB&amp;DHMT",1,0)</f>
        <v>0</v>
      </c>
      <c r="S1818" s="5">
        <f>IF('1_Du_lieu'!C283="ĐBSCL",1,0)</f>
        <v>0</v>
      </c>
      <c r="T1818" s="5">
        <f>IF('1_Du_lieu'!C283="TN",1,0)</f>
        <v>1</v>
      </c>
      <c r="U1818" s="5">
        <f>IF('1_Du_lieu'!C283="TDMNPB",1,0)</f>
        <v>0</v>
      </c>
    </row>
    <row r="1819" spans="1:21" x14ac:dyDescent="0.25">
      <c r="A1819" t="s">
        <v>119</v>
      </c>
      <c r="B1819">
        <v>2021</v>
      </c>
      <c r="C1819" s="7">
        <f>'1_Du_lieu'!V285</f>
        <v>1.9906103279732201</v>
      </c>
      <c r="D1819" s="9">
        <f>'1_Du_lieu'!W285</f>
        <v>4.3807758527722287</v>
      </c>
      <c r="E1819" s="9">
        <f>'1_Du_lieu'!L285</f>
        <v>6.4249999999999998</v>
      </c>
      <c r="F1819" s="9">
        <f>'1_Du_lieu'!M285</f>
        <v>18.34</v>
      </c>
      <c r="G1819" s="9">
        <f>'1_Du_lieu'!N285</f>
        <v>15.1</v>
      </c>
      <c r="H1819" s="9">
        <f>'1_Du_lieu'!X285</f>
        <v>1.2550945693432973</v>
      </c>
      <c r="I1819" s="9">
        <f>'1_Du_lieu'!T285</f>
        <v>0.46355313477807392</v>
      </c>
      <c r="J1819" s="9">
        <f>'1_Du_lieu'!Y285</f>
        <v>8.8694262849274654</v>
      </c>
      <c r="K1819" s="9">
        <f>'1_Du_lieu'!O285</f>
        <v>21.6</v>
      </c>
      <c r="L1819" s="5">
        <f t="shared" si="218"/>
        <v>0</v>
      </c>
      <c r="M1819" s="5">
        <f t="shared" si="219"/>
        <v>1</v>
      </c>
      <c r="N1819" s="5">
        <f t="shared" si="220"/>
        <v>0</v>
      </c>
      <c r="O1819" s="5">
        <f t="shared" si="221"/>
        <v>0</v>
      </c>
      <c r="P1819" s="5">
        <f t="shared" si="222"/>
        <v>0</v>
      </c>
      <c r="Q1819" s="5">
        <f>IF('1_Du_lieu'!C285="ĐBSH",1,0)</f>
        <v>0</v>
      </c>
      <c r="R1819" s="5">
        <f>IF('1_Du_lieu'!C285="BTB&amp;DHMT",1,0)</f>
        <v>0</v>
      </c>
      <c r="S1819" s="5">
        <f>IF('1_Du_lieu'!C285="ĐBSCL",1,0)</f>
        <v>1</v>
      </c>
      <c r="T1819" s="5">
        <f>IF('1_Du_lieu'!C285="TN",1,0)</f>
        <v>0</v>
      </c>
      <c r="U1819" s="5">
        <f>IF('1_Du_lieu'!C285="TDMNPB",1,0)</f>
        <v>0</v>
      </c>
    </row>
    <row r="1820" spans="1:21" x14ac:dyDescent="0.25">
      <c r="A1820" t="s">
        <v>120</v>
      </c>
      <c r="B1820">
        <v>2021</v>
      </c>
      <c r="C1820" s="7">
        <f>'1_Du_lieu'!V286</f>
        <v>1.6014057407368361</v>
      </c>
      <c r="D1820" s="9">
        <f>'1_Du_lieu'!W286</f>
        <v>4.3094559418390466</v>
      </c>
      <c r="E1820" s="9">
        <f>'1_Du_lieu'!L286</f>
        <v>4.0060000000000002</v>
      </c>
      <c r="F1820" s="9">
        <f>'1_Du_lieu'!M286</f>
        <v>26.5</v>
      </c>
      <c r="G1820" s="9">
        <f>'1_Du_lieu'!N286</f>
        <v>24.6</v>
      </c>
      <c r="H1820" s="9">
        <f>'1_Du_lieu'!X286</f>
        <v>2.0605277435655931</v>
      </c>
      <c r="I1820" s="9">
        <f>'1_Du_lieu'!T286</f>
        <v>1.3125082031762698</v>
      </c>
      <c r="J1820" s="9">
        <f>'1_Du_lieu'!Y286</f>
        <v>6.6407904481190778</v>
      </c>
      <c r="K1820" s="9">
        <f>'1_Du_lieu'!O286</f>
        <v>16</v>
      </c>
      <c r="L1820" s="5">
        <f t="shared" si="218"/>
        <v>0</v>
      </c>
      <c r="M1820" s="5">
        <f t="shared" si="219"/>
        <v>1</v>
      </c>
      <c r="N1820" s="5">
        <f t="shared" si="220"/>
        <v>0</v>
      </c>
      <c r="O1820" s="5">
        <f t="shared" si="221"/>
        <v>0</v>
      </c>
      <c r="P1820" s="5">
        <f t="shared" si="222"/>
        <v>0</v>
      </c>
      <c r="Q1820" s="5">
        <f>IF('1_Du_lieu'!C286="ĐBSH",1,0)</f>
        <v>0</v>
      </c>
      <c r="R1820" s="5">
        <f>IF('1_Du_lieu'!C286="BTB&amp;DHMT",1,0)</f>
        <v>0</v>
      </c>
      <c r="S1820" s="5">
        <f>IF('1_Du_lieu'!C286="ĐBSCL",1,0)</f>
        <v>0</v>
      </c>
      <c r="T1820" s="5">
        <f>IF('1_Du_lieu'!C286="TN",1,0)</f>
        <v>0</v>
      </c>
      <c r="U1820" s="5">
        <f>IF('1_Du_lieu'!C286="TDMNPB",1,0)</f>
        <v>1</v>
      </c>
    </row>
    <row r="1821" spans="1:21" x14ac:dyDescent="0.25">
      <c r="A1821" t="s">
        <v>121</v>
      </c>
      <c r="B1821">
        <v>2021</v>
      </c>
      <c r="C1821" s="7">
        <f>'1_Du_lieu'!V287</f>
        <v>1.8946168546677629</v>
      </c>
      <c r="D1821" s="9">
        <f>'1_Du_lieu'!W287</f>
        <v>4.2046926193909657</v>
      </c>
      <c r="E1821" s="9">
        <f>'1_Du_lieu'!L287</f>
        <v>5.5830000000000002</v>
      </c>
      <c r="F1821" s="9">
        <f>'1_Du_lieu'!M287</f>
        <v>39.270000000000003</v>
      </c>
      <c r="G1821" s="9">
        <f>'1_Du_lieu'!N287</f>
        <v>20.5</v>
      </c>
      <c r="H1821" s="9">
        <f>'1_Du_lieu'!X287</f>
        <v>2.5688521867361809</v>
      </c>
      <c r="I1821" s="9">
        <f>'1_Du_lieu'!T287</f>
        <v>0.45389212497163173</v>
      </c>
      <c r="J1821" s="9">
        <f>'1_Du_lieu'!Y287</f>
        <v>5.9967008139032281</v>
      </c>
      <c r="K1821" s="9">
        <f>'1_Du_lieu'!O287</f>
        <v>29.8</v>
      </c>
      <c r="L1821" s="5">
        <f t="shared" si="218"/>
        <v>0</v>
      </c>
      <c r="M1821" s="5">
        <f t="shared" si="219"/>
        <v>1</v>
      </c>
      <c r="N1821" s="5">
        <f t="shared" si="220"/>
        <v>0</v>
      </c>
      <c r="O1821" s="5">
        <f t="shared" si="221"/>
        <v>0</v>
      </c>
      <c r="P1821" s="5">
        <f t="shared" si="222"/>
        <v>0</v>
      </c>
      <c r="Q1821" s="5">
        <f>IF('1_Du_lieu'!C287="ĐBSH",1,0)</f>
        <v>0</v>
      </c>
      <c r="R1821" s="5">
        <f>IF('1_Du_lieu'!C287="BTB&amp;DHMT",1,0)</f>
        <v>0</v>
      </c>
      <c r="S1821" s="5">
        <f>IF('1_Du_lieu'!C287="ĐBSCL",1,0)</f>
        <v>0</v>
      </c>
      <c r="T1821" s="5">
        <f>IF('1_Du_lieu'!C287="TN",1,0)</f>
        <v>1</v>
      </c>
      <c r="U1821" s="5">
        <f>IF('1_Du_lieu'!C287="TDMNPB",1,0)</f>
        <v>0</v>
      </c>
    </row>
    <row r="1822" spans="1:21" x14ac:dyDescent="0.25">
      <c r="A1822" t="s">
        <v>122</v>
      </c>
      <c r="B1822">
        <v>2021</v>
      </c>
      <c r="C1822" s="7">
        <f>'1_Du_lieu'!V288</f>
        <v>1.43746264769429</v>
      </c>
      <c r="D1822" s="9">
        <f>'1_Du_lieu'!W288</f>
        <v>3.8543938925915096</v>
      </c>
      <c r="E1822" s="9">
        <f>'1_Du_lieu'!L288</f>
        <v>2.786</v>
      </c>
      <c r="F1822" s="9">
        <f>'1_Du_lieu'!M288</f>
        <v>23.08</v>
      </c>
      <c r="G1822" s="9">
        <f>'1_Du_lieu'!N288</f>
        <v>27.8</v>
      </c>
      <c r="H1822" s="9">
        <f>'1_Du_lieu'!X288</f>
        <v>1.8667991908086079</v>
      </c>
      <c r="I1822" s="9">
        <f>'1_Du_lieu'!T288</f>
        <v>0.62743129627305805</v>
      </c>
      <c r="J1822" s="9">
        <f>'1_Du_lieu'!Y288</f>
        <v>5.7127422160276726</v>
      </c>
      <c r="K1822" s="9">
        <f>'1_Du_lieu'!O288</f>
        <v>16.899999999999999</v>
      </c>
      <c r="L1822" s="5">
        <f t="shared" si="218"/>
        <v>0</v>
      </c>
      <c r="M1822" s="5">
        <f t="shared" si="219"/>
        <v>1</v>
      </c>
      <c r="N1822" s="5">
        <f t="shared" si="220"/>
        <v>0</v>
      </c>
      <c r="O1822" s="5">
        <f t="shared" si="221"/>
        <v>0</v>
      </c>
      <c r="P1822" s="5">
        <f t="shared" si="222"/>
        <v>0</v>
      </c>
      <c r="Q1822" s="5">
        <f>IF('1_Du_lieu'!C288="ĐBSH",1,0)</f>
        <v>0</v>
      </c>
      <c r="R1822" s="5">
        <f>IF('1_Du_lieu'!C288="BTB&amp;DHMT",1,0)</f>
        <v>0</v>
      </c>
      <c r="S1822" s="5">
        <f>IF('1_Du_lieu'!C288="ĐBSCL",1,0)</f>
        <v>0</v>
      </c>
      <c r="T1822" s="5">
        <f>IF('1_Du_lieu'!C288="TN",1,0)</f>
        <v>0</v>
      </c>
      <c r="U1822" s="5">
        <f>IF('1_Du_lieu'!C288="TDMNPB",1,0)</f>
        <v>1</v>
      </c>
    </row>
    <row r="1823" spans="1:21" x14ac:dyDescent="0.25">
      <c r="A1823" t="s">
        <v>123</v>
      </c>
      <c r="B1823">
        <v>2021</v>
      </c>
      <c r="C1823" s="7">
        <f>'1_Du_lieu'!V289</f>
        <v>1.9065751436566365</v>
      </c>
      <c r="D1823" s="9">
        <f>'1_Du_lieu'!W289</f>
        <v>3.7954891891721947</v>
      </c>
      <c r="E1823" s="9">
        <f>'1_Du_lieu'!L289</f>
        <v>3.5150000000000001</v>
      </c>
      <c r="F1823" s="9">
        <f>'1_Du_lieu'!M289</f>
        <v>20.239999999999998</v>
      </c>
      <c r="G1823" s="9">
        <f>'1_Du_lieu'!N289</f>
        <v>22</v>
      </c>
      <c r="H1823" s="9">
        <f>'1_Du_lieu'!X289</f>
        <v>1.9256821973494891</v>
      </c>
      <c r="I1823" s="9">
        <f>'1_Du_lieu'!T289</f>
        <v>0.98023198823721613</v>
      </c>
      <c r="J1823" s="9">
        <f>'1_Du_lieu'!Y289</f>
        <v>7.5979480997156461</v>
      </c>
      <c r="K1823" s="9">
        <f>'1_Du_lieu'!O289</f>
        <v>17.2</v>
      </c>
      <c r="L1823" s="5">
        <f t="shared" si="218"/>
        <v>0</v>
      </c>
      <c r="M1823" s="5">
        <f t="shared" si="219"/>
        <v>1</v>
      </c>
      <c r="N1823" s="5">
        <f t="shared" si="220"/>
        <v>0</v>
      </c>
      <c r="O1823" s="5">
        <f t="shared" si="221"/>
        <v>0</v>
      </c>
      <c r="P1823" s="5">
        <f t="shared" si="222"/>
        <v>0</v>
      </c>
      <c r="Q1823" s="5">
        <f>IF('1_Du_lieu'!C289="ĐBSH",1,0)</f>
        <v>1</v>
      </c>
      <c r="R1823" s="5">
        <f>IF('1_Du_lieu'!C289="BTB&amp;DHMT",1,0)</f>
        <v>0</v>
      </c>
      <c r="S1823" s="5">
        <f>IF('1_Du_lieu'!C289="ĐBSCL",1,0)</f>
        <v>0</v>
      </c>
      <c r="T1823" s="5">
        <f>IF('1_Du_lieu'!C289="TN",1,0)</f>
        <v>0</v>
      </c>
      <c r="U1823" s="5">
        <f>IF('1_Du_lieu'!C289="TDMNPB",1,0)</f>
        <v>0</v>
      </c>
    </row>
    <row r="1824" spans="1:21" x14ac:dyDescent="0.25">
      <c r="A1824" t="s">
        <v>124</v>
      </c>
      <c r="B1824">
        <v>2021</v>
      </c>
      <c r="C1824" s="7">
        <f>'1_Du_lieu'!V290</f>
        <v>1.9021075263969205</v>
      </c>
      <c r="D1824" s="9">
        <f>'1_Du_lieu'!W290</f>
        <v>3.8329797980876932</v>
      </c>
      <c r="E1824" s="9">
        <f>'1_Du_lieu'!L290</f>
        <v>3.641</v>
      </c>
      <c r="F1824" s="9">
        <f>'1_Du_lieu'!M290</f>
        <v>15.53</v>
      </c>
      <c r="G1824" s="9">
        <f>'1_Du_lieu'!N290</f>
        <v>23.4</v>
      </c>
      <c r="H1824" s="9">
        <f>'1_Du_lieu'!X290</f>
        <v>3.5961360693583755</v>
      </c>
      <c r="I1824" s="9">
        <f>'1_Du_lieu'!T290</f>
        <v>3.0500322599565957</v>
      </c>
      <c r="J1824" s="9">
        <f>'1_Du_lieu'!Y290</f>
        <v>6.3645786249984866</v>
      </c>
      <c r="K1824" s="9">
        <f>'1_Du_lieu'!O290</f>
        <v>18.2</v>
      </c>
      <c r="L1824" s="5">
        <f t="shared" si="218"/>
        <v>0</v>
      </c>
      <c r="M1824" s="5">
        <f t="shared" si="219"/>
        <v>1</v>
      </c>
      <c r="N1824" s="5">
        <f t="shared" si="220"/>
        <v>0</v>
      </c>
      <c r="O1824" s="5">
        <f t="shared" si="221"/>
        <v>0</v>
      </c>
      <c r="P1824" s="5">
        <f t="shared" si="222"/>
        <v>0</v>
      </c>
      <c r="Q1824" s="5">
        <f>IF('1_Du_lieu'!C290="ĐBSH",1,0)</f>
        <v>0</v>
      </c>
      <c r="R1824" s="5">
        <f>IF('1_Du_lieu'!C290="BTB&amp;DHMT",1,0)</f>
        <v>1</v>
      </c>
      <c r="S1824" s="5">
        <f>IF('1_Du_lieu'!C290="ĐBSCL",1,0)</f>
        <v>0</v>
      </c>
      <c r="T1824" s="5">
        <f>IF('1_Du_lieu'!C290="TN",1,0)</f>
        <v>0</v>
      </c>
      <c r="U1824" s="5">
        <f>IF('1_Du_lieu'!C290="TDMNPB",1,0)</f>
        <v>0</v>
      </c>
    </row>
    <row r="1825" spans="1:21" x14ac:dyDescent="0.25">
      <c r="A1825" t="s">
        <v>125</v>
      </c>
      <c r="B1825">
        <v>2021</v>
      </c>
      <c r="C1825" s="7">
        <f>'1_Du_lieu'!V291</f>
        <v>1.8421356765531218</v>
      </c>
      <c r="D1825" s="9">
        <f>'1_Du_lieu'!W291</f>
        <v>4.2584455729025272</v>
      </c>
      <c r="E1825" s="9">
        <f>'1_Du_lieu'!L291</f>
        <v>4.7089999999999996</v>
      </c>
      <c r="F1825" s="9">
        <f>'1_Du_lieu'!M291</f>
        <v>21.49</v>
      </c>
      <c r="G1825" s="9">
        <f>'1_Du_lieu'!N291</f>
        <v>31.7</v>
      </c>
      <c r="H1825" s="9">
        <f>'1_Du_lieu'!X291</f>
        <v>3.2896017445069567</v>
      </c>
      <c r="I1825" s="9">
        <f>'1_Du_lieu'!T291</f>
        <v>4.1683207622072249</v>
      </c>
      <c r="J1825" s="9">
        <f>'1_Du_lieu'!Y291</f>
        <v>7.3622010093119234</v>
      </c>
      <c r="K1825" s="9">
        <f>'1_Du_lieu'!O291</f>
        <v>23.8</v>
      </c>
      <c r="L1825" s="5">
        <f t="shared" si="218"/>
        <v>0</v>
      </c>
      <c r="M1825" s="5">
        <f t="shared" si="219"/>
        <v>1</v>
      </c>
      <c r="N1825" s="5">
        <f t="shared" si="220"/>
        <v>0</v>
      </c>
      <c r="O1825" s="5">
        <f t="shared" si="221"/>
        <v>0</v>
      </c>
      <c r="P1825" s="5">
        <f t="shared" si="222"/>
        <v>0</v>
      </c>
      <c r="Q1825" s="5">
        <f>IF('1_Du_lieu'!C291="ĐBSH",1,0)</f>
        <v>1</v>
      </c>
      <c r="R1825" s="5">
        <f>IF('1_Du_lieu'!C291="BTB&amp;DHMT",1,0)</f>
        <v>0</v>
      </c>
      <c r="S1825" s="5">
        <f>IF('1_Du_lieu'!C291="ĐBSCL",1,0)</f>
        <v>0</v>
      </c>
      <c r="T1825" s="5">
        <f>IF('1_Du_lieu'!C291="TN",1,0)</f>
        <v>0</v>
      </c>
      <c r="U1825" s="5">
        <f>IF('1_Du_lieu'!C291="TDMNPB",1,0)</f>
        <v>0</v>
      </c>
    </row>
    <row r="1826" spans="1:21" x14ac:dyDescent="0.25">
      <c r="A1826" t="s">
        <v>126</v>
      </c>
      <c r="B1826">
        <v>2021</v>
      </c>
      <c r="C1826" s="7">
        <f>'1_Du_lieu'!V292</f>
        <v>1.6601310267496185</v>
      </c>
      <c r="D1826" s="9">
        <f>'1_Du_lieu'!W292</f>
        <v>4.2442003177664782</v>
      </c>
      <c r="E1826" s="9">
        <f>'1_Du_lieu'!L292</f>
        <v>4.72</v>
      </c>
      <c r="F1826" s="9">
        <f>'1_Du_lieu'!M292</f>
        <v>35.4</v>
      </c>
      <c r="G1826" s="9">
        <f>'1_Du_lieu'!N292</f>
        <v>18.8</v>
      </c>
      <c r="H1826" s="9">
        <f>'1_Du_lieu'!X292</f>
        <v>2.1183153309552241</v>
      </c>
      <c r="I1826" s="9">
        <f>'1_Du_lieu'!T292</f>
        <v>1.3422818791946309</v>
      </c>
      <c r="J1826" s="9">
        <f>'1_Du_lieu'!Y292</f>
        <v>7.9727418400005865</v>
      </c>
      <c r="K1826" s="9">
        <f>'1_Du_lieu'!O292</f>
        <v>18.899999999999999</v>
      </c>
      <c r="L1826" s="5">
        <f t="shared" si="218"/>
        <v>0</v>
      </c>
      <c r="M1826" s="5">
        <f t="shared" si="219"/>
        <v>1</v>
      </c>
      <c r="N1826" s="5">
        <f t="shared" si="220"/>
        <v>0</v>
      </c>
      <c r="O1826" s="5">
        <f t="shared" si="221"/>
        <v>0</v>
      </c>
      <c r="P1826" s="5">
        <f t="shared" si="222"/>
        <v>0</v>
      </c>
      <c r="Q1826" s="5">
        <f>IF('1_Du_lieu'!C292="ĐBSH",1,0)</f>
        <v>0</v>
      </c>
      <c r="R1826" s="5">
        <f>IF('1_Du_lieu'!C292="BTB&amp;DHMT",1,0)</f>
        <v>1</v>
      </c>
      <c r="S1826" s="5">
        <f>IF('1_Du_lieu'!C292="ĐBSCL",1,0)</f>
        <v>0</v>
      </c>
      <c r="T1826" s="5">
        <f>IF('1_Du_lieu'!C292="TN",1,0)</f>
        <v>0</v>
      </c>
      <c r="U1826" s="5">
        <f>IF('1_Du_lieu'!C292="TDMNPB",1,0)</f>
        <v>0</v>
      </c>
    </row>
    <row r="1827" spans="1:21" x14ac:dyDescent="0.25">
      <c r="A1827" t="s">
        <v>127</v>
      </c>
      <c r="B1827">
        <v>2021</v>
      </c>
      <c r="C1827" s="7">
        <f>'1_Du_lieu'!V293</f>
        <v>1.6639260977181702</v>
      </c>
      <c r="D1827" s="9">
        <f>'1_Du_lieu'!W293</f>
        <v>3.9889840465642745</v>
      </c>
      <c r="E1827" s="9">
        <f>'1_Du_lieu'!L293</f>
        <v>3.706</v>
      </c>
      <c r="F1827" s="9">
        <f>'1_Du_lieu'!M293</f>
        <v>19.100000000000001</v>
      </c>
      <c r="G1827" s="9">
        <f>'1_Du_lieu'!N293</f>
        <v>34.6</v>
      </c>
      <c r="H1827" s="9">
        <f>'1_Du_lieu'!X293</f>
        <v>2.9197104926673556</v>
      </c>
      <c r="I1827" s="9">
        <f>'1_Du_lieu'!T293</f>
        <v>1.2603648424543947</v>
      </c>
      <c r="J1827" s="9">
        <f>'1_Du_lieu'!Y293</f>
        <v>7.4587050538322819</v>
      </c>
      <c r="K1827" s="9">
        <f>'1_Du_lieu'!O293</f>
        <v>26</v>
      </c>
      <c r="L1827" s="5">
        <f t="shared" si="218"/>
        <v>0</v>
      </c>
      <c r="M1827" s="5">
        <f t="shared" si="219"/>
        <v>1</v>
      </c>
      <c r="N1827" s="5">
        <f t="shared" si="220"/>
        <v>0</v>
      </c>
      <c r="O1827" s="5">
        <f t="shared" si="221"/>
        <v>0</v>
      </c>
      <c r="P1827" s="5">
        <f t="shared" si="222"/>
        <v>0</v>
      </c>
      <c r="Q1827" s="5">
        <f>IF('1_Du_lieu'!C293="ĐBSH",1,0)</f>
        <v>0</v>
      </c>
      <c r="R1827" s="5">
        <f>IF('1_Du_lieu'!C293="BTB&amp;DHMT",1,0)</f>
        <v>0</v>
      </c>
      <c r="S1827" s="5">
        <f>IF('1_Du_lieu'!C293="ĐBSCL",1,0)</f>
        <v>0</v>
      </c>
      <c r="T1827" s="5">
        <f>IF('1_Du_lieu'!C293="TN",1,0)</f>
        <v>0</v>
      </c>
      <c r="U1827" s="5">
        <f>IF('1_Du_lieu'!C293="TDMNPB",1,0)</f>
        <v>1</v>
      </c>
    </row>
    <row r="1828" spans="1:21" x14ac:dyDescent="0.25">
      <c r="A1828" t="s">
        <v>128</v>
      </c>
      <c r="B1828">
        <v>2021</v>
      </c>
      <c r="C1828" s="7">
        <f>'1_Du_lieu'!V294</f>
        <v>1.6094379124341003</v>
      </c>
      <c r="D1828" s="9">
        <f>'1_Du_lieu'!W294</f>
        <v>3.9415818076696905</v>
      </c>
      <c r="E1828" s="9">
        <f>'1_Du_lieu'!L294</f>
        <v>3.5270000000000001</v>
      </c>
      <c r="F1828" s="9">
        <f>'1_Du_lieu'!M294</f>
        <v>32.700000000000003</v>
      </c>
      <c r="G1828" s="9">
        <f>'1_Du_lieu'!N294</f>
        <v>21.6</v>
      </c>
      <c r="H1828" s="9">
        <f>'1_Du_lieu'!X294</f>
        <v>2.4054776886278812</v>
      </c>
      <c r="I1828" s="9">
        <f>'1_Du_lieu'!T294</f>
        <v>0.45688178183894917</v>
      </c>
      <c r="J1828" s="9">
        <f>'1_Du_lieu'!Y294</f>
        <v>7.7521202712847028</v>
      </c>
      <c r="K1828" s="9">
        <f>'1_Du_lieu'!O294</f>
        <v>23.4</v>
      </c>
      <c r="L1828" s="5">
        <f t="shared" si="218"/>
        <v>0</v>
      </c>
      <c r="M1828" s="5">
        <f t="shared" si="219"/>
        <v>1</v>
      </c>
      <c r="N1828" s="5">
        <f t="shared" si="220"/>
        <v>0</v>
      </c>
      <c r="O1828" s="5">
        <f t="shared" si="221"/>
        <v>0</v>
      </c>
      <c r="P1828" s="5">
        <f t="shared" si="222"/>
        <v>0</v>
      </c>
      <c r="Q1828" s="5">
        <f>IF('1_Du_lieu'!C294="ĐBSH",1,0)</f>
        <v>0</v>
      </c>
      <c r="R1828" s="5">
        <f>IF('1_Du_lieu'!C294="BTB&amp;DHMT",1,0)</f>
        <v>1</v>
      </c>
      <c r="S1828" s="5">
        <f>IF('1_Du_lieu'!C294="ĐBSCL",1,0)</f>
        <v>0</v>
      </c>
      <c r="T1828" s="5">
        <f>IF('1_Du_lieu'!C294="TN",1,0)</f>
        <v>0</v>
      </c>
      <c r="U1828" s="5">
        <f>IF('1_Du_lieu'!C294="TDMNPB",1,0)</f>
        <v>0</v>
      </c>
    </row>
    <row r="1829" spans="1:21" x14ac:dyDescent="0.25">
      <c r="A1829" t="s">
        <v>129</v>
      </c>
      <c r="B1829">
        <v>2021</v>
      </c>
      <c r="C1829" s="7">
        <f>'1_Du_lieu'!V295</f>
        <v>1.6714733033535532</v>
      </c>
      <c r="D1829" s="9">
        <f>'1_Du_lieu'!W295</f>
        <v>3.8979240810486444</v>
      </c>
      <c r="E1829" s="9">
        <f>'1_Du_lieu'!L295</f>
        <v>5.1980000000000004</v>
      </c>
      <c r="F1829" s="9">
        <f>'1_Du_lieu'!M295</f>
        <v>23.07</v>
      </c>
      <c r="G1829" s="9">
        <f>'1_Du_lieu'!N295</f>
        <v>26.5</v>
      </c>
      <c r="H1829" s="9">
        <f>'1_Du_lieu'!X295</f>
        <v>3.2920270892288088</v>
      </c>
      <c r="I1829" s="9">
        <f>'1_Du_lieu'!T295</f>
        <v>0.87844515208081697</v>
      </c>
      <c r="J1829" s="9">
        <f>'1_Du_lieu'!Y295</f>
        <v>7.1121644322400961</v>
      </c>
      <c r="K1829" s="9">
        <f>'1_Du_lieu'!O295</f>
        <v>17.100000000000001</v>
      </c>
      <c r="L1829" s="5">
        <f t="shared" si="218"/>
        <v>0</v>
      </c>
      <c r="M1829" s="5">
        <f t="shared" si="219"/>
        <v>1</v>
      </c>
      <c r="N1829" s="5">
        <f t="shared" si="220"/>
        <v>0</v>
      </c>
      <c r="O1829" s="5">
        <f t="shared" si="221"/>
        <v>0</v>
      </c>
      <c r="P1829" s="5">
        <f t="shared" si="222"/>
        <v>0</v>
      </c>
      <c r="Q1829" s="5">
        <f>IF('1_Du_lieu'!C295="ĐBSH",1,0)</f>
        <v>0</v>
      </c>
      <c r="R1829" s="5">
        <f>IF('1_Du_lieu'!C295="BTB&amp;DHMT",1,0)</f>
        <v>1</v>
      </c>
      <c r="S1829" s="5">
        <f>IF('1_Du_lieu'!C295="ĐBSCL",1,0)</f>
        <v>0</v>
      </c>
      <c r="T1829" s="5">
        <f>IF('1_Du_lieu'!C295="TN",1,0)</f>
        <v>0</v>
      </c>
      <c r="U1829" s="5">
        <f>IF('1_Du_lieu'!C295="TDMNPB",1,0)</f>
        <v>0</v>
      </c>
    </row>
    <row r="1830" spans="1:21" x14ac:dyDescent="0.25">
      <c r="A1830" t="s">
        <v>130</v>
      </c>
      <c r="B1830">
        <v>2021</v>
      </c>
      <c r="C1830" s="7">
        <f>'1_Du_lieu'!V296</f>
        <v>1.8325814637483102</v>
      </c>
      <c r="D1830" s="9">
        <f>'1_Du_lieu'!W296</f>
        <v>4.2456340097683265</v>
      </c>
      <c r="E1830" s="9">
        <f>'1_Du_lieu'!L296</f>
        <v>5.2060000000000004</v>
      </c>
      <c r="F1830" s="9">
        <f>'1_Du_lieu'!M296</f>
        <v>26.43</v>
      </c>
      <c r="G1830" s="9">
        <f>'1_Du_lieu'!N296</f>
        <v>26.6</v>
      </c>
      <c r="H1830" s="9">
        <f>'1_Du_lieu'!X296</f>
        <v>2.2978653786368319</v>
      </c>
      <c r="I1830" s="9">
        <f>'1_Du_lieu'!T296</f>
        <v>0.26341784655910438</v>
      </c>
      <c r="J1830" s="9">
        <f>'1_Du_lieu'!Y296</f>
        <v>8.29172193309285</v>
      </c>
      <c r="K1830" s="9">
        <f>'1_Du_lieu'!O296</f>
        <v>23.3</v>
      </c>
      <c r="L1830" s="5">
        <f t="shared" si="218"/>
        <v>0</v>
      </c>
      <c r="M1830" s="5">
        <f t="shared" si="219"/>
        <v>1</v>
      </c>
      <c r="N1830" s="5">
        <f t="shared" si="220"/>
        <v>0</v>
      </c>
      <c r="O1830" s="5">
        <f t="shared" si="221"/>
        <v>0</v>
      </c>
      <c r="P1830" s="5">
        <f t="shared" si="222"/>
        <v>0</v>
      </c>
      <c r="Q1830" s="5">
        <f>IF('1_Du_lieu'!C296="ĐBSH",1,0)</f>
        <v>0</v>
      </c>
      <c r="R1830" s="5">
        <f>IF('1_Du_lieu'!C296="BTB&amp;DHMT",1,0)</f>
        <v>1</v>
      </c>
      <c r="S1830" s="5">
        <f>IF('1_Du_lieu'!C296="ĐBSCL",1,0)</f>
        <v>0</v>
      </c>
      <c r="T1830" s="5">
        <f>IF('1_Du_lieu'!C296="TN",1,0)</f>
        <v>0</v>
      </c>
      <c r="U1830" s="5">
        <f>IF('1_Du_lieu'!C296="TDMNPB",1,0)</f>
        <v>0</v>
      </c>
    </row>
    <row r="1831" spans="1:21" x14ac:dyDescent="0.25">
      <c r="A1831" t="s">
        <v>131</v>
      </c>
      <c r="B1831">
        <v>2021</v>
      </c>
      <c r="C1831" s="7">
        <f>'1_Du_lieu'!V297</f>
        <v>1.7101878155342434</v>
      </c>
      <c r="D1831" s="9">
        <f>'1_Du_lieu'!W297</f>
        <v>4.4006030202468169</v>
      </c>
      <c r="E1831" s="9">
        <f>'1_Du_lieu'!L297</f>
        <v>4.3529999999999998</v>
      </c>
      <c r="F1831" s="9">
        <f>'1_Du_lieu'!M297</f>
        <v>21.12</v>
      </c>
      <c r="G1831" s="9">
        <f>'1_Du_lieu'!N297</f>
        <v>26.1</v>
      </c>
      <c r="H1831" s="9">
        <f>'1_Du_lieu'!X297</f>
        <v>2.0659680114008911</v>
      </c>
      <c r="I1831" s="9">
        <f>'1_Du_lieu'!T297</f>
        <v>0.80379390724218314</v>
      </c>
      <c r="J1831" s="9">
        <f>'1_Du_lieu'!Y297</f>
        <v>7.3976840770351426</v>
      </c>
      <c r="K1831" s="9">
        <f>'1_Du_lieu'!O297</f>
        <v>22.2</v>
      </c>
      <c r="L1831" s="5">
        <f t="shared" si="218"/>
        <v>0</v>
      </c>
      <c r="M1831" s="5">
        <f t="shared" si="219"/>
        <v>1</v>
      </c>
      <c r="N1831" s="5">
        <f t="shared" si="220"/>
        <v>0</v>
      </c>
      <c r="O1831" s="5">
        <f t="shared" si="221"/>
        <v>0</v>
      </c>
      <c r="P1831" s="5">
        <f t="shared" si="222"/>
        <v>0</v>
      </c>
      <c r="Q1831" s="5">
        <f>IF('1_Du_lieu'!C297="ĐBSH",1,0)</f>
        <v>0</v>
      </c>
      <c r="R1831" s="5">
        <f>IF('1_Du_lieu'!C297="BTB&amp;DHMT",1,0)</f>
        <v>1</v>
      </c>
      <c r="S1831" s="5">
        <f>IF('1_Du_lieu'!C297="ĐBSCL",1,0)</f>
        <v>0</v>
      </c>
      <c r="T1831" s="5">
        <f>IF('1_Du_lieu'!C297="TN",1,0)</f>
        <v>0</v>
      </c>
      <c r="U1831" s="5">
        <f>IF('1_Du_lieu'!C297="TDMNPB",1,0)</f>
        <v>0</v>
      </c>
    </row>
    <row r="1832" spans="1:21" x14ac:dyDescent="0.25">
      <c r="A1832" t="s">
        <v>132</v>
      </c>
      <c r="B1832">
        <v>2021</v>
      </c>
      <c r="C1832" s="7">
        <f>'1_Du_lieu'!V298</f>
        <v>2.0819384218784229</v>
      </c>
      <c r="D1832" s="9">
        <f>'1_Du_lieu'!W298</f>
        <v>5.136974216139274</v>
      </c>
      <c r="E1832" s="9">
        <f>'1_Du_lieu'!L298</f>
        <v>7.0090000000000003</v>
      </c>
      <c r="F1832" s="9">
        <f>'1_Du_lieu'!M298</f>
        <v>67.36</v>
      </c>
      <c r="G1832" s="9">
        <f>'1_Du_lieu'!N298</f>
        <v>41.4</v>
      </c>
      <c r="H1832" s="9">
        <f>'1_Du_lieu'!X298</f>
        <v>3.5549651462729521</v>
      </c>
      <c r="I1832" s="9">
        <f>'1_Du_lieu'!T298</f>
        <v>2.517026946994374</v>
      </c>
      <c r="J1832" s="9">
        <f>'1_Du_lieu'!Y298</f>
        <v>8.6803998843505106</v>
      </c>
      <c r="K1832" s="9">
        <f>'1_Du_lieu'!O298</f>
        <v>25.3</v>
      </c>
      <c r="L1832" s="5">
        <f t="shared" si="218"/>
        <v>0</v>
      </c>
      <c r="M1832" s="5">
        <f t="shared" si="219"/>
        <v>1</v>
      </c>
      <c r="N1832" s="5">
        <f t="shared" si="220"/>
        <v>0</v>
      </c>
      <c r="O1832" s="5">
        <f t="shared" si="221"/>
        <v>0</v>
      </c>
      <c r="P1832" s="5">
        <f t="shared" si="222"/>
        <v>0</v>
      </c>
      <c r="Q1832" s="5">
        <f>IF('1_Du_lieu'!C298="ĐBSH",1,0)</f>
        <v>1</v>
      </c>
      <c r="R1832" s="5">
        <f>IF('1_Du_lieu'!C298="BTB&amp;DHMT",1,0)</f>
        <v>0</v>
      </c>
      <c r="S1832" s="5">
        <f>IF('1_Du_lieu'!C298="ĐBSCL",1,0)</f>
        <v>0</v>
      </c>
      <c r="T1832" s="5">
        <f>IF('1_Du_lieu'!C298="TN",1,0)</f>
        <v>0</v>
      </c>
      <c r="U1832" s="5">
        <f>IF('1_Du_lieu'!C298="TDMNPB",1,0)</f>
        <v>0</v>
      </c>
    </row>
    <row r="1833" spans="1:21" x14ac:dyDescent="0.25">
      <c r="A1833" t="s">
        <v>133</v>
      </c>
      <c r="B1833">
        <v>2021</v>
      </c>
      <c r="C1833" s="7">
        <f>'1_Du_lieu'!V299</f>
        <v>1.6863989535702288</v>
      </c>
      <c r="D1833" s="9">
        <f>'1_Du_lieu'!W299</f>
        <v>4.0587173845789497</v>
      </c>
      <c r="E1833" s="9">
        <f>'1_Du_lieu'!L299</f>
        <v>4.7220000000000004</v>
      </c>
      <c r="F1833" s="9">
        <f>'1_Du_lieu'!M299</f>
        <v>32.57</v>
      </c>
      <c r="G1833" s="9">
        <f>'1_Du_lieu'!N299</f>
        <v>27.7</v>
      </c>
      <c r="H1833" s="9">
        <f>'1_Du_lieu'!X299</f>
        <v>2.8465361105571962</v>
      </c>
      <c r="I1833" s="9">
        <f>'1_Du_lieu'!T299</f>
        <v>3.3961099104661931</v>
      </c>
      <c r="J1833" s="9">
        <f>'1_Du_lieu'!Y299</f>
        <v>8.2691420043958423</v>
      </c>
      <c r="K1833" s="9">
        <f>'1_Du_lieu'!O299</f>
        <v>26.3</v>
      </c>
      <c r="L1833" s="5">
        <f t="shared" si="218"/>
        <v>0</v>
      </c>
      <c r="M1833" s="5">
        <f t="shared" si="219"/>
        <v>1</v>
      </c>
      <c r="N1833" s="5">
        <f t="shared" si="220"/>
        <v>0</v>
      </c>
      <c r="O1833" s="5">
        <f t="shared" si="221"/>
        <v>0</v>
      </c>
      <c r="P1833" s="5">
        <f t="shared" si="222"/>
        <v>0</v>
      </c>
      <c r="Q1833" s="5">
        <f>IF('1_Du_lieu'!C299="ĐBSH",1,0)</f>
        <v>0</v>
      </c>
      <c r="R1833" s="5">
        <f>IF('1_Du_lieu'!C299="BTB&amp;DHMT",1,0)</f>
        <v>1</v>
      </c>
      <c r="S1833" s="5">
        <f>IF('1_Du_lieu'!C299="ĐBSCL",1,0)</f>
        <v>0</v>
      </c>
      <c r="T1833" s="5">
        <f>IF('1_Du_lieu'!C299="TN",1,0)</f>
        <v>0</v>
      </c>
      <c r="U1833" s="5">
        <f>IF('1_Du_lieu'!C299="TDMNPB",1,0)</f>
        <v>0</v>
      </c>
    </row>
    <row r="1834" spans="1:21" x14ac:dyDescent="0.25">
      <c r="A1834" t="s">
        <v>136</v>
      </c>
      <c r="B1834">
        <v>2021</v>
      </c>
      <c r="C1834" s="7">
        <f>'1_Du_lieu'!V302</f>
        <v>4.2140516715868488</v>
      </c>
      <c r="D1834" s="9">
        <f>'1_Du_lieu'!W302</f>
        <v>4.9836066217083363</v>
      </c>
      <c r="E1834" s="9">
        <f>'1_Du_lieu'!L302</f>
        <v>29.286999999999999</v>
      </c>
      <c r="F1834" s="9">
        <f>'1_Du_lieu'!M302</f>
        <v>78.98</v>
      </c>
      <c r="G1834" s="9">
        <f>'1_Du_lieu'!N302</f>
        <v>35.6</v>
      </c>
      <c r="H1834" s="9">
        <f>'1_Du_lieu'!X302</f>
        <v>2.4792900787168963</v>
      </c>
      <c r="I1834" s="9">
        <f>'1_Du_lieu'!T302</f>
        <v>3.0872278221407692</v>
      </c>
      <c r="J1834" s="9">
        <f>'1_Du_lieu'!Y302</f>
        <v>8.661154997655558</v>
      </c>
      <c r="K1834" s="9">
        <f>'1_Du_lieu'!O302</f>
        <v>48</v>
      </c>
      <c r="L1834" s="5">
        <f t="shared" si="218"/>
        <v>0</v>
      </c>
      <c r="M1834" s="5">
        <f t="shared" si="219"/>
        <v>1</v>
      </c>
      <c r="N1834" s="5">
        <f t="shared" si="220"/>
        <v>0</v>
      </c>
      <c r="O1834" s="5">
        <f t="shared" si="221"/>
        <v>0</v>
      </c>
      <c r="P1834" s="5">
        <f t="shared" si="222"/>
        <v>0</v>
      </c>
      <c r="Q1834" s="5">
        <f>IF('1_Du_lieu'!C302="ĐBSH",1,0)</f>
        <v>0</v>
      </c>
      <c r="R1834" s="5">
        <f>IF('1_Du_lieu'!C302="BTB&amp;DHMT",1,0)</f>
        <v>0</v>
      </c>
      <c r="S1834" s="5">
        <f>IF('1_Du_lieu'!C302="ĐBSCL",1,0)</f>
        <v>0</v>
      </c>
      <c r="T1834" s="5">
        <f>IF('1_Du_lieu'!C302="TN",1,0)</f>
        <v>0</v>
      </c>
      <c r="U1834" s="5">
        <f>IF('1_Du_lieu'!C302="TDMNPB",1,0)</f>
        <v>0</v>
      </c>
    </row>
    <row r="1835" spans="1:21" x14ac:dyDescent="0.25">
      <c r="A1835" t="s">
        <v>137</v>
      </c>
      <c r="B1835">
        <v>2021</v>
      </c>
      <c r="C1835" s="7">
        <f>'1_Du_lieu'!V303</f>
        <v>1.9169226121820611</v>
      </c>
      <c r="D1835" s="9">
        <f>'1_Du_lieu'!W303</f>
        <v>4.0535225677018456</v>
      </c>
      <c r="E1835" s="9">
        <f>'1_Du_lieu'!L303</f>
        <v>3.7909999999999999</v>
      </c>
      <c r="F1835" s="9">
        <f>'1_Du_lieu'!M303</f>
        <v>26.73</v>
      </c>
      <c r="G1835" s="9">
        <f>'1_Du_lieu'!N303</f>
        <v>25.1</v>
      </c>
      <c r="H1835" s="9">
        <f>'1_Du_lieu'!X303</f>
        <v>2.6355589746238302</v>
      </c>
      <c r="I1835" s="9">
        <f>'1_Du_lieu'!T303</f>
        <v>0.80723280594123348</v>
      </c>
      <c r="J1835" s="9">
        <f>'1_Du_lieu'!Y303</f>
        <v>8.2841508079227797</v>
      </c>
      <c r="K1835" s="9">
        <f>'1_Du_lieu'!O303</f>
        <v>15.7</v>
      </c>
      <c r="L1835" s="5">
        <f t="shared" si="218"/>
        <v>0</v>
      </c>
      <c r="M1835" s="5">
        <f t="shared" si="219"/>
        <v>1</v>
      </c>
      <c r="N1835" s="5">
        <f t="shared" si="220"/>
        <v>0</v>
      </c>
      <c r="O1835" s="5">
        <f t="shared" si="221"/>
        <v>0</v>
      </c>
      <c r="P1835" s="5">
        <f t="shared" si="222"/>
        <v>0</v>
      </c>
      <c r="Q1835" s="5">
        <f>IF('1_Du_lieu'!C303="ĐBSH",1,0)</f>
        <v>0</v>
      </c>
      <c r="R1835" s="5">
        <f>IF('1_Du_lieu'!C303="BTB&amp;DHMT",1,0)</f>
        <v>1</v>
      </c>
      <c r="S1835" s="5">
        <f>IF('1_Du_lieu'!C303="ĐBSCL",1,0)</f>
        <v>0</v>
      </c>
      <c r="T1835" s="5">
        <f>IF('1_Du_lieu'!C303="TN",1,0)</f>
        <v>0</v>
      </c>
      <c r="U1835" s="5">
        <f>IF('1_Du_lieu'!C303="TDMNPB",1,0)</f>
        <v>0</v>
      </c>
    </row>
    <row r="1836" spans="1:21" x14ac:dyDescent="0.25">
      <c r="A1836" t="s">
        <v>138</v>
      </c>
      <c r="B1836">
        <v>2021</v>
      </c>
      <c r="C1836" s="7">
        <f>'1_Du_lieu'!V304</f>
        <v>1.7011051009599243</v>
      </c>
      <c r="D1836" s="9">
        <f>'1_Du_lieu'!W304</f>
        <v>3.9435216724875173</v>
      </c>
      <c r="E1836" s="9">
        <f>'1_Du_lieu'!L304</f>
        <v>2.9249999999999998</v>
      </c>
      <c r="F1836" s="9">
        <f>'1_Du_lieu'!M304</f>
        <v>11.75</v>
      </c>
      <c r="G1836" s="9">
        <f>'1_Du_lieu'!N304</f>
        <v>19.3</v>
      </c>
      <c r="H1836" s="9">
        <f>'1_Du_lieu'!X304</f>
        <v>1.5029204939427558</v>
      </c>
      <c r="I1836" s="9">
        <f>'1_Du_lieu'!T304</f>
        <v>0.85383424942633013</v>
      </c>
      <c r="J1836" s="9">
        <f>'1_Du_lieu'!Y304</f>
        <v>6.616868075581408</v>
      </c>
      <c r="K1836" s="9">
        <f>'1_Du_lieu'!O304</f>
        <v>12.5</v>
      </c>
      <c r="L1836" s="5">
        <f t="shared" si="218"/>
        <v>0</v>
      </c>
      <c r="M1836" s="5">
        <f t="shared" si="219"/>
        <v>1</v>
      </c>
      <c r="N1836" s="5">
        <f t="shared" si="220"/>
        <v>0</v>
      </c>
      <c r="O1836" s="5">
        <f t="shared" si="221"/>
        <v>0</v>
      </c>
      <c r="P1836" s="5">
        <f t="shared" si="222"/>
        <v>0</v>
      </c>
      <c r="Q1836" s="5">
        <f>IF('1_Du_lieu'!C304="ĐBSH",1,0)</f>
        <v>1</v>
      </c>
      <c r="R1836" s="5">
        <f>IF('1_Du_lieu'!C304="BTB&amp;DHMT",1,0)</f>
        <v>0</v>
      </c>
      <c r="S1836" s="5">
        <f>IF('1_Du_lieu'!C304="ĐBSCL",1,0)</f>
        <v>0</v>
      </c>
      <c r="T1836" s="5">
        <f>IF('1_Du_lieu'!C304="TN",1,0)</f>
        <v>0</v>
      </c>
      <c r="U1836" s="5">
        <f>IF('1_Du_lieu'!C304="TDMNPB",1,0)</f>
        <v>0</v>
      </c>
    </row>
    <row r="1837" spans="1:21" x14ac:dyDescent="0.25">
      <c r="A1837" t="s">
        <v>139</v>
      </c>
      <c r="B1837">
        <v>2021</v>
      </c>
      <c r="C1837" s="7">
        <f>'1_Du_lieu'!V305</f>
        <v>1.8531680973566984</v>
      </c>
      <c r="D1837" s="9">
        <f>'1_Du_lieu'!W305</f>
        <v>4.6051701859880918</v>
      </c>
      <c r="E1837" s="9">
        <f>'1_Du_lieu'!L305</f>
        <v>3.9049999999999998</v>
      </c>
      <c r="F1837" s="9">
        <f>'1_Du_lieu'!M305</f>
        <v>32.14</v>
      </c>
      <c r="G1837" s="9">
        <f>'1_Du_lieu'!N305</f>
        <v>35.4</v>
      </c>
      <c r="H1837" s="9">
        <f>'1_Du_lieu'!X305</f>
        <v>3.5295695036265586</v>
      </c>
      <c r="I1837" s="9">
        <f>'1_Du_lieu'!T305</f>
        <v>1.7382103990326481</v>
      </c>
      <c r="J1837" s="9">
        <f>'1_Du_lieu'!Y305</f>
        <v>8.9143976070946085</v>
      </c>
      <c r="K1837" s="9">
        <f>'1_Du_lieu'!O305</f>
        <v>25</v>
      </c>
      <c r="L1837" s="5">
        <f t="shared" si="218"/>
        <v>0</v>
      </c>
      <c r="M1837" s="5">
        <f t="shared" si="219"/>
        <v>1</v>
      </c>
      <c r="N1837" s="5">
        <f t="shared" si="220"/>
        <v>0</v>
      </c>
      <c r="O1837" s="5">
        <f t="shared" si="221"/>
        <v>0</v>
      </c>
      <c r="P1837" s="5">
        <f t="shared" si="222"/>
        <v>0</v>
      </c>
      <c r="Q1837" s="5">
        <f>IF('1_Du_lieu'!C305="ĐBSH",1,0)</f>
        <v>0</v>
      </c>
      <c r="R1837" s="5">
        <f>IF('1_Du_lieu'!C305="BTB&amp;DHMT",1,0)</f>
        <v>0</v>
      </c>
      <c r="S1837" s="5">
        <f>IF('1_Du_lieu'!C305="ĐBSCL",1,0)</f>
        <v>0</v>
      </c>
      <c r="T1837" s="5">
        <f>IF('1_Du_lieu'!C305="TN",1,0)</f>
        <v>0</v>
      </c>
      <c r="U1837" s="5">
        <f>IF('1_Du_lieu'!C305="TDMNPB",1,0)</f>
        <v>1</v>
      </c>
    </row>
    <row r="1838" spans="1:21" x14ac:dyDescent="0.25">
      <c r="A1838" t="s">
        <v>141</v>
      </c>
      <c r="B1838">
        <v>2021</v>
      </c>
      <c r="C1838" s="7">
        <f>'1_Du_lieu'!V307</f>
        <v>1.6789639750827108</v>
      </c>
      <c r="D1838" s="9">
        <f>'1_Du_lieu'!W307</f>
        <v>4.0217738693872649</v>
      </c>
      <c r="E1838" s="9">
        <f>'1_Du_lieu'!L307</f>
        <v>2.8439999999999999</v>
      </c>
      <c r="F1838" s="9">
        <f>'1_Du_lieu'!M307</f>
        <v>14.25</v>
      </c>
      <c r="G1838" s="9">
        <f>'1_Du_lieu'!N307</f>
        <v>13.8</v>
      </c>
      <c r="H1838" s="9">
        <f>'1_Du_lieu'!X307</f>
        <v>0.31813692452630776</v>
      </c>
      <c r="I1838" s="9">
        <f>'1_Du_lieu'!T307</f>
        <v>0.73058334269978642</v>
      </c>
      <c r="J1838" s="9">
        <f>'1_Du_lieu'!Y307</f>
        <v>7.3916001744163529</v>
      </c>
      <c r="K1838" s="9">
        <f>'1_Du_lieu'!O307</f>
        <v>17.600000000000001</v>
      </c>
      <c r="L1838" s="5">
        <f t="shared" si="218"/>
        <v>0</v>
      </c>
      <c r="M1838" s="5">
        <f t="shared" si="219"/>
        <v>1</v>
      </c>
      <c r="N1838" s="5">
        <f t="shared" si="220"/>
        <v>0</v>
      </c>
      <c r="O1838" s="5">
        <f t="shared" si="221"/>
        <v>0</v>
      </c>
      <c r="P1838" s="5">
        <f t="shared" si="222"/>
        <v>0</v>
      </c>
      <c r="Q1838" s="5">
        <f>IF('1_Du_lieu'!C307="ĐBSH",1,0)</f>
        <v>0</v>
      </c>
      <c r="R1838" s="5">
        <f>IF('1_Du_lieu'!C307="BTB&amp;DHMT",1,0)</f>
        <v>0</v>
      </c>
      <c r="S1838" s="5">
        <f>IF('1_Du_lieu'!C307="ĐBSCL",1,0)</f>
        <v>1</v>
      </c>
      <c r="T1838" s="5">
        <f>IF('1_Du_lieu'!C307="TN",1,0)</f>
        <v>0</v>
      </c>
      <c r="U1838" s="5">
        <f>IF('1_Du_lieu'!C307="TDMNPB",1,0)</f>
        <v>0</v>
      </c>
    </row>
    <row r="1839" spans="1:21" x14ac:dyDescent="0.25">
      <c r="A1839" t="s">
        <v>142</v>
      </c>
      <c r="B1839">
        <v>2021</v>
      </c>
      <c r="C1839" s="7">
        <f>'1_Du_lieu'!V308</f>
        <v>1.4770487243883548</v>
      </c>
      <c r="D1839" s="9">
        <f>'1_Du_lieu'!W308</f>
        <v>4.1447207695471677</v>
      </c>
      <c r="E1839" s="9">
        <f>'1_Du_lieu'!L308</f>
        <v>2.3919999999999999</v>
      </c>
      <c r="F1839" s="9">
        <f>'1_Du_lieu'!M308</f>
        <v>17.510000000000002</v>
      </c>
      <c r="G1839" s="9">
        <f>'1_Du_lieu'!N308</f>
        <v>10.8</v>
      </c>
      <c r="H1839" s="9">
        <f>'1_Du_lieu'!X308</f>
        <v>1.0020414153154515</v>
      </c>
      <c r="I1839" s="9">
        <f>'1_Du_lieu'!T308</f>
        <v>0.8835656783820931</v>
      </c>
      <c r="J1839" s="9">
        <f>'1_Du_lieu'!Y308</f>
        <v>8.0968783700577376</v>
      </c>
      <c r="K1839" s="9">
        <f>'1_Du_lieu'!O308</f>
        <v>11.5</v>
      </c>
      <c r="L1839" s="5">
        <f t="shared" si="218"/>
        <v>0</v>
      </c>
      <c r="M1839" s="5">
        <f t="shared" si="219"/>
        <v>1</v>
      </c>
      <c r="N1839" s="5">
        <f t="shared" si="220"/>
        <v>0</v>
      </c>
      <c r="O1839" s="5">
        <f t="shared" si="221"/>
        <v>0</v>
      </c>
      <c r="P1839" s="5">
        <f t="shared" si="222"/>
        <v>0</v>
      </c>
      <c r="Q1839" s="5">
        <f>IF('1_Du_lieu'!C308="ĐBSH",1,0)</f>
        <v>0</v>
      </c>
      <c r="R1839" s="5">
        <f>IF('1_Du_lieu'!C308="BTB&amp;DHMT",1,0)</f>
        <v>0</v>
      </c>
      <c r="S1839" s="5">
        <f>IF('1_Du_lieu'!C308="ĐBSCL",1,0)</f>
        <v>1</v>
      </c>
      <c r="T1839" s="5">
        <f>IF('1_Du_lieu'!C308="TN",1,0)</f>
        <v>0</v>
      </c>
      <c r="U1839" s="5">
        <f>IF('1_Du_lieu'!C308="TDMNPB",1,0)</f>
        <v>0</v>
      </c>
    </row>
    <row r="1840" spans="1:21" x14ac:dyDescent="0.25">
      <c r="A1840" t="s">
        <v>143</v>
      </c>
      <c r="B1840">
        <v>2021</v>
      </c>
      <c r="C1840" s="7">
        <f>'1_Du_lieu'!V309</f>
        <v>1.3862943611198906</v>
      </c>
      <c r="D1840" s="9">
        <f>'1_Du_lieu'!W309</f>
        <v>3.8110970868381857</v>
      </c>
      <c r="E1840" s="9">
        <f>'1_Du_lieu'!L309</f>
        <v>1.9830000000000001</v>
      </c>
      <c r="F1840" s="9">
        <f>'1_Du_lieu'!M309</f>
        <v>13.88</v>
      </c>
      <c r="G1840" s="9">
        <f>'1_Du_lieu'!N309</f>
        <v>23.1</v>
      </c>
      <c r="H1840" s="9">
        <f>'1_Du_lieu'!X309</f>
        <v>2.9114432130738548</v>
      </c>
      <c r="I1840" s="9">
        <f>'1_Du_lieu'!T309</f>
        <v>0.74840962953723333</v>
      </c>
      <c r="J1840" s="9">
        <f>'1_Du_lieu'!Y309</f>
        <v>5.5660518011901212</v>
      </c>
      <c r="K1840" s="9">
        <f>'1_Du_lieu'!O309</f>
        <v>13.8</v>
      </c>
      <c r="L1840" s="5">
        <f t="shared" si="218"/>
        <v>0</v>
      </c>
      <c r="M1840" s="5">
        <f t="shared" si="219"/>
        <v>1</v>
      </c>
      <c r="N1840" s="5">
        <f t="shared" si="220"/>
        <v>0</v>
      </c>
      <c r="O1840" s="5">
        <f t="shared" si="221"/>
        <v>0</v>
      </c>
      <c r="P1840" s="5">
        <f t="shared" si="222"/>
        <v>0</v>
      </c>
      <c r="Q1840" s="5">
        <f>IF('1_Du_lieu'!C309="ĐBSH",1,0)</f>
        <v>0</v>
      </c>
      <c r="R1840" s="5">
        <f>IF('1_Du_lieu'!C309="BTB&amp;DHMT",1,0)</f>
        <v>0</v>
      </c>
      <c r="S1840" s="5">
        <f>IF('1_Du_lieu'!C309="ĐBSCL",1,0)</f>
        <v>0</v>
      </c>
      <c r="T1840" s="5">
        <f>IF('1_Du_lieu'!C309="TN",1,0)</f>
        <v>0</v>
      </c>
      <c r="U1840" s="5">
        <f>IF('1_Du_lieu'!C309="TDMNPB",1,0)</f>
        <v>1</v>
      </c>
    </row>
    <row r="1841" spans="1:21" x14ac:dyDescent="0.25">
      <c r="A1841" t="s">
        <v>144</v>
      </c>
      <c r="B1841">
        <v>2021</v>
      </c>
      <c r="C1841" s="7">
        <f>'1_Du_lieu'!V310</f>
        <v>1.7155981082624909</v>
      </c>
      <c r="D1841" s="9">
        <f>'1_Du_lieu'!W310</f>
        <v>4.3385970767465452</v>
      </c>
      <c r="E1841" s="9">
        <f>'1_Du_lieu'!L310</f>
        <v>3.8580000000000001</v>
      </c>
      <c r="F1841" s="9">
        <f>'1_Du_lieu'!M310</f>
        <v>32.380000000000003</v>
      </c>
      <c r="G1841" s="9">
        <f>'1_Du_lieu'!N310</f>
        <v>16</v>
      </c>
      <c r="H1841" s="9">
        <f>'1_Du_lieu'!X310</f>
        <v>2.5114225510080193</v>
      </c>
      <c r="I1841" s="9">
        <f>'1_Du_lieu'!T310</f>
        <v>1.0999238514256704</v>
      </c>
      <c r="J1841" s="9">
        <f>'1_Du_lieu'!Y310</f>
        <v>8.8812666983646373</v>
      </c>
      <c r="K1841" s="9">
        <f>'1_Du_lieu'!O310</f>
        <v>16</v>
      </c>
      <c r="L1841" s="5">
        <f t="shared" si="218"/>
        <v>0</v>
      </c>
      <c r="M1841" s="5">
        <f t="shared" si="219"/>
        <v>1</v>
      </c>
      <c r="N1841" s="5">
        <f t="shared" si="220"/>
        <v>0</v>
      </c>
      <c r="O1841" s="5">
        <f t="shared" si="221"/>
        <v>0</v>
      </c>
      <c r="P1841" s="5">
        <f t="shared" si="222"/>
        <v>0</v>
      </c>
      <c r="Q1841" s="5">
        <f>IF('1_Du_lieu'!C310="ĐBSH",1,0)</f>
        <v>0</v>
      </c>
      <c r="R1841" s="5">
        <f>IF('1_Du_lieu'!C310="BTB&amp;DHMT",1,0)</f>
        <v>0</v>
      </c>
      <c r="S1841" s="5">
        <f>IF('1_Du_lieu'!C310="ĐBSCL",1,0)</f>
        <v>0</v>
      </c>
      <c r="T1841" s="5">
        <f>IF('1_Du_lieu'!C310="TN",1,0)</f>
        <v>0</v>
      </c>
      <c r="U1841" s="5">
        <f>IF('1_Du_lieu'!C310="TDMNPB",1,0)</f>
        <v>0</v>
      </c>
    </row>
    <row r="1842" spans="1:21" x14ac:dyDescent="0.25">
      <c r="A1842" t="s">
        <v>145</v>
      </c>
      <c r="B1842">
        <v>2021</v>
      </c>
      <c r="C1842" s="7">
        <f>'1_Du_lieu'!V311</f>
        <v>1.5260563034950492</v>
      </c>
      <c r="D1842" s="9">
        <f>'1_Du_lieu'!W311</f>
        <v>4.0517849478033048</v>
      </c>
      <c r="E1842" s="9">
        <f>'1_Du_lieu'!L311</f>
        <v>2.7130000000000001</v>
      </c>
      <c r="F1842" s="9">
        <f>'1_Du_lieu'!M311</f>
        <v>22.71</v>
      </c>
      <c r="G1842" s="9">
        <f>'1_Du_lieu'!N311</f>
        <v>15.6</v>
      </c>
      <c r="H1842" s="9">
        <f>'1_Du_lieu'!X311</f>
        <v>0.67698224370658988</v>
      </c>
      <c r="I1842" s="9">
        <f>'1_Du_lieu'!T311</f>
        <v>0.58309037900874638</v>
      </c>
      <c r="J1842" s="9">
        <f>'1_Du_lieu'!Y311</f>
        <v>6.7464121285733745</v>
      </c>
      <c r="K1842" s="9">
        <f>'1_Du_lieu'!O311</f>
        <v>18</v>
      </c>
      <c r="L1842" s="5">
        <f t="shared" si="218"/>
        <v>0</v>
      </c>
      <c r="M1842" s="5">
        <f t="shared" si="219"/>
        <v>1</v>
      </c>
      <c r="N1842" s="5">
        <f t="shared" si="220"/>
        <v>0</v>
      </c>
      <c r="O1842" s="5">
        <f t="shared" si="221"/>
        <v>0</v>
      </c>
      <c r="P1842" s="5">
        <f t="shared" si="222"/>
        <v>0</v>
      </c>
      <c r="Q1842" s="5">
        <f>IF('1_Du_lieu'!C311="ĐBSH",1,0)</f>
        <v>0</v>
      </c>
      <c r="R1842" s="5">
        <f>IF('1_Du_lieu'!C311="BTB&amp;DHMT",1,0)</f>
        <v>0</v>
      </c>
      <c r="S1842" s="5">
        <f>IF('1_Du_lieu'!C311="ĐBSCL",1,0)</f>
        <v>1</v>
      </c>
      <c r="T1842" s="5">
        <f>IF('1_Du_lieu'!C311="TN",1,0)</f>
        <v>0</v>
      </c>
      <c r="U1842" s="5">
        <f>IF('1_Du_lieu'!C311="TDMNPB",1,0)</f>
        <v>0</v>
      </c>
    </row>
    <row r="1843" spans="1:21" x14ac:dyDescent="0.25">
      <c r="A1843" t="s">
        <v>146</v>
      </c>
      <c r="B1843">
        <v>2021</v>
      </c>
      <c r="C1843" s="7">
        <f>'1_Du_lieu'!V312</f>
        <v>1.9726911717329554</v>
      </c>
      <c r="D1843" s="9">
        <f>'1_Du_lieu'!W312</f>
        <v>4.7397010789456973</v>
      </c>
      <c r="E1843" s="9">
        <f>'1_Du_lieu'!L312</f>
        <v>6.9829999999999997</v>
      </c>
      <c r="F1843" s="9">
        <f>'1_Du_lieu'!M312</f>
        <v>30.06</v>
      </c>
      <c r="G1843" s="9">
        <f>'1_Du_lieu'!N312</f>
        <v>34.700000000000003</v>
      </c>
      <c r="H1843" s="9">
        <f>'1_Du_lieu'!X312</f>
        <v>2.5479862283474914</v>
      </c>
      <c r="I1843" s="9">
        <f>'1_Du_lieu'!T312</f>
        <v>0.75516026178889073</v>
      </c>
      <c r="J1843" s="9">
        <f>'1_Du_lieu'!Y312</f>
        <v>8.6070704578189119</v>
      </c>
      <c r="K1843" s="9">
        <f>'1_Du_lieu'!O312</f>
        <v>35.1</v>
      </c>
      <c r="L1843" s="5">
        <f t="shared" si="218"/>
        <v>0</v>
      </c>
      <c r="M1843" s="5">
        <f t="shared" si="219"/>
        <v>1</v>
      </c>
      <c r="N1843" s="5">
        <f t="shared" si="220"/>
        <v>0</v>
      </c>
      <c r="O1843" s="5">
        <f t="shared" si="221"/>
        <v>0</v>
      </c>
      <c r="P1843" s="5">
        <f t="shared" si="222"/>
        <v>0</v>
      </c>
      <c r="Q1843" s="5">
        <f>IF('1_Du_lieu'!C312="ĐBSH",1,0)</f>
        <v>1</v>
      </c>
      <c r="R1843" s="5">
        <f>IF('1_Du_lieu'!C312="BTB&amp;DHMT",1,0)</f>
        <v>0</v>
      </c>
      <c r="S1843" s="5">
        <f>IF('1_Du_lieu'!C312="ĐBSCL",1,0)</f>
        <v>0</v>
      </c>
      <c r="T1843" s="5">
        <f>IF('1_Du_lieu'!C312="TN",1,0)</f>
        <v>0</v>
      </c>
      <c r="U1843" s="5">
        <f>IF('1_Du_lieu'!C312="TDMNPB",1,0)</f>
        <v>0</v>
      </c>
    </row>
    <row r="1844" spans="1:21" x14ac:dyDescent="0.25">
      <c r="A1844" t="s">
        <v>147</v>
      </c>
      <c r="B1844">
        <v>2021</v>
      </c>
      <c r="C1844" s="7">
        <f>'1_Du_lieu'!V313</f>
        <v>1.6601310267496185</v>
      </c>
      <c r="D1844" s="9">
        <f>'1_Du_lieu'!W313</f>
        <v>3.751854253275325</v>
      </c>
      <c r="E1844" s="9">
        <f>'1_Du_lieu'!L313</f>
        <v>2.2389999999999999</v>
      </c>
      <c r="F1844" s="9">
        <f>'1_Du_lieu'!M313</f>
        <v>20.73</v>
      </c>
      <c r="G1844" s="9">
        <f>'1_Du_lieu'!N313</f>
        <v>22.2</v>
      </c>
      <c r="H1844" s="9">
        <f>'1_Du_lieu'!X313</f>
        <v>2.2363854484825239</v>
      </c>
      <c r="I1844" s="9">
        <f>'1_Du_lieu'!T313</f>
        <v>0.35599857600569595</v>
      </c>
      <c r="J1844" s="9">
        <f>'1_Du_lieu'!Y313</f>
        <v>6.2790841176065566</v>
      </c>
      <c r="K1844" s="9">
        <f>'1_Du_lieu'!O313</f>
        <v>13.6</v>
      </c>
      <c r="L1844" s="5">
        <f t="shared" si="218"/>
        <v>0</v>
      </c>
      <c r="M1844" s="5">
        <f t="shared" si="219"/>
        <v>1</v>
      </c>
      <c r="N1844" s="5">
        <f t="shared" si="220"/>
        <v>0</v>
      </c>
      <c r="O1844" s="5">
        <f t="shared" si="221"/>
        <v>0</v>
      </c>
      <c r="P1844" s="5">
        <f t="shared" si="222"/>
        <v>0</v>
      </c>
      <c r="Q1844" s="5">
        <f>IF('1_Du_lieu'!C313="ĐBSH",1,0)</f>
        <v>0</v>
      </c>
      <c r="R1844" s="5">
        <f>IF('1_Du_lieu'!C313="BTB&amp;DHMT",1,0)</f>
        <v>0</v>
      </c>
      <c r="S1844" s="5">
        <f>IF('1_Du_lieu'!C313="ĐBSCL",1,0)</f>
        <v>0</v>
      </c>
      <c r="T1844" s="5">
        <f>IF('1_Du_lieu'!C313="TN",1,0)</f>
        <v>0</v>
      </c>
      <c r="U1844" s="5">
        <f>IF('1_Du_lieu'!C313="TDMNPB",1,0)</f>
        <v>1</v>
      </c>
    </row>
    <row r="1845" spans="1:21" x14ac:dyDescent="0.25">
      <c r="A1845" t="s">
        <v>149</v>
      </c>
      <c r="B1845">
        <v>2021</v>
      </c>
      <c r="C1845" s="7">
        <f>'1_Du_lieu'!V315</f>
        <v>2.9465420293632194</v>
      </c>
      <c r="D1845" s="9">
        <f>'1_Du_lieu'!W315</f>
        <v>4.5042442673981311</v>
      </c>
      <c r="E1845" s="9">
        <f>'1_Du_lieu'!L315</f>
        <v>20.663</v>
      </c>
      <c r="F1845" s="9">
        <f>'1_Du_lieu'!M315</f>
        <v>87.35</v>
      </c>
      <c r="G1845" s="9">
        <f>'1_Du_lieu'!N315</f>
        <v>48.1</v>
      </c>
      <c r="H1845" s="9">
        <f>'1_Du_lieu'!X315</f>
        <v>3.2363286568748997</v>
      </c>
      <c r="I1845" s="9">
        <f>'1_Du_lieu'!T315</f>
        <v>6.6081137599330821</v>
      </c>
      <c r="J1845" s="9">
        <f>'1_Du_lieu'!Y315</f>
        <v>8.5098261210706703</v>
      </c>
      <c r="K1845" s="9">
        <f>'1_Du_lieu'!O315</f>
        <v>58.1</v>
      </c>
      <c r="L1845" s="5">
        <f t="shared" si="218"/>
        <v>0</v>
      </c>
      <c r="M1845" s="5">
        <f t="shared" si="219"/>
        <v>1</v>
      </c>
      <c r="N1845" s="5">
        <f t="shared" si="220"/>
        <v>0</v>
      </c>
      <c r="O1845" s="5">
        <f t="shared" si="221"/>
        <v>0</v>
      </c>
      <c r="P1845" s="5">
        <f t="shared" si="222"/>
        <v>0</v>
      </c>
      <c r="Q1845" s="5">
        <f>IF('1_Du_lieu'!C315="ĐBSH",1,0)</f>
        <v>0</v>
      </c>
      <c r="R1845" s="5">
        <f>IF('1_Du_lieu'!C315="BTB&amp;DHMT",1,0)</f>
        <v>1</v>
      </c>
      <c r="S1845" s="5">
        <f>IF('1_Du_lieu'!C315="ĐBSCL",1,0)</f>
        <v>0</v>
      </c>
      <c r="T1845" s="5">
        <f>IF('1_Du_lieu'!C315="TN",1,0)</f>
        <v>0</v>
      </c>
      <c r="U1845" s="5">
        <f>IF('1_Du_lieu'!C315="TDMNPB",1,0)</f>
        <v>0</v>
      </c>
    </row>
    <row r="1846" spans="1:21" x14ac:dyDescent="0.25">
      <c r="A1846" t="s">
        <v>150</v>
      </c>
      <c r="B1846">
        <v>2021</v>
      </c>
      <c r="C1846" s="7">
        <f>'1_Du_lieu'!V316</f>
        <v>1.7227665977411035</v>
      </c>
      <c r="D1846" s="9">
        <f>'1_Du_lieu'!W316</f>
        <v>3.9318256327243257</v>
      </c>
      <c r="E1846" s="9">
        <f>'1_Du_lieu'!L316</f>
        <v>3.7120000000000002</v>
      </c>
      <c r="F1846" s="9">
        <f>'1_Du_lieu'!M316</f>
        <v>24.82</v>
      </c>
      <c r="G1846" s="9">
        <f>'1_Du_lieu'!N316</f>
        <v>18.3</v>
      </c>
      <c r="H1846" s="9">
        <f>'1_Du_lieu'!X316</f>
        <v>2.2871336977571044</v>
      </c>
      <c r="I1846" s="9">
        <f>'1_Du_lieu'!T316</f>
        <v>0.57621791513881615</v>
      </c>
      <c r="J1846" s="9">
        <f>'1_Du_lieu'!Y316</f>
        <v>5.8114403493627105</v>
      </c>
      <c r="K1846" s="9">
        <f>'1_Du_lieu'!O316</f>
        <v>23.1</v>
      </c>
      <c r="L1846" s="5">
        <f t="shared" si="218"/>
        <v>0</v>
      </c>
      <c r="M1846" s="5">
        <f t="shared" si="219"/>
        <v>1</v>
      </c>
      <c r="N1846" s="5">
        <f t="shared" si="220"/>
        <v>0</v>
      </c>
      <c r="O1846" s="5">
        <f t="shared" si="221"/>
        <v>0</v>
      </c>
      <c r="P1846" s="5">
        <f t="shared" si="222"/>
        <v>0</v>
      </c>
      <c r="Q1846" s="5">
        <f>IF('1_Du_lieu'!C316="ĐBSH",1,0)</f>
        <v>0</v>
      </c>
      <c r="R1846" s="5">
        <f>IF('1_Du_lieu'!C316="BTB&amp;DHMT",1,0)</f>
        <v>0</v>
      </c>
      <c r="S1846" s="5">
        <f>IF('1_Du_lieu'!C316="ĐBSCL",1,0)</f>
        <v>0</v>
      </c>
      <c r="T1846" s="5">
        <f>IF('1_Du_lieu'!C316="TN",1,0)</f>
        <v>1</v>
      </c>
      <c r="U1846" s="5">
        <f>IF('1_Du_lieu'!C316="TDMNPB",1,0)</f>
        <v>0</v>
      </c>
    </row>
    <row r="1847" spans="1:21" x14ac:dyDescent="0.25">
      <c r="A1847" t="s">
        <v>151</v>
      </c>
      <c r="B1847">
        <v>2021</v>
      </c>
      <c r="C1847" s="7">
        <f>'1_Du_lieu'!V317</f>
        <v>1.5411590716808059</v>
      </c>
      <c r="D1847" s="9">
        <f>'1_Du_lieu'!W317</f>
        <v>3.9740583963475986</v>
      </c>
      <c r="E1847" s="9">
        <f>'1_Du_lieu'!L317</f>
        <v>3.5539999999999998</v>
      </c>
      <c r="F1847" s="9">
        <f>'1_Du_lieu'!M317</f>
        <v>16.260000000000002</v>
      </c>
      <c r="G1847" s="9">
        <f>'1_Du_lieu'!N317</f>
        <v>15.4</v>
      </c>
      <c r="H1847" s="9">
        <f>'1_Du_lieu'!X317</f>
        <v>0.78181281764560162</v>
      </c>
      <c r="I1847" s="9">
        <f>'1_Du_lieu'!T317</f>
        <v>0.45153521974714034</v>
      </c>
      <c r="J1847" s="9">
        <f>'1_Du_lieu'!Y317</f>
        <v>6.1520941930329496</v>
      </c>
      <c r="K1847" s="9">
        <f>'1_Du_lieu'!O317</f>
        <v>23.2</v>
      </c>
      <c r="L1847" s="5">
        <f t="shared" si="218"/>
        <v>0</v>
      </c>
      <c r="M1847" s="5">
        <f t="shared" si="219"/>
        <v>1</v>
      </c>
      <c r="N1847" s="5">
        <f t="shared" si="220"/>
        <v>0</v>
      </c>
      <c r="O1847" s="5">
        <f t="shared" si="221"/>
        <v>0</v>
      </c>
      <c r="P1847" s="5">
        <f t="shared" si="222"/>
        <v>0</v>
      </c>
      <c r="Q1847" s="5">
        <f>IF('1_Du_lieu'!C317="ĐBSH",1,0)</f>
        <v>0</v>
      </c>
      <c r="R1847" s="5">
        <f>IF('1_Du_lieu'!C317="BTB&amp;DHMT",1,0)</f>
        <v>0</v>
      </c>
      <c r="S1847" s="5">
        <f>IF('1_Du_lieu'!C317="ĐBSCL",1,0)</f>
        <v>0</v>
      </c>
      <c r="T1847" s="5">
        <f>IF('1_Du_lieu'!C317="TN",1,0)</f>
        <v>1</v>
      </c>
      <c r="U1847" s="5">
        <f>IF('1_Du_lieu'!C317="TDMNPB",1,0)</f>
        <v>0</v>
      </c>
    </row>
    <row r="1848" spans="1:21" x14ac:dyDescent="0.25">
      <c r="A1848" t="s">
        <v>152</v>
      </c>
      <c r="B1848">
        <v>2021</v>
      </c>
      <c r="C1848" s="7">
        <f>'1_Du_lieu'!V318</f>
        <v>2.4105422344991378</v>
      </c>
      <c r="D1848" s="9">
        <f>'1_Du_lieu'!W318</f>
        <v>4.779963476361254</v>
      </c>
      <c r="E1848" s="9">
        <f>'1_Du_lieu'!L318</f>
        <v>7.9059999999999997</v>
      </c>
      <c r="F1848" s="9">
        <f>'1_Du_lieu'!M318</f>
        <v>44.76</v>
      </c>
      <c r="G1848" s="9">
        <f>'1_Du_lieu'!N318</f>
        <v>21.9</v>
      </c>
      <c r="H1848" s="9">
        <f>'1_Du_lieu'!X318</f>
        <v>2.5423329505205192</v>
      </c>
      <c r="I1848" s="9">
        <f>'1_Du_lieu'!T318</f>
        <v>0.56798460130636463</v>
      </c>
      <c r="J1848" s="9">
        <f>'1_Du_lieu'!Y318</f>
        <v>9.2807429160743222</v>
      </c>
      <c r="K1848" s="9">
        <f>'1_Du_lieu'!O318</f>
        <v>27.7</v>
      </c>
      <c r="L1848" s="5">
        <f t="shared" si="218"/>
        <v>0</v>
      </c>
      <c r="M1848" s="5">
        <f t="shared" si="219"/>
        <v>1</v>
      </c>
      <c r="N1848" s="5">
        <f t="shared" si="220"/>
        <v>0</v>
      </c>
      <c r="O1848" s="5">
        <f t="shared" si="221"/>
        <v>0</v>
      </c>
      <c r="P1848" s="5">
        <f t="shared" si="222"/>
        <v>0</v>
      </c>
      <c r="Q1848" s="5">
        <f>IF('1_Du_lieu'!C318="ĐBSH",1,0)</f>
        <v>0</v>
      </c>
      <c r="R1848" s="5">
        <f>IF('1_Du_lieu'!C318="BTB&amp;DHMT",1,0)</f>
        <v>0</v>
      </c>
      <c r="S1848" s="5">
        <f>IF('1_Du_lieu'!C318="ĐBSCL",1,0)</f>
        <v>0</v>
      </c>
      <c r="T1848" s="5">
        <f>IF('1_Du_lieu'!C318="TN",1,0)</f>
        <v>0</v>
      </c>
      <c r="U1848" s="5">
        <f>IF('1_Du_lieu'!C318="TDMNPB",1,0)</f>
        <v>0</v>
      </c>
    </row>
    <row r="1849" spans="1:21" x14ac:dyDescent="0.25">
      <c r="A1849" t="s">
        <v>153</v>
      </c>
      <c r="B1849">
        <v>2021</v>
      </c>
      <c r="C1849" s="7">
        <f>'1_Du_lieu'!V319</f>
        <v>1.7191887763932197</v>
      </c>
      <c r="D1849" s="9">
        <f>'1_Du_lieu'!W319</f>
        <v>3.9963641538618968</v>
      </c>
      <c r="E1849" s="9">
        <f>'1_Du_lieu'!L319</f>
        <v>2.3210000000000002</v>
      </c>
      <c r="F1849" s="9">
        <f>'1_Du_lieu'!M319</f>
        <v>20.18</v>
      </c>
      <c r="G1849" s="9">
        <f>'1_Du_lieu'!N319</f>
        <v>14.3</v>
      </c>
      <c r="H1849" s="9">
        <f>'1_Du_lieu'!X319</f>
        <v>0.56485668954794155</v>
      </c>
      <c r="I1849" s="9">
        <f>'1_Du_lieu'!T319</f>
        <v>0.62449259976269278</v>
      </c>
      <c r="J1849" s="9">
        <f>'1_Du_lieu'!Y319</f>
        <v>4.9863426015272116</v>
      </c>
      <c r="K1849" s="9">
        <f>'1_Du_lieu'!O319</f>
        <v>16.3</v>
      </c>
      <c r="L1849" s="5">
        <f t="shared" si="218"/>
        <v>0</v>
      </c>
      <c r="M1849" s="5">
        <f t="shared" si="219"/>
        <v>1</v>
      </c>
      <c r="N1849" s="5">
        <f t="shared" si="220"/>
        <v>0</v>
      </c>
      <c r="O1849" s="5">
        <f t="shared" si="221"/>
        <v>0</v>
      </c>
      <c r="P1849" s="5">
        <f t="shared" si="222"/>
        <v>0</v>
      </c>
      <c r="Q1849" s="5">
        <f>IF('1_Du_lieu'!C319="ĐBSH",1,0)</f>
        <v>0</v>
      </c>
      <c r="R1849" s="5">
        <f>IF('1_Du_lieu'!C319="BTB&amp;DHMT",1,0)</f>
        <v>0</v>
      </c>
      <c r="S1849" s="5">
        <f>IF('1_Du_lieu'!C319="ĐBSCL",1,0)</f>
        <v>1</v>
      </c>
      <c r="T1849" s="5">
        <f>IF('1_Du_lieu'!C319="TN",1,0)</f>
        <v>0</v>
      </c>
      <c r="U1849" s="5">
        <f>IF('1_Du_lieu'!C319="TDMNPB",1,0)</f>
        <v>0</v>
      </c>
    </row>
    <row r="1850" spans="1:21" x14ac:dyDescent="0.25">
      <c r="A1850" t="s">
        <v>85</v>
      </c>
      <c r="B1850">
        <v>2022</v>
      </c>
      <c r="C1850" s="7">
        <f>'1_Du_lieu'!V320</f>
        <v>2.8332133440562162</v>
      </c>
      <c r="D1850" s="9">
        <f>'1_Du_lieu'!W320</f>
        <v>3.9646154555473165</v>
      </c>
      <c r="E1850" s="9">
        <f>'1_Du_lieu'!L320</f>
        <v>2.6539999999999999</v>
      </c>
      <c r="F1850" s="9">
        <f>'1_Du_lieu'!M320</f>
        <v>33.840000000000003</v>
      </c>
      <c r="G1850" s="9">
        <f>'1_Du_lieu'!N320</f>
        <v>14.5</v>
      </c>
      <c r="H1850" s="9">
        <f>'1_Du_lieu'!X320</f>
        <v>1.6657790589637886</v>
      </c>
      <c r="I1850" s="9">
        <f>'1_Du_lieu'!T320</f>
        <v>0.47231697717134608</v>
      </c>
      <c r="J1850" s="9">
        <f>'1_Du_lieu'!Y320</f>
        <v>5.1209833512651208</v>
      </c>
      <c r="K1850" s="9">
        <f>'1_Du_lieu'!O320</f>
        <v>19.3</v>
      </c>
      <c r="L1850" s="5">
        <f t="shared" si="218"/>
        <v>0</v>
      </c>
      <c r="M1850" s="5">
        <f t="shared" si="219"/>
        <v>0</v>
      </c>
      <c r="N1850" s="5">
        <f t="shared" si="220"/>
        <v>1</v>
      </c>
      <c r="O1850" s="5">
        <f t="shared" si="221"/>
        <v>0</v>
      </c>
      <c r="P1850" s="5">
        <f t="shared" si="222"/>
        <v>0</v>
      </c>
      <c r="Q1850" s="5">
        <f>IF('1_Du_lieu'!C320="ĐBSH",1,0)</f>
        <v>0</v>
      </c>
      <c r="R1850" s="5">
        <f>IF('1_Du_lieu'!C320="BTB&amp;DHMT",1,0)</f>
        <v>0</v>
      </c>
      <c r="S1850" s="5">
        <f>IF('1_Du_lieu'!C320="ĐBSCL",1,0)</f>
        <v>1</v>
      </c>
      <c r="T1850" s="5">
        <f>IF('1_Du_lieu'!C320="TN",1,0)</f>
        <v>0</v>
      </c>
      <c r="U1850" s="5">
        <f>IF('1_Du_lieu'!C320="TDMNPB",1,0)</f>
        <v>0</v>
      </c>
    </row>
    <row r="1851" spans="1:21" x14ac:dyDescent="0.25">
      <c r="A1851" t="s">
        <v>87</v>
      </c>
      <c r="B1851">
        <v>2022</v>
      </c>
      <c r="C1851" s="7">
        <f>'1_Du_lieu'!V321</f>
        <v>3.2308043957334744</v>
      </c>
      <c r="D1851" s="9">
        <f>'1_Du_lieu'!W321</f>
        <v>5.9191626353525768</v>
      </c>
      <c r="E1851" s="9">
        <f>'1_Du_lieu'!L321</f>
        <v>10.125</v>
      </c>
      <c r="F1851" s="9">
        <f>'1_Du_lieu'!M321</f>
        <v>60.4</v>
      </c>
      <c r="G1851" s="9">
        <f>'1_Du_lieu'!N321</f>
        <v>28</v>
      </c>
      <c r="H1851" s="9">
        <f>'1_Du_lieu'!X321</f>
        <v>2.1022970435051618</v>
      </c>
      <c r="I1851" s="9">
        <f>'1_Du_lieu'!T321</f>
        <v>1.5271061338763043</v>
      </c>
      <c r="J1851" s="9">
        <f>'1_Du_lieu'!Y321</f>
        <v>10.249057564326076</v>
      </c>
      <c r="K1851" s="9">
        <f>'1_Du_lieu'!O321</f>
        <v>29.1</v>
      </c>
      <c r="L1851" s="5">
        <f t="shared" si="218"/>
        <v>0</v>
      </c>
      <c r="M1851" s="5">
        <f t="shared" si="219"/>
        <v>0</v>
      </c>
      <c r="N1851" s="5">
        <f t="shared" si="220"/>
        <v>1</v>
      </c>
      <c r="O1851" s="5">
        <f t="shared" si="221"/>
        <v>0</v>
      </c>
      <c r="P1851" s="5">
        <f t="shared" si="222"/>
        <v>0</v>
      </c>
      <c r="Q1851" s="5">
        <f>IF('1_Du_lieu'!C321="ĐBSH",1,0)</f>
        <v>0</v>
      </c>
      <c r="R1851" s="5">
        <f>IF('1_Du_lieu'!C321="BTB&amp;DHMT",1,0)</f>
        <v>0</v>
      </c>
      <c r="S1851" s="5">
        <f>IF('1_Du_lieu'!C321="ĐBSCL",1,0)</f>
        <v>0</v>
      </c>
      <c r="T1851" s="5">
        <f>IF('1_Du_lieu'!C321="TN",1,0)</f>
        <v>0</v>
      </c>
      <c r="U1851" s="5">
        <f>IF('1_Du_lieu'!C321="TDMNPB",1,0)</f>
        <v>0</v>
      </c>
    </row>
    <row r="1852" spans="1:21" x14ac:dyDescent="0.25">
      <c r="A1852" t="s">
        <v>89</v>
      </c>
      <c r="B1852">
        <v>2022</v>
      </c>
      <c r="C1852" s="7">
        <f>'1_Du_lieu'!V322</f>
        <v>3.5945687746426951</v>
      </c>
      <c r="D1852" s="9">
        <f>'1_Du_lieu'!W322</f>
        <v>5.0968129903373081</v>
      </c>
      <c r="E1852" s="9">
        <f>'1_Du_lieu'!L322</f>
        <v>14.743</v>
      </c>
      <c r="F1852" s="9">
        <f>'1_Du_lieu'!M322</f>
        <v>84.23</v>
      </c>
      <c r="G1852" s="9">
        <f>'1_Du_lieu'!N322</f>
        <v>21.1</v>
      </c>
      <c r="H1852" s="9">
        <f>'1_Du_lieu'!X322</f>
        <v>3.242947697575</v>
      </c>
      <c r="I1852" s="9">
        <f>'1_Du_lieu'!T322</f>
        <v>0.61525098621113972</v>
      </c>
      <c r="J1852" s="9">
        <f>'1_Du_lieu'!Y322</f>
        <v>9.5710521568971654</v>
      </c>
      <c r="K1852" s="9">
        <f>'1_Du_lieu'!O322</f>
        <v>22</v>
      </c>
      <c r="L1852" s="5">
        <f t="shared" si="218"/>
        <v>0</v>
      </c>
      <c r="M1852" s="5">
        <f t="shared" si="219"/>
        <v>0</v>
      </c>
      <c r="N1852" s="5">
        <f t="shared" si="220"/>
        <v>1</v>
      </c>
      <c r="O1852" s="5">
        <f t="shared" si="221"/>
        <v>0</v>
      </c>
      <c r="P1852" s="5">
        <f t="shared" si="222"/>
        <v>0</v>
      </c>
      <c r="Q1852" s="5">
        <f>IF('1_Du_lieu'!C322="ĐBSH",1,0)</f>
        <v>0</v>
      </c>
      <c r="R1852" s="5">
        <f>IF('1_Du_lieu'!C322="BTB&amp;DHMT",1,0)</f>
        <v>0</v>
      </c>
      <c r="S1852" s="5">
        <f>IF('1_Du_lieu'!C322="ĐBSCL",1,0)</f>
        <v>0</v>
      </c>
      <c r="T1852" s="5">
        <f>IF('1_Du_lieu'!C322="TN",1,0)</f>
        <v>0</v>
      </c>
      <c r="U1852" s="5">
        <f>IF('1_Du_lieu'!C322="TDMNPB",1,0)</f>
        <v>0</v>
      </c>
    </row>
    <row r="1853" spans="1:21" x14ac:dyDescent="0.25">
      <c r="A1853" t="s">
        <v>90</v>
      </c>
      <c r="B1853">
        <v>2022</v>
      </c>
      <c r="C1853" s="7">
        <f>'1_Du_lieu'!V323</f>
        <v>2.5802168295923251</v>
      </c>
      <c r="D1853" s="9">
        <f>'1_Du_lieu'!W323</f>
        <v>4.4704952826614894</v>
      </c>
      <c r="E1853" s="9">
        <f>'1_Du_lieu'!L323</f>
        <v>6.3929999999999998</v>
      </c>
      <c r="F1853" s="9">
        <f>'1_Du_lieu'!M323</f>
        <v>29.38</v>
      </c>
      <c r="G1853" s="9">
        <f>'1_Du_lieu'!N323</f>
        <v>20.100000000000001</v>
      </c>
      <c r="H1853" s="9">
        <f>'1_Du_lieu'!X323</f>
        <v>0.96674091458842459</v>
      </c>
      <c r="I1853" s="9">
        <f>'1_Du_lieu'!T323</f>
        <v>0.8698173383589447</v>
      </c>
      <c r="J1853" s="9">
        <f>'1_Du_lieu'!Y323</f>
        <v>8.2579560324537891</v>
      </c>
      <c r="K1853" s="9">
        <f>'1_Du_lieu'!O323</f>
        <v>25.7</v>
      </c>
      <c r="L1853" s="5">
        <f t="shared" si="218"/>
        <v>0</v>
      </c>
      <c r="M1853" s="5">
        <f t="shared" si="219"/>
        <v>0</v>
      </c>
      <c r="N1853" s="5">
        <f t="shared" si="220"/>
        <v>1</v>
      </c>
      <c r="O1853" s="5">
        <f t="shared" si="221"/>
        <v>0</v>
      </c>
      <c r="P1853" s="5">
        <f t="shared" si="222"/>
        <v>0</v>
      </c>
      <c r="Q1853" s="5">
        <f>IF('1_Du_lieu'!C323="ĐBSH",1,0)</f>
        <v>0</v>
      </c>
      <c r="R1853" s="5">
        <f>IF('1_Du_lieu'!C323="BTB&amp;DHMT",1,0)</f>
        <v>0</v>
      </c>
      <c r="S1853" s="5">
        <f>IF('1_Du_lieu'!C323="ĐBSCL",1,0)</f>
        <v>0</v>
      </c>
      <c r="T1853" s="5">
        <f>IF('1_Du_lieu'!C323="TN",1,0)</f>
        <v>0</v>
      </c>
      <c r="U1853" s="5">
        <f>IF('1_Du_lieu'!C323="TDMNPB",1,0)</f>
        <v>0</v>
      </c>
    </row>
    <row r="1854" spans="1:21" x14ac:dyDescent="0.25">
      <c r="A1854" t="s">
        <v>91</v>
      </c>
      <c r="B1854">
        <v>2022</v>
      </c>
      <c r="C1854" s="7">
        <f>'1_Du_lieu'!V324</f>
        <v>2.7278528283983898</v>
      </c>
      <c r="D1854" s="9">
        <f>'1_Du_lieu'!W324</f>
        <v>4.3944491546724391</v>
      </c>
      <c r="E1854" s="9">
        <f>'1_Du_lieu'!L324</f>
        <v>4.6399999999999997</v>
      </c>
      <c r="F1854" s="9">
        <f>'1_Du_lieu'!M324</f>
        <v>38.6</v>
      </c>
      <c r="G1854" s="9">
        <f>'1_Du_lieu'!N324</f>
        <v>18.5</v>
      </c>
      <c r="H1854" s="9">
        <f>'1_Du_lieu'!X324</f>
        <v>1.4568620109471089</v>
      </c>
      <c r="I1854" s="9">
        <f>'1_Du_lieu'!T324</f>
        <v>0.31946330165322262</v>
      </c>
      <c r="J1854" s="9">
        <f>'1_Du_lieu'!Y324</f>
        <v>8.0284225584310782</v>
      </c>
      <c r="K1854" s="9">
        <f>'1_Du_lieu'!O324</f>
        <v>17.7</v>
      </c>
      <c r="L1854" s="5">
        <f t="shared" si="218"/>
        <v>0</v>
      </c>
      <c r="M1854" s="5">
        <f t="shared" si="219"/>
        <v>0</v>
      </c>
      <c r="N1854" s="5">
        <f t="shared" si="220"/>
        <v>1</v>
      </c>
      <c r="O1854" s="5">
        <f t="shared" si="221"/>
        <v>0</v>
      </c>
      <c r="P1854" s="5">
        <f t="shared" si="222"/>
        <v>0</v>
      </c>
      <c r="Q1854" s="5">
        <f>IF('1_Du_lieu'!C324="ĐBSH",1,0)</f>
        <v>0</v>
      </c>
      <c r="R1854" s="5">
        <f>IF('1_Du_lieu'!C324="BTB&amp;DHMT",1,0)</f>
        <v>1</v>
      </c>
      <c r="S1854" s="5">
        <f>IF('1_Du_lieu'!C324="ĐBSCL",1,0)</f>
        <v>0</v>
      </c>
      <c r="T1854" s="5">
        <f>IF('1_Du_lieu'!C324="TN",1,0)</f>
        <v>0</v>
      </c>
      <c r="U1854" s="5">
        <f>IF('1_Du_lieu'!C324="TDMNPB",1,0)</f>
        <v>0</v>
      </c>
    </row>
    <row r="1855" spans="1:21" x14ac:dyDescent="0.25">
      <c r="A1855" t="s">
        <v>93</v>
      </c>
      <c r="B1855">
        <v>2022</v>
      </c>
      <c r="C1855" s="7">
        <f>'1_Du_lieu'!V325</f>
        <v>2.9496883350525844</v>
      </c>
      <c r="D1855" s="9">
        <f>'1_Du_lieu'!W325</f>
        <v>4.2724907476055751</v>
      </c>
      <c r="E1855" s="9">
        <f>'1_Du_lieu'!L325</f>
        <v>5.149</v>
      </c>
      <c r="F1855" s="9">
        <f>'1_Du_lieu'!M325</f>
        <v>41.19</v>
      </c>
      <c r="G1855" s="9">
        <f>'1_Du_lieu'!N325</f>
        <v>25</v>
      </c>
      <c r="H1855" s="9">
        <f>'1_Du_lieu'!X325</f>
        <v>3.0194499686958518</v>
      </c>
      <c r="I1855" s="9">
        <f>'1_Du_lieu'!T325</f>
        <v>0.79771322209665629</v>
      </c>
      <c r="J1855" s="9">
        <f>'1_Du_lieu'!Y325</f>
        <v>6.6876072366477262</v>
      </c>
      <c r="K1855" s="9">
        <f>'1_Du_lieu'!O325</f>
        <v>22.8</v>
      </c>
      <c r="L1855" s="5">
        <f t="shared" si="218"/>
        <v>0</v>
      </c>
      <c r="M1855" s="5">
        <f t="shared" si="219"/>
        <v>0</v>
      </c>
      <c r="N1855" s="5">
        <f t="shared" si="220"/>
        <v>1</v>
      </c>
      <c r="O1855" s="5">
        <f t="shared" si="221"/>
        <v>0</v>
      </c>
      <c r="P1855" s="5">
        <f t="shared" si="222"/>
        <v>0</v>
      </c>
      <c r="Q1855" s="5">
        <f>IF('1_Du_lieu'!C325="ĐBSH",1,0)</f>
        <v>0</v>
      </c>
      <c r="R1855" s="5">
        <f>IF('1_Du_lieu'!C325="BTB&amp;DHMT",1,0)</f>
        <v>1</v>
      </c>
      <c r="S1855" s="5">
        <f>IF('1_Du_lieu'!C325="ĐBSCL",1,0)</f>
        <v>0</v>
      </c>
      <c r="T1855" s="5">
        <f>IF('1_Du_lieu'!C325="TN",1,0)</f>
        <v>0</v>
      </c>
      <c r="U1855" s="5">
        <f>IF('1_Du_lieu'!C325="TDMNPB",1,0)</f>
        <v>0</v>
      </c>
    </row>
    <row r="1856" spans="1:21" x14ac:dyDescent="0.25">
      <c r="A1856" t="s">
        <v>95</v>
      </c>
      <c r="B1856">
        <v>2022</v>
      </c>
      <c r="C1856" s="7">
        <f>'1_Du_lieu'!V327</f>
        <v>2.8449093838194073</v>
      </c>
      <c r="D1856" s="9">
        <f>'1_Du_lieu'!W327</f>
        <v>4.4343818650078095</v>
      </c>
      <c r="E1856" s="9">
        <f>'1_Du_lieu'!L327</f>
        <v>4.1779999999999999</v>
      </c>
      <c r="F1856" s="9">
        <f>'1_Du_lieu'!M327</f>
        <v>19.579999999999998</v>
      </c>
      <c r="G1856" s="9">
        <f>'1_Du_lieu'!N327</f>
        <v>32</v>
      </c>
      <c r="H1856" s="9">
        <f>'1_Du_lieu'!X327</f>
        <v>2.8277262890959798</v>
      </c>
      <c r="I1856" s="9">
        <f>'1_Du_lieu'!T327</f>
        <v>0.47596382674916704</v>
      </c>
      <c r="J1856" s="9">
        <f>'1_Du_lieu'!Y327</f>
        <v>8.5124620170403364</v>
      </c>
      <c r="K1856" s="9">
        <f>'1_Du_lieu'!O327</f>
        <v>19.8</v>
      </c>
      <c r="L1856" s="5">
        <f t="shared" si="218"/>
        <v>0</v>
      </c>
      <c r="M1856" s="5">
        <f t="shared" si="219"/>
        <v>0</v>
      </c>
      <c r="N1856" s="5">
        <f t="shared" si="220"/>
        <v>1</v>
      </c>
      <c r="O1856" s="5">
        <f t="shared" si="221"/>
        <v>0</v>
      </c>
      <c r="P1856" s="5">
        <f t="shared" si="222"/>
        <v>0</v>
      </c>
      <c r="Q1856" s="5">
        <f>IF('1_Du_lieu'!C327="ĐBSH",1,0)</f>
        <v>0</v>
      </c>
      <c r="R1856" s="5">
        <f>IF('1_Du_lieu'!C327="BTB&amp;DHMT",1,0)</f>
        <v>0</v>
      </c>
      <c r="S1856" s="5">
        <f>IF('1_Du_lieu'!C327="ĐBSCL",1,0)</f>
        <v>0</v>
      </c>
      <c r="T1856" s="5">
        <f>IF('1_Du_lieu'!C327="TN",1,0)</f>
        <v>0</v>
      </c>
      <c r="U1856" s="5">
        <f>IF('1_Du_lieu'!C327="TDMNPB",1,0)</f>
        <v>1</v>
      </c>
    </row>
    <row r="1857" spans="1:21" x14ac:dyDescent="0.25">
      <c r="A1857" t="s">
        <v>97</v>
      </c>
      <c r="B1857">
        <v>2022</v>
      </c>
      <c r="C1857" s="7">
        <f>'1_Du_lieu'!V328</f>
        <v>2.388762789235098</v>
      </c>
      <c r="D1857" s="9">
        <f>'1_Du_lieu'!W328</f>
        <v>3.8501476017100584</v>
      </c>
      <c r="E1857" s="9">
        <f>'1_Du_lieu'!L328</f>
        <v>2.1819999999999999</v>
      </c>
      <c r="F1857" s="9">
        <f>'1_Du_lieu'!M328</f>
        <v>22.69</v>
      </c>
      <c r="G1857" s="9">
        <f>'1_Du_lieu'!N328</f>
        <v>27.6</v>
      </c>
      <c r="H1857" s="9">
        <f>'1_Du_lieu'!X328</f>
        <v>1.8907805744012527</v>
      </c>
      <c r="I1857" s="9">
        <f>'1_Du_lieu'!T328</f>
        <v>0.92478421701602964</v>
      </c>
      <c r="J1857" s="9">
        <f>'1_Du_lieu'!Y328</f>
        <v>3.2347491740244907</v>
      </c>
      <c r="K1857" s="9">
        <f>'1_Du_lieu'!O328</f>
        <v>17.100000000000001</v>
      </c>
      <c r="L1857" s="5">
        <f t="shared" si="218"/>
        <v>0</v>
      </c>
      <c r="M1857" s="5">
        <f t="shared" si="219"/>
        <v>0</v>
      </c>
      <c r="N1857" s="5">
        <f t="shared" si="220"/>
        <v>1</v>
      </c>
      <c r="O1857" s="5">
        <f t="shared" si="221"/>
        <v>0</v>
      </c>
      <c r="P1857" s="5">
        <f t="shared" si="222"/>
        <v>0</v>
      </c>
      <c r="Q1857" s="5">
        <f>IF('1_Du_lieu'!C328="ĐBSH",1,0)</f>
        <v>0</v>
      </c>
      <c r="R1857" s="5">
        <f>IF('1_Du_lieu'!C328="BTB&amp;DHMT",1,0)</f>
        <v>0</v>
      </c>
      <c r="S1857" s="5">
        <f>IF('1_Du_lieu'!C328="ĐBSCL",1,0)</f>
        <v>0</v>
      </c>
      <c r="T1857" s="5">
        <f>IF('1_Du_lieu'!C328="TN",1,0)</f>
        <v>0</v>
      </c>
      <c r="U1857" s="5">
        <f>IF('1_Du_lieu'!C328="TDMNPB",1,0)</f>
        <v>1</v>
      </c>
    </row>
    <row r="1858" spans="1:21" x14ac:dyDescent="0.25">
      <c r="A1858" t="s">
        <v>98</v>
      </c>
      <c r="B1858">
        <v>2022</v>
      </c>
      <c r="C1858" s="7">
        <f>'1_Du_lieu'!V329</f>
        <v>3.2809112157876537</v>
      </c>
      <c r="D1858" s="9">
        <f>'1_Du_lieu'!W329</f>
        <v>5.1161957897567483</v>
      </c>
      <c r="E1858" s="9">
        <f>'1_Du_lieu'!L329</f>
        <v>10.007</v>
      </c>
      <c r="F1858" s="9">
        <f>'1_Du_lieu'!M329</f>
        <v>37.26</v>
      </c>
      <c r="G1858" s="9">
        <f>'1_Du_lieu'!N329</f>
        <v>34.4</v>
      </c>
      <c r="H1858" s="9">
        <f>'1_Du_lieu'!X329</f>
        <v>2.7160096608008284</v>
      </c>
      <c r="I1858" s="9">
        <f>'1_Du_lieu'!T329</f>
        <v>1.8813411274608616</v>
      </c>
      <c r="J1858" s="9">
        <f>'1_Du_lieu'!Y329</f>
        <v>9.6593820772008918</v>
      </c>
      <c r="K1858" s="9">
        <f>'1_Du_lieu'!O329</f>
        <v>30.8</v>
      </c>
      <c r="L1858" s="5">
        <f t="shared" si="218"/>
        <v>0</v>
      </c>
      <c r="M1858" s="5">
        <f t="shared" si="219"/>
        <v>0</v>
      </c>
      <c r="N1858" s="5">
        <f t="shared" si="220"/>
        <v>1</v>
      </c>
      <c r="O1858" s="5">
        <f t="shared" si="221"/>
        <v>0</v>
      </c>
      <c r="P1858" s="5">
        <f t="shared" si="222"/>
        <v>0</v>
      </c>
      <c r="Q1858" s="5">
        <f>IF('1_Du_lieu'!C329="ĐBSH",1,0)</f>
        <v>1</v>
      </c>
      <c r="R1858" s="5">
        <f>IF('1_Du_lieu'!C329="BTB&amp;DHMT",1,0)</f>
        <v>0</v>
      </c>
      <c r="S1858" s="5">
        <f>IF('1_Du_lieu'!C329="ĐBSCL",1,0)</f>
        <v>0</v>
      </c>
      <c r="T1858" s="5">
        <f>IF('1_Du_lieu'!C329="TN",1,0)</f>
        <v>0</v>
      </c>
      <c r="U1858" s="5">
        <f>IF('1_Du_lieu'!C329="TDMNPB",1,0)</f>
        <v>0</v>
      </c>
    </row>
    <row r="1859" spans="1:21" x14ac:dyDescent="0.25">
      <c r="A1859" t="s">
        <v>100</v>
      </c>
      <c r="B1859">
        <v>2022</v>
      </c>
      <c r="C1859" s="7">
        <f>'1_Du_lieu'!V330</f>
        <v>2.8678989020441064</v>
      </c>
      <c r="D1859" s="9">
        <f>'1_Du_lieu'!W330</f>
        <v>3.8794998137225858</v>
      </c>
      <c r="E1859" s="9">
        <f>'1_Du_lieu'!L330</f>
        <v>2.7519999999999998</v>
      </c>
      <c r="F1859" s="9">
        <f>'1_Du_lieu'!M330</f>
        <v>10.25</v>
      </c>
      <c r="G1859" s="9">
        <f>'1_Du_lieu'!N330</f>
        <v>11.9</v>
      </c>
      <c r="H1859" s="9">
        <f>'1_Du_lieu'!X330</f>
        <v>1.262205371411063</v>
      </c>
      <c r="I1859" s="9">
        <f>'1_Du_lieu'!T330</f>
        <v>0.46224961479198773</v>
      </c>
      <c r="J1859" s="9">
        <f>'1_Du_lieu'!Y330</f>
        <v>7.1083259694439551</v>
      </c>
      <c r="K1859" s="9">
        <f>'1_Du_lieu'!O330</f>
        <v>16.399999999999999</v>
      </c>
      <c r="L1859" s="5">
        <f t="shared" si="218"/>
        <v>0</v>
      </c>
      <c r="M1859" s="5">
        <f t="shared" si="219"/>
        <v>0</v>
      </c>
      <c r="N1859" s="5">
        <f t="shared" si="220"/>
        <v>1</v>
      </c>
      <c r="O1859" s="5">
        <f t="shared" si="221"/>
        <v>0</v>
      </c>
      <c r="P1859" s="5">
        <f t="shared" si="222"/>
        <v>0</v>
      </c>
      <c r="Q1859" s="5">
        <f>IF('1_Du_lieu'!C330="ĐBSH",1,0)</f>
        <v>0</v>
      </c>
      <c r="R1859" s="5">
        <f>IF('1_Du_lieu'!C330="BTB&amp;DHMT",1,0)</f>
        <v>0</v>
      </c>
      <c r="S1859" s="5">
        <f>IF('1_Du_lieu'!C330="ĐBSCL",1,0)</f>
        <v>1</v>
      </c>
      <c r="T1859" s="5">
        <f>IF('1_Du_lieu'!C330="TN",1,0)</f>
        <v>0</v>
      </c>
      <c r="U1859" s="5">
        <f>IF('1_Du_lieu'!C330="TDMNPB",1,0)</f>
        <v>0</v>
      </c>
    </row>
    <row r="1860" spans="1:21" x14ac:dyDescent="0.25">
      <c r="A1860" t="s">
        <v>102</v>
      </c>
      <c r="B1860">
        <v>2022</v>
      </c>
      <c r="C1860" s="7">
        <f>'1_Du_lieu'!V332</f>
        <v>2.5095992623783721</v>
      </c>
      <c r="D1860" s="9">
        <f>'1_Du_lieu'!W332</f>
        <v>4.0842942263685993</v>
      </c>
      <c r="E1860" s="9">
        <f>'1_Du_lieu'!L332</f>
        <v>3.1819999999999999</v>
      </c>
      <c r="F1860" s="9">
        <f>'1_Du_lieu'!M332</f>
        <v>22.84</v>
      </c>
      <c r="G1860" s="9">
        <f>'1_Du_lieu'!N332</f>
        <v>14.3</v>
      </c>
      <c r="H1860" s="9">
        <f>'1_Du_lieu'!X332</f>
        <v>-0.41115366539591419</v>
      </c>
      <c r="I1860" s="9">
        <f>'1_Du_lieu'!T332</f>
        <v>0.57966213978138459</v>
      </c>
      <c r="J1860" s="9">
        <f>'1_Du_lieu'!Y332</f>
        <v>4.8528112089026889</v>
      </c>
      <c r="K1860" s="9">
        <f>'1_Du_lieu'!O332</f>
        <v>16.5</v>
      </c>
      <c r="L1860" s="5">
        <f t="shared" si="218"/>
        <v>0</v>
      </c>
      <c r="M1860" s="5">
        <f t="shared" si="219"/>
        <v>0</v>
      </c>
      <c r="N1860" s="5">
        <f t="shared" si="220"/>
        <v>1</v>
      </c>
      <c r="O1860" s="5">
        <f t="shared" si="221"/>
        <v>0</v>
      </c>
      <c r="P1860" s="5">
        <f t="shared" si="222"/>
        <v>0</v>
      </c>
      <c r="Q1860" s="5">
        <f>IF('1_Du_lieu'!C332="ĐBSH",1,0)</f>
        <v>0</v>
      </c>
      <c r="R1860" s="5">
        <f>IF('1_Du_lieu'!C332="BTB&amp;DHMT",1,0)</f>
        <v>0</v>
      </c>
      <c r="S1860" s="5">
        <f>IF('1_Du_lieu'!C332="ĐBSCL",1,0)</f>
        <v>1</v>
      </c>
      <c r="T1860" s="5">
        <f>IF('1_Du_lieu'!C332="TN",1,0)</f>
        <v>0</v>
      </c>
      <c r="U1860" s="5">
        <f>IF('1_Du_lieu'!C332="TDMNPB",1,0)</f>
        <v>0</v>
      </c>
    </row>
    <row r="1861" spans="1:21" x14ac:dyDescent="0.25">
      <c r="A1861" t="s">
        <v>103</v>
      </c>
      <c r="B1861">
        <v>2022</v>
      </c>
      <c r="C1861" s="7">
        <f>'1_Du_lieu'!V333</f>
        <v>3.2884018875168111</v>
      </c>
      <c r="D1861" s="9">
        <f>'1_Du_lieu'!W333</f>
        <v>4.4624538837864964</v>
      </c>
      <c r="E1861" s="9">
        <f>'1_Du_lieu'!L333</f>
        <v>8.0329999999999995</v>
      </c>
      <c r="F1861" s="9">
        <f>'1_Du_lieu'!M333</f>
        <v>70.5</v>
      </c>
      <c r="G1861" s="9">
        <f>'1_Du_lieu'!N333</f>
        <v>22.9</v>
      </c>
      <c r="H1861" s="9">
        <f>'1_Du_lieu'!X333</f>
        <v>0.87762244934979738</v>
      </c>
      <c r="I1861" s="9">
        <f>'1_Du_lieu'!T333</f>
        <v>1.3575021959594347</v>
      </c>
      <c r="J1861" s="9">
        <f>'1_Du_lieu'!Y333</f>
        <v>7.501579238247297</v>
      </c>
      <c r="K1861" s="9">
        <f>'1_Du_lieu'!O333</f>
        <v>28.4</v>
      </c>
      <c r="L1861" s="5">
        <f t="shared" si="218"/>
        <v>0</v>
      </c>
      <c r="M1861" s="5">
        <f t="shared" si="219"/>
        <v>0</v>
      </c>
      <c r="N1861" s="5">
        <f t="shared" si="220"/>
        <v>1</v>
      </c>
      <c r="O1861" s="5">
        <f t="shared" si="221"/>
        <v>0</v>
      </c>
      <c r="P1861" s="5">
        <f t="shared" si="222"/>
        <v>0</v>
      </c>
      <c r="Q1861" s="5">
        <f>IF('1_Du_lieu'!C333="ĐBSH",1,0)</f>
        <v>0</v>
      </c>
      <c r="R1861" s="5">
        <f>IF('1_Du_lieu'!C333="BTB&amp;DHMT",1,0)</f>
        <v>0</v>
      </c>
      <c r="S1861" s="5">
        <f>IF('1_Du_lieu'!C333="ĐBSCL",1,0)</f>
        <v>1</v>
      </c>
      <c r="T1861" s="5">
        <f>IF('1_Du_lieu'!C333="TN",1,0)</f>
        <v>0</v>
      </c>
      <c r="U1861" s="5">
        <f>IF('1_Du_lieu'!C333="TDMNPB",1,0)</f>
        <v>0</v>
      </c>
    </row>
    <row r="1862" spans="1:21" x14ac:dyDescent="0.25">
      <c r="A1862" t="s">
        <v>104</v>
      </c>
      <c r="B1862">
        <v>2022</v>
      </c>
      <c r="C1862" s="7">
        <f>'1_Du_lieu'!V334</f>
        <v>2.631888840136646</v>
      </c>
      <c r="D1862" s="9">
        <f>'1_Du_lieu'!W334</f>
        <v>3.9908341858524357</v>
      </c>
      <c r="E1862" s="9">
        <f>'1_Du_lieu'!L334</f>
        <v>3.2919999999999998</v>
      </c>
      <c r="F1862" s="9">
        <f>'1_Du_lieu'!M334</f>
        <v>29.33</v>
      </c>
      <c r="G1862" s="9">
        <f>'1_Du_lieu'!N334</f>
        <v>15.3</v>
      </c>
      <c r="H1862" s="9">
        <f>'1_Du_lieu'!X334</f>
        <v>2.4487919397710241</v>
      </c>
      <c r="I1862" s="9">
        <f>'1_Du_lieu'!T334</f>
        <v>1.1942174732872406</v>
      </c>
      <c r="J1862" s="9">
        <f>'1_Du_lieu'!Y334</f>
        <v>4.0758410906575406</v>
      </c>
      <c r="K1862" s="9">
        <f>'1_Du_lieu'!O334</f>
        <v>17</v>
      </c>
      <c r="L1862" s="5">
        <f t="shared" si="218"/>
        <v>0</v>
      </c>
      <c r="M1862" s="5">
        <f t="shared" si="219"/>
        <v>0</v>
      </c>
      <c r="N1862" s="5">
        <f t="shared" si="220"/>
        <v>1</v>
      </c>
      <c r="O1862" s="5">
        <f t="shared" si="221"/>
        <v>0</v>
      </c>
      <c r="P1862" s="5">
        <f t="shared" si="222"/>
        <v>0</v>
      </c>
      <c r="Q1862" s="5">
        <f>IF('1_Du_lieu'!C334="ĐBSH",1,0)</f>
        <v>0</v>
      </c>
      <c r="R1862" s="5">
        <f>IF('1_Du_lieu'!C334="BTB&amp;DHMT",1,0)</f>
        <v>0</v>
      </c>
      <c r="S1862" s="5">
        <f>IF('1_Du_lieu'!C334="ĐBSCL",1,0)</f>
        <v>0</v>
      </c>
      <c r="T1862" s="5">
        <f>IF('1_Du_lieu'!C334="TN",1,0)</f>
        <v>1</v>
      </c>
      <c r="U1862" s="5">
        <f>IF('1_Du_lieu'!C334="TDMNPB",1,0)</f>
        <v>0</v>
      </c>
    </row>
    <row r="1863" spans="1:21" x14ac:dyDescent="0.25">
      <c r="A1863" t="s">
        <v>107</v>
      </c>
      <c r="B1863">
        <v>2022</v>
      </c>
      <c r="C1863" s="7">
        <f>'1_Du_lieu'!V336</f>
        <v>2.8903717578961645</v>
      </c>
      <c r="D1863" s="9">
        <f>'1_Du_lieu'!W336</f>
        <v>4.467056883858457</v>
      </c>
      <c r="E1863" s="9">
        <f>'1_Du_lieu'!L336</f>
        <v>5.8630000000000004</v>
      </c>
      <c r="F1863" s="9">
        <f>'1_Du_lieu'!M336</f>
        <v>28.02</v>
      </c>
      <c r="G1863" s="9">
        <f>'1_Du_lieu'!N336</f>
        <v>27.6</v>
      </c>
      <c r="H1863" s="9">
        <f>'1_Du_lieu'!X336</f>
        <v>2.8926909988317222</v>
      </c>
      <c r="I1863" s="9">
        <f>'1_Du_lieu'!T336</f>
        <v>1.2527047033367498</v>
      </c>
      <c r="J1863" s="9">
        <f>'1_Du_lieu'!Y336</f>
        <v>8.7140913251622045</v>
      </c>
      <c r="K1863" s="9">
        <f>'1_Du_lieu'!O336</f>
        <v>18.5</v>
      </c>
      <c r="L1863" s="5">
        <f t="shared" si="218"/>
        <v>0</v>
      </c>
      <c r="M1863" s="5">
        <f t="shared" si="219"/>
        <v>0</v>
      </c>
      <c r="N1863" s="5">
        <f t="shared" si="220"/>
        <v>1</v>
      </c>
      <c r="O1863" s="5">
        <f t="shared" si="221"/>
        <v>0</v>
      </c>
      <c r="P1863" s="5">
        <f t="shared" si="222"/>
        <v>0</v>
      </c>
      <c r="Q1863" s="5">
        <f>IF('1_Du_lieu'!C336="ĐBSH",1,0)</f>
        <v>1</v>
      </c>
      <c r="R1863" s="5">
        <f>IF('1_Du_lieu'!C336="BTB&amp;DHMT",1,0)</f>
        <v>0</v>
      </c>
      <c r="S1863" s="5">
        <f>IF('1_Du_lieu'!C336="ĐBSCL",1,0)</f>
        <v>0</v>
      </c>
      <c r="T1863" s="5">
        <f>IF('1_Du_lieu'!C336="TN",1,0)</f>
        <v>0</v>
      </c>
      <c r="U1863" s="5">
        <f>IF('1_Du_lieu'!C336="TDMNPB",1,0)</f>
        <v>0</v>
      </c>
    </row>
    <row r="1864" spans="1:21" x14ac:dyDescent="0.25">
      <c r="A1864" t="s">
        <v>108</v>
      </c>
      <c r="B1864">
        <v>2022</v>
      </c>
      <c r="C1864" s="7">
        <f>'1_Du_lieu'!V337</f>
        <v>4.4531838289902099</v>
      </c>
      <c r="D1864" s="9">
        <f>'1_Du_lieu'!W337</f>
        <v>4.9494688588587685</v>
      </c>
      <c r="E1864" s="9">
        <f>'1_Du_lieu'!L337</f>
        <v>22.169</v>
      </c>
      <c r="F1864" s="9">
        <f>'1_Du_lieu'!M337</f>
        <v>49.06</v>
      </c>
      <c r="G1864" s="9">
        <f>'1_Du_lieu'!N337</f>
        <v>50.3</v>
      </c>
      <c r="H1864" s="9">
        <f>'1_Du_lieu'!X337</f>
        <v>3.0496484336472913</v>
      </c>
      <c r="I1864" s="9">
        <f>'1_Du_lieu'!T337</f>
        <v>1.9204096873999785</v>
      </c>
      <c r="J1864" s="9">
        <f>'1_Du_lieu'!Y337</f>
        <v>8.4351802106955578</v>
      </c>
      <c r="K1864" s="9">
        <f>'1_Du_lieu'!O337</f>
        <v>55</v>
      </c>
      <c r="L1864" s="5">
        <f t="shared" si="218"/>
        <v>0</v>
      </c>
      <c r="M1864" s="5">
        <f t="shared" si="219"/>
        <v>0</v>
      </c>
      <c r="N1864" s="5">
        <f t="shared" si="220"/>
        <v>1</v>
      </c>
      <c r="O1864" s="5">
        <f t="shared" si="221"/>
        <v>0</v>
      </c>
      <c r="P1864" s="5">
        <f t="shared" si="222"/>
        <v>0</v>
      </c>
      <c r="Q1864" s="5">
        <f>IF('1_Du_lieu'!C337="ĐBSH",1,0)</f>
        <v>1</v>
      </c>
      <c r="R1864" s="5">
        <f>IF('1_Du_lieu'!C337="BTB&amp;DHMT",1,0)</f>
        <v>0</v>
      </c>
      <c r="S1864" s="5">
        <f>IF('1_Du_lieu'!C337="ĐBSCL",1,0)</f>
        <v>0</v>
      </c>
      <c r="T1864" s="5">
        <f>IF('1_Du_lieu'!C337="TN",1,0)</f>
        <v>0</v>
      </c>
      <c r="U1864" s="5">
        <f>IF('1_Du_lieu'!C337="TDMNPB",1,0)</f>
        <v>0</v>
      </c>
    </row>
    <row r="1865" spans="1:21" x14ac:dyDescent="0.25">
      <c r="A1865" t="s">
        <v>109</v>
      </c>
      <c r="B1865">
        <v>2022</v>
      </c>
      <c r="C1865" s="7">
        <f>'1_Du_lieu'!V338</f>
        <v>2.6390573296152584</v>
      </c>
      <c r="D1865" s="9">
        <f>'1_Du_lieu'!W338</f>
        <v>4.2752762647270011</v>
      </c>
      <c r="E1865" s="9">
        <f>'1_Du_lieu'!L338</f>
        <v>4.218</v>
      </c>
      <c r="F1865" s="9">
        <f>'1_Du_lieu'!M338</f>
        <v>22.3</v>
      </c>
      <c r="G1865" s="9">
        <f>'1_Du_lieu'!N338</f>
        <v>30.8</v>
      </c>
      <c r="H1865" s="9">
        <f>'1_Du_lieu'!X338</f>
        <v>3.3859009454391313</v>
      </c>
      <c r="I1865" s="9">
        <f>'1_Du_lieu'!T338</f>
        <v>0.37956426022925682</v>
      </c>
      <c r="J1865" s="9">
        <f>'1_Du_lieu'!Y338</f>
        <v>9.1183676167696159</v>
      </c>
      <c r="K1865" s="9">
        <f>'1_Du_lieu'!O338</f>
        <v>19.8</v>
      </c>
      <c r="L1865" s="5">
        <f t="shared" si="218"/>
        <v>0</v>
      </c>
      <c r="M1865" s="5">
        <f t="shared" si="219"/>
        <v>0</v>
      </c>
      <c r="N1865" s="5">
        <f t="shared" si="220"/>
        <v>1</v>
      </c>
      <c r="O1865" s="5">
        <f t="shared" si="221"/>
        <v>0</v>
      </c>
      <c r="P1865" s="5">
        <f t="shared" si="222"/>
        <v>0</v>
      </c>
      <c r="Q1865" s="5">
        <f>IF('1_Du_lieu'!C338="ĐBSH",1,0)</f>
        <v>0</v>
      </c>
      <c r="R1865" s="5">
        <f>IF('1_Du_lieu'!C338="BTB&amp;DHMT",1,0)</f>
        <v>1</v>
      </c>
      <c r="S1865" s="5">
        <f>IF('1_Du_lieu'!C338="ĐBSCL",1,0)</f>
        <v>0</v>
      </c>
      <c r="T1865" s="5">
        <f>IF('1_Du_lieu'!C338="TN",1,0)</f>
        <v>0</v>
      </c>
      <c r="U1865" s="5">
        <f>IF('1_Du_lieu'!C338="TDMNPB",1,0)</f>
        <v>0</v>
      </c>
    </row>
    <row r="1866" spans="1:21" x14ac:dyDescent="0.25">
      <c r="A1866" t="s">
        <v>110</v>
      </c>
      <c r="B1866">
        <v>2022</v>
      </c>
      <c r="C1866" s="7">
        <f>'1_Du_lieu'!V339</f>
        <v>2.3702437414678603</v>
      </c>
      <c r="D1866" s="9">
        <f>'1_Du_lieu'!W339</f>
        <v>4.2076732475291037</v>
      </c>
      <c r="E1866" s="9">
        <f>'1_Du_lieu'!L339</f>
        <v>3.3039999999999998</v>
      </c>
      <c r="F1866" s="9">
        <f>'1_Du_lieu'!M339</f>
        <v>25.43</v>
      </c>
      <c r="G1866" s="9">
        <f>'1_Du_lieu'!N339</f>
        <v>23.8</v>
      </c>
      <c r="H1866" s="9">
        <f>'1_Du_lieu'!X339</f>
        <v>2.2653099386064244</v>
      </c>
      <c r="I1866" s="9">
        <f>'1_Du_lieu'!T339</f>
        <v>1.1423349326022392</v>
      </c>
      <c r="J1866" s="9">
        <f>'1_Du_lieu'!Y339</f>
        <v>6.713684975153634</v>
      </c>
      <c r="K1866" s="9">
        <f>'1_Du_lieu'!O339</f>
        <v>24.7</v>
      </c>
      <c r="L1866" s="5">
        <f t="shared" si="218"/>
        <v>0</v>
      </c>
      <c r="M1866" s="5">
        <f t="shared" si="219"/>
        <v>0</v>
      </c>
      <c r="N1866" s="5">
        <f t="shared" si="220"/>
        <v>1</v>
      </c>
      <c r="O1866" s="5">
        <f t="shared" si="221"/>
        <v>0</v>
      </c>
      <c r="P1866" s="5">
        <f t="shared" si="222"/>
        <v>0</v>
      </c>
      <c r="Q1866" s="5">
        <f>IF('1_Du_lieu'!C339="ĐBSH",1,0)</f>
        <v>0</v>
      </c>
      <c r="R1866" s="5">
        <f>IF('1_Du_lieu'!C339="BTB&amp;DHMT",1,0)</f>
        <v>0</v>
      </c>
      <c r="S1866" s="5">
        <f>IF('1_Du_lieu'!C339="ĐBSCL",1,0)</f>
        <v>0</v>
      </c>
      <c r="T1866" s="5">
        <f>IF('1_Du_lieu'!C339="TN",1,0)</f>
        <v>0</v>
      </c>
      <c r="U1866" s="5">
        <f>IF('1_Du_lieu'!C339="TDMNPB",1,0)</f>
        <v>1</v>
      </c>
    </row>
    <row r="1867" spans="1:21" x14ac:dyDescent="0.25">
      <c r="A1867" t="s">
        <v>111</v>
      </c>
      <c r="B1867">
        <v>2022</v>
      </c>
      <c r="C1867" s="7">
        <f>'1_Du_lieu'!V340</f>
        <v>3.1527360223636558</v>
      </c>
      <c r="D1867" s="9">
        <f>'1_Du_lieu'!W340</f>
        <v>4.6298627985784631</v>
      </c>
      <c r="E1867" s="9">
        <f>'1_Du_lieu'!L340</f>
        <v>6.9470000000000001</v>
      </c>
      <c r="F1867" s="9">
        <f>'1_Du_lieu'!M340</f>
        <v>16.84</v>
      </c>
      <c r="G1867" s="9">
        <f>'1_Du_lieu'!N340</f>
        <v>28.1</v>
      </c>
      <c r="H1867" s="9">
        <f>'1_Du_lieu'!X340</f>
        <v>3.282132441752116</v>
      </c>
      <c r="I1867" s="9">
        <f>'1_Du_lieu'!T340</f>
        <v>1.8591680223100162</v>
      </c>
      <c r="J1867" s="9">
        <f>'1_Du_lieu'!Y340</f>
        <v>8.5471402677841901</v>
      </c>
      <c r="K1867" s="9">
        <f>'1_Du_lieu'!O340</f>
        <v>31.8</v>
      </c>
      <c r="L1867" s="5">
        <f t="shared" si="218"/>
        <v>0</v>
      </c>
      <c r="M1867" s="5">
        <f t="shared" si="219"/>
        <v>0</v>
      </c>
      <c r="N1867" s="5">
        <f t="shared" si="220"/>
        <v>1</v>
      </c>
      <c r="O1867" s="5">
        <f t="shared" si="221"/>
        <v>0</v>
      </c>
      <c r="P1867" s="5">
        <f t="shared" si="222"/>
        <v>0</v>
      </c>
      <c r="Q1867" s="5">
        <f>IF('1_Du_lieu'!C340="ĐBSH",1,0)</f>
        <v>1</v>
      </c>
      <c r="R1867" s="5">
        <f>IF('1_Du_lieu'!C340="BTB&amp;DHMT",1,0)</f>
        <v>0</v>
      </c>
      <c r="S1867" s="5">
        <f>IF('1_Du_lieu'!C340="ĐBSCL",1,0)</f>
        <v>0</v>
      </c>
      <c r="T1867" s="5">
        <f>IF('1_Du_lieu'!C340="TN",1,0)</f>
        <v>0</v>
      </c>
      <c r="U1867" s="5">
        <f>IF('1_Du_lieu'!C340="TDMNPB",1,0)</f>
        <v>0</v>
      </c>
    </row>
    <row r="1868" spans="1:21" x14ac:dyDescent="0.25">
      <c r="A1868" t="s">
        <v>112</v>
      </c>
      <c r="B1868">
        <v>2022</v>
      </c>
      <c r="C1868" s="7">
        <f>'1_Du_lieu'!V341</f>
        <v>3.1090609588609941</v>
      </c>
      <c r="D1868" s="9">
        <f>'1_Du_lieu'!W341</f>
        <v>4.4739218993781371</v>
      </c>
      <c r="E1868" s="9">
        <f>'1_Du_lieu'!L341</f>
        <v>5.4470000000000001</v>
      </c>
      <c r="F1868" s="9">
        <f>'1_Du_lieu'!M341</f>
        <v>31.75</v>
      </c>
      <c r="G1868" s="9">
        <f>'1_Du_lieu'!N341</f>
        <v>29.7</v>
      </c>
      <c r="H1868" s="9">
        <f>'1_Du_lieu'!X341</f>
        <v>3.1732481091670777</v>
      </c>
      <c r="I1868" s="9">
        <f>'1_Du_lieu'!T341</f>
        <v>0.5650297924799671</v>
      </c>
      <c r="J1868" s="9">
        <f>'1_Du_lieu'!Y341</f>
        <v>8.4576554787000404</v>
      </c>
      <c r="K1868" s="9">
        <f>'1_Du_lieu'!O341</f>
        <v>36.1</v>
      </c>
      <c r="L1868" s="5">
        <f t="shared" si="218"/>
        <v>0</v>
      </c>
      <c r="M1868" s="5">
        <f t="shared" si="219"/>
        <v>0</v>
      </c>
      <c r="N1868" s="5">
        <f t="shared" si="220"/>
        <v>1</v>
      </c>
      <c r="O1868" s="5">
        <f t="shared" si="221"/>
        <v>0</v>
      </c>
      <c r="P1868" s="5">
        <f t="shared" si="222"/>
        <v>0</v>
      </c>
      <c r="Q1868" s="5">
        <f>IF('1_Du_lieu'!C341="ĐBSH",1,0)</f>
        <v>1</v>
      </c>
      <c r="R1868" s="5">
        <f>IF('1_Du_lieu'!C341="BTB&amp;DHMT",1,0)</f>
        <v>0</v>
      </c>
      <c r="S1868" s="5">
        <f>IF('1_Du_lieu'!C341="ĐBSCL",1,0)</f>
        <v>0</v>
      </c>
      <c r="T1868" s="5">
        <f>IF('1_Du_lieu'!C341="TN",1,0)</f>
        <v>0</v>
      </c>
      <c r="U1868" s="5">
        <f>IF('1_Du_lieu'!C341="TDMNPB",1,0)</f>
        <v>0</v>
      </c>
    </row>
    <row r="1869" spans="1:21" x14ac:dyDescent="0.25">
      <c r="A1869" t="s">
        <v>113</v>
      </c>
      <c r="B1869">
        <v>2022</v>
      </c>
      <c r="C1869" s="7">
        <f>'1_Du_lieu'!V342</f>
        <v>3.4688560301359703</v>
      </c>
      <c r="D1869" s="9">
        <f>'1_Du_lieu'!W342</f>
        <v>5.1451661870538619</v>
      </c>
      <c r="E1869" s="9">
        <f>'1_Du_lieu'!L342</f>
        <v>9.9280000000000008</v>
      </c>
      <c r="F1869" s="9">
        <f>'1_Du_lieu'!M342</f>
        <v>45.58</v>
      </c>
      <c r="G1869" s="9">
        <f>'1_Du_lieu'!N342</f>
        <v>36.5</v>
      </c>
      <c r="H1869" s="9">
        <f>'1_Du_lieu'!X342</f>
        <v>4.0692829679328932</v>
      </c>
      <c r="I1869" s="9">
        <f>'1_Du_lieu'!T342</f>
        <v>1.7241379310344827</v>
      </c>
      <c r="J1869" s="9">
        <f>'1_Du_lieu'!Y342</f>
        <v>9.4025297479684866</v>
      </c>
      <c r="K1869" s="9">
        <f>'1_Du_lieu'!O342</f>
        <v>32.9</v>
      </c>
      <c r="L1869" s="5">
        <f t="shared" si="218"/>
        <v>0</v>
      </c>
      <c r="M1869" s="5">
        <f t="shared" si="219"/>
        <v>0</v>
      </c>
      <c r="N1869" s="5">
        <f t="shared" si="220"/>
        <v>1</v>
      </c>
      <c r="O1869" s="5">
        <f t="shared" si="221"/>
        <v>0</v>
      </c>
      <c r="P1869" s="5">
        <f t="shared" si="222"/>
        <v>0</v>
      </c>
      <c r="Q1869" s="5">
        <f>IF('1_Du_lieu'!C342="ĐBSH",1,0)</f>
        <v>1</v>
      </c>
      <c r="R1869" s="5">
        <f>IF('1_Du_lieu'!C342="BTB&amp;DHMT",1,0)</f>
        <v>0</v>
      </c>
      <c r="S1869" s="5">
        <f>IF('1_Du_lieu'!C342="ĐBSCL",1,0)</f>
        <v>0</v>
      </c>
      <c r="T1869" s="5">
        <f>IF('1_Du_lieu'!C342="TN",1,0)</f>
        <v>0</v>
      </c>
      <c r="U1869" s="5">
        <f>IF('1_Du_lieu'!C342="TDMNPB",1,0)</f>
        <v>0</v>
      </c>
    </row>
    <row r="1870" spans="1:21" x14ac:dyDescent="0.25">
      <c r="A1870" t="s">
        <v>114</v>
      </c>
      <c r="B1870">
        <v>2022</v>
      </c>
      <c r="C1870" s="7">
        <f>'1_Du_lieu'!V343</f>
        <v>2.4248027257182949</v>
      </c>
      <c r="D1870" s="9">
        <f>'1_Du_lieu'!W343</f>
        <v>4.2150861799182291</v>
      </c>
      <c r="E1870" s="9">
        <f>'1_Du_lieu'!L343</f>
        <v>3.4710000000000001</v>
      </c>
      <c r="F1870" s="9">
        <f>'1_Du_lieu'!M343</f>
        <v>28.1</v>
      </c>
      <c r="G1870" s="9">
        <f>'1_Du_lieu'!N343</f>
        <v>12.5</v>
      </c>
      <c r="H1870" s="9">
        <f>'1_Du_lieu'!X343</f>
        <v>1.1417181707316584</v>
      </c>
      <c r="I1870" s="9">
        <f>'1_Du_lieu'!T343</f>
        <v>0.68540095956134339</v>
      </c>
      <c r="J1870" s="9">
        <f>'1_Du_lieu'!Y343</f>
        <v>6.8474743480972071</v>
      </c>
      <c r="K1870" s="9">
        <f>'1_Du_lieu'!O343</f>
        <v>18.100000000000001</v>
      </c>
      <c r="L1870" s="5">
        <f t="shared" si="218"/>
        <v>0</v>
      </c>
      <c r="M1870" s="5">
        <f t="shared" si="219"/>
        <v>0</v>
      </c>
      <c r="N1870" s="5">
        <f t="shared" si="220"/>
        <v>1</v>
      </c>
      <c r="O1870" s="5">
        <f t="shared" si="221"/>
        <v>0</v>
      </c>
      <c r="P1870" s="5">
        <f t="shared" si="222"/>
        <v>0</v>
      </c>
      <c r="Q1870" s="5">
        <f>IF('1_Du_lieu'!C343="ĐBSH",1,0)</f>
        <v>0</v>
      </c>
      <c r="R1870" s="5">
        <f>IF('1_Du_lieu'!C343="BTB&amp;DHMT",1,0)</f>
        <v>0</v>
      </c>
      <c r="S1870" s="5">
        <f>IF('1_Du_lieu'!C343="ĐBSCL",1,0)</f>
        <v>1</v>
      </c>
      <c r="T1870" s="5">
        <f>IF('1_Du_lieu'!C343="TN",1,0)</f>
        <v>0</v>
      </c>
      <c r="U1870" s="5">
        <f>IF('1_Du_lieu'!C343="TDMNPB",1,0)</f>
        <v>0</v>
      </c>
    </row>
    <row r="1871" spans="1:21" x14ac:dyDescent="0.25">
      <c r="A1871" t="s">
        <v>115</v>
      </c>
      <c r="B1871">
        <v>2022</v>
      </c>
      <c r="C1871" s="7">
        <f>'1_Du_lieu'!V344</f>
        <v>3.1354942159291497</v>
      </c>
      <c r="D1871" s="9">
        <f>'1_Du_lieu'!W344</f>
        <v>4.3463994570307305</v>
      </c>
      <c r="E1871" s="9">
        <f>'1_Du_lieu'!L344</f>
        <v>8.93</v>
      </c>
      <c r="F1871" s="9">
        <f>'1_Du_lieu'!M344</f>
        <v>42.36</v>
      </c>
      <c r="G1871" s="9">
        <f>'1_Du_lieu'!N344</f>
        <v>25.3</v>
      </c>
      <c r="H1871" s="9">
        <f>'1_Du_lieu'!X344</f>
        <v>2.9604727634774077</v>
      </c>
      <c r="I1871" s="9">
        <f>'1_Du_lieu'!T344</f>
        <v>1.9936204146730463</v>
      </c>
      <c r="J1871" s="9">
        <f>'1_Du_lieu'!Y344</f>
        <v>8.1622025425416034</v>
      </c>
      <c r="K1871" s="9">
        <f>'1_Du_lieu'!O344</f>
        <v>32.200000000000003</v>
      </c>
      <c r="L1871" s="5">
        <f t="shared" si="218"/>
        <v>0</v>
      </c>
      <c r="M1871" s="5">
        <f t="shared" si="219"/>
        <v>0</v>
      </c>
      <c r="N1871" s="5">
        <f t="shared" si="220"/>
        <v>1</v>
      </c>
      <c r="O1871" s="5">
        <f t="shared" si="221"/>
        <v>0</v>
      </c>
      <c r="P1871" s="5">
        <f t="shared" si="222"/>
        <v>0</v>
      </c>
      <c r="Q1871" s="5">
        <f>IF('1_Du_lieu'!C344="ĐBSH",1,0)</f>
        <v>0</v>
      </c>
      <c r="R1871" s="5">
        <f>IF('1_Du_lieu'!C344="BTB&amp;DHMT",1,0)</f>
        <v>1</v>
      </c>
      <c r="S1871" s="5">
        <f>IF('1_Du_lieu'!C344="ĐBSCL",1,0)</f>
        <v>0</v>
      </c>
      <c r="T1871" s="5">
        <f>IF('1_Du_lieu'!C344="TN",1,0)</f>
        <v>0</v>
      </c>
      <c r="U1871" s="5">
        <f>IF('1_Du_lieu'!C344="TDMNPB",1,0)</f>
        <v>0</v>
      </c>
    </row>
    <row r="1872" spans="1:21" x14ac:dyDescent="0.25">
      <c r="A1872" t="s">
        <v>116</v>
      </c>
      <c r="B1872">
        <v>2022</v>
      </c>
      <c r="C1872" s="7">
        <f>'1_Du_lieu'!V345</f>
        <v>2.6461747973841225</v>
      </c>
      <c r="D1872" s="9">
        <f>'1_Du_lieu'!W345</f>
        <v>4.1956970564823886</v>
      </c>
      <c r="E1872" s="9">
        <f>'1_Du_lieu'!L345</f>
        <v>4.93</v>
      </c>
      <c r="F1872" s="9">
        <f>'1_Du_lieu'!M345</f>
        <v>29.84</v>
      </c>
      <c r="G1872" s="9">
        <f>'1_Du_lieu'!N345</f>
        <v>16</v>
      </c>
      <c r="H1872" s="9">
        <f>'1_Du_lieu'!X345</f>
        <v>0.47072405696842362</v>
      </c>
      <c r="I1872" s="9">
        <f>'1_Du_lieu'!T345</f>
        <v>5.4800776344331545</v>
      </c>
      <c r="J1872" s="9">
        <f>'1_Du_lieu'!Y345</f>
        <v>7.9181918767465218</v>
      </c>
      <c r="K1872" s="9">
        <f>'1_Du_lieu'!O345</f>
        <v>16.2</v>
      </c>
      <c r="L1872" s="5">
        <f t="shared" si="218"/>
        <v>0</v>
      </c>
      <c r="M1872" s="5">
        <f t="shared" si="219"/>
        <v>0</v>
      </c>
      <c r="N1872" s="5">
        <f t="shared" si="220"/>
        <v>1</v>
      </c>
      <c r="O1872" s="5">
        <f t="shared" si="221"/>
        <v>0</v>
      </c>
      <c r="P1872" s="5">
        <f t="shared" si="222"/>
        <v>0</v>
      </c>
      <c r="Q1872" s="5">
        <f>IF('1_Du_lieu'!C345="ĐBSH",1,0)</f>
        <v>0</v>
      </c>
      <c r="R1872" s="5">
        <f>IF('1_Du_lieu'!C345="BTB&amp;DHMT",1,0)</f>
        <v>0</v>
      </c>
      <c r="S1872" s="5">
        <f>IF('1_Du_lieu'!C345="ĐBSCL",1,0)</f>
        <v>1</v>
      </c>
      <c r="T1872" s="5">
        <f>IF('1_Du_lieu'!C345="TN",1,0)</f>
        <v>0</v>
      </c>
      <c r="U1872" s="5">
        <f>IF('1_Du_lieu'!C345="TDMNPB",1,0)</f>
        <v>0</v>
      </c>
    </row>
    <row r="1873" spans="1:21" x14ac:dyDescent="0.25">
      <c r="A1873" t="s">
        <v>117</v>
      </c>
      <c r="B1873">
        <v>2022</v>
      </c>
      <c r="C1873" s="7">
        <f>'1_Du_lieu'!V346</f>
        <v>2.3702437414678603</v>
      </c>
      <c r="D1873" s="9">
        <f>'1_Du_lieu'!W346</f>
        <v>3.9740583963475986</v>
      </c>
      <c r="E1873" s="9">
        <f>'1_Du_lieu'!L346</f>
        <v>3.5369999999999999</v>
      </c>
      <c r="F1873" s="9">
        <f>'1_Du_lieu'!M346</f>
        <v>32.51</v>
      </c>
      <c r="G1873" s="9">
        <f>'1_Du_lieu'!N346</f>
        <v>17.600000000000001</v>
      </c>
      <c r="H1873" s="9">
        <f>'1_Du_lieu'!X346</f>
        <v>2.6196049476791372</v>
      </c>
      <c r="I1873" s="9">
        <f>'1_Du_lieu'!T346</f>
        <v>0.86221762372822897</v>
      </c>
      <c r="J1873" s="9">
        <f>'1_Du_lieu'!Y346</f>
        <v>6.0502050421305817</v>
      </c>
      <c r="K1873" s="9">
        <f>'1_Du_lieu'!O346</f>
        <v>27</v>
      </c>
      <c r="L1873" s="5">
        <f t="shared" si="218"/>
        <v>0</v>
      </c>
      <c r="M1873" s="5">
        <f t="shared" si="219"/>
        <v>0</v>
      </c>
      <c r="N1873" s="5">
        <f t="shared" si="220"/>
        <v>1</v>
      </c>
      <c r="O1873" s="5">
        <f t="shared" si="221"/>
        <v>0</v>
      </c>
      <c r="P1873" s="5">
        <f t="shared" si="222"/>
        <v>0</v>
      </c>
      <c r="Q1873" s="5">
        <f>IF('1_Du_lieu'!C346="ĐBSH",1,0)</f>
        <v>0</v>
      </c>
      <c r="R1873" s="5">
        <f>IF('1_Du_lieu'!C346="BTB&amp;DHMT",1,0)</f>
        <v>0</v>
      </c>
      <c r="S1873" s="5">
        <f>IF('1_Du_lieu'!C346="ĐBSCL",1,0)</f>
        <v>0</v>
      </c>
      <c r="T1873" s="5">
        <f>IF('1_Du_lieu'!C346="TN",1,0)</f>
        <v>1</v>
      </c>
      <c r="U1873" s="5">
        <f>IF('1_Du_lieu'!C346="TDMNPB",1,0)</f>
        <v>0</v>
      </c>
    </row>
    <row r="1874" spans="1:21" x14ac:dyDescent="0.25">
      <c r="A1874" t="s">
        <v>119</v>
      </c>
      <c r="B1874">
        <v>2022</v>
      </c>
      <c r="C1874" s="7">
        <f>'1_Du_lieu'!V348</f>
        <v>3.0007198150650303</v>
      </c>
      <c r="D1874" s="9">
        <f>'1_Du_lieu'!W348</f>
        <v>4.5031374604229395</v>
      </c>
      <c r="E1874" s="9">
        <f>'1_Du_lieu'!L348</f>
        <v>6.6269999999999998</v>
      </c>
      <c r="F1874" s="9">
        <f>'1_Du_lieu'!M348</f>
        <v>18.37</v>
      </c>
      <c r="G1874" s="9">
        <f>'1_Du_lieu'!N348</f>
        <v>15.1</v>
      </c>
      <c r="H1874" s="9">
        <f>'1_Du_lieu'!X348</f>
        <v>1.3168967570367087</v>
      </c>
      <c r="I1874" s="9">
        <f>'1_Du_lieu'!T348</f>
        <v>0.46128120855676641</v>
      </c>
      <c r="J1874" s="9">
        <f>'1_Du_lieu'!Y348</f>
        <v>8.9159558884647261</v>
      </c>
      <c r="K1874" s="9">
        <f>'1_Du_lieu'!O348</f>
        <v>23.4</v>
      </c>
      <c r="L1874" s="5">
        <f t="shared" si="218"/>
        <v>0</v>
      </c>
      <c r="M1874" s="5">
        <f t="shared" si="219"/>
        <v>0</v>
      </c>
      <c r="N1874" s="5">
        <f t="shared" si="220"/>
        <v>1</v>
      </c>
      <c r="O1874" s="5">
        <f t="shared" si="221"/>
        <v>0</v>
      </c>
      <c r="P1874" s="5">
        <f t="shared" si="222"/>
        <v>0</v>
      </c>
      <c r="Q1874" s="5">
        <f>IF('1_Du_lieu'!C348="ĐBSH",1,0)</f>
        <v>0</v>
      </c>
      <c r="R1874" s="5">
        <f>IF('1_Du_lieu'!C348="BTB&amp;DHMT",1,0)</f>
        <v>0</v>
      </c>
      <c r="S1874" s="5">
        <f>IF('1_Du_lieu'!C348="ĐBSCL",1,0)</f>
        <v>1</v>
      </c>
      <c r="T1874" s="5">
        <f>IF('1_Du_lieu'!C348="TN",1,0)</f>
        <v>0</v>
      </c>
      <c r="U1874" s="5">
        <f>IF('1_Du_lieu'!C348="TDMNPB",1,0)</f>
        <v>0</v>
      </c>
    </row>
    <row r="1875" spans="1:21" x14ac:dyDescent="0.25">
      <c r="A1875" t="s">
        <v>120</v>
      </c>
      <c r="B1875">
        <v>2022</v>
      </c>
      <c r="C1875" s="7">
        <f>'1_Du_lieu'!V349</f>
        <v>2.5649493574615367</v>
      </c>
      <c r="D1875" s="9">
        <f>'1_Du_lieu'!W349</f>
        <v>4.423648309364701</v>
      </c>
      <c r="E1875" s="9">
        <f>'1_Du_lieu'!L349</f>
        <v>4.1920000000000002</v>
      </c>
      <c r="F1875" s="9">
        <f>'1_Du_lieu'!M349</f>
        <v>26.8</v>
      </c>
      <c r="G1875" s="9">
        <f>'1_Du_lieu'!N349</f>
        <v>22.7</v>
      </c>
      <c r="H1875" s="9">
        <f>'1_Du_lieu'!X349</f>
        <v>2.2227910783318956</v>
      </c>
      <c r="I1875" s="9">
        <f>'1_Du_lieu'!T349</f>
        <v>1.5572281339216196</v>
      </c>
      <c r="J1875" s="9">
        <f>'1_Du_lieu'!Y349</f>
        <v>6.6293632534374485</v>
      </c>
      <c r="K1875" s="9">
        <f>'1_Du_lieu'!O349</f>
        <v>17.899999999999999</v>
      </c>
      <c r="L1875" s="5">
        <f t="shared" si="218"/>
        <v>0</v>
      </c>
      <c r="M1875" s="5">
        <f t="shared" si="219"/>
        <v>0</v>
      </c>
      <c r="N1875" s="5">
        <f t="shared" si="220"/>
        <v>1</v>
      </c>
      <c r="O1875" s="5">
        <f t="shared" si="221"/>
        <v>0</v>
      </c>
      <c r="P1875" s="5">
        <f t="shared" si="222"/>
        <v>0</v>
      </c>
      <c r="Q1875" s="5">
        <f>IF('1_Du_lieu'!C349="ĐBSH",1,0)</f>
        <v>0</v>
      </c>
      <c r="R1875" s="5">
        <f>IF('1_Du_lieu'!C349="BTB&amp;DHMT",1,0)</f>
        <v>0</v>
      </c>
      <c r="S1875" s="5">
        <f>IF('1_Du_lieu'!C349="ĐBSCL",1,0)</f>
        <v>0</v>
      </c>
      <c r="T1875" s="5">
        <f>IF('1_Du_lieu'!C349="TN",1,0)</f>
        <v>0</v>
      </c>
      <c r="U1875" s="5">
        <f>IF('1_Du_lieu'!C349="TDMNPB",1,0)</f>
        <v>1</v>
      </c>
    </row>
    <row r="1876" spans="1:21" x14ac:dyDescent="0.25">
      <c r="A1876" t="s">
        <v>121</v>
      </c>
      <c r="B1876">
        <v>2022</v>
      </c>
      <c r="C1876" s="7">
        <f>'1_Du_lieu'!V350</f>
        <v>2.9755295662364718</v>
      </c>
      <c r="D1876" s="9">
        <f>'1_Du_lieu'!W350</f>
        <v>4.3502779363593014</v>
      </c>
      <c r="E1876" s="9">
        <f>'1_Du_lieu'!L350</f>
        <v>5.7679999999999998</v>
      </c>
      <c r="F1876" s="9">
        <f>'1_Du_lieu'!M350</f>
        <v>39.29</v>
      </c>
      <c r="G1876" s="9">
        <f>'1_Du_lieu'!N350</f>
        <v>21.8</v>
      </c>
      <c r="H1876" s="9">
        <f>'1_Du_lieu'!X350</f>
        <v>2.8758452436893234</v>
      </c>
      <c r="I1876" s="9">
        <f>'1_Du_lieu'!T350</f>
        <v>0.60037523452157604</v>
      </c>
      <c r="J1876" s="9">
        <f>'1_Du_lieu'!Y350</f>
        <v>5.9584246930297819</v>
      </c>
      <c r="K1876" s="9">
        <f>'1_Du_lieu'!O350</f>
        <v>35.4</v>
      </c>
      <c r="L1876" s="5">
        <f t="shared" si="218"/>
        <v>0</v>
      </c>
      <c r="M1876" s="5">
        <f t="shared" si="219"/>
        <v>0</v>
      </c>
      <c r="N1876" s="5">
        <f t="shared" si="220"/>
        <v>1</v>
      </c>
      <c r="O1876" s="5">
        <f t="shared" si="221"/>
        <v>0</v>
      </c>
      <c r="P1876" s="5">
        <f t="shared" si="222"/>
        <v>0</v>
      </c>
      <c r="Q1876" s="5">
        <f>IF('1_Du_lieu'!C350="ĐBSH",1,0)</f>
        <v>0</v>
      </c>
      <c r="R1876" s="5">
        <f>IF('1_Du_lieu'!C350="BTB&amp;DHMT",1,0)</f>
        <v>0</v>
      </c>
      <c r="S1876" s="5">
        <f>IF('1_Du_lieu'!C350="ĐBSCL",1,0)</f>
        <v>0</v>
      </c>
      <c r="T1876" s="5">
        <f>IF('1_Du_lieu'!C350="TN",1,0)</f>
        <v>1</v>
      </c>
      <c r="U1876" s="5">
        <f>IF('1_Du_lieu'!C350="TDMNPB",1,0)</f>
        <v>0</v>
      </c>
    </row>
    <row r="1877" spans="1:21" x14ac:dyDescent="0.25">
      <c r="A1877" t="s">
        <v>122</v>
      </c>
      <c r="B1877">
        <v>2022</v>
      </c>
      <c r="C1877" s="7">
        <f>'1_Du_lieu'!V351</f>
        <v>2.4423470353692043</v>
      </c>
      <c r="D1877" s="9">
        <f>'1_Du_lieu'!W351</f>
        <v>3.9318256327243257</v>
      </c>
      <c r="E1877" s="9">
        <f>'1_Du_lieu'!L351</f>
        <v>2.9260000000000002</v>
      </c>
      <c r="F1877" s="9">
        <f>'1_Du_lieu'!M351</f>
        <v>23.18</v>
      </c>
      <c r="G1877" s="9">
        <f>'1_Du_lieu'!N351</f>
        <v>28.5</v>
      </c>
      <c r="H1877" s="9">
        <f>'1_Du_lieu'!X351</f>
        <v>2.0304323970467162</v>
      </c>
      <c r="I1877" s="9">
        <f>'1_Du_lieu'!T351</f>
        <v>0.99738187258446576</v>
      </c>
      <c r="J1877" s="9">
        <f>'1_Du_lieu'!Y351</f>
        <v>5.7061130899944832</v>
      </c>
      <c r="K1877" s="9">
        <f>'1_Du_lieu'!O351</f>
        <v>12.6</v>
      </c>
      <c r="L1877" s="5">
        <f t="shared" si="218"/>
        <v>0</v>
      </c>
      <c r="M1877" s="5">
        <f t="shared" si="219"/>
        <v>0</v>
      </c>
      <c r="N1877" s="5">
        <f t="shared" si="220"/>
        <v>1</v>
      </c>
      <c r="O1877" s="5">
        <f t="shared" si="221"/>
        <v>0</v>
      </c>
      <c r="P1877" s="5">
        <f t="shared" si="222"/>
        <v>0</v>
      </c>
      <c r="Q1877" s="5">
        <f>IF('1_Du_lieu'!C351="ĐBSH",1,0)</f>
        <v>0</v>
      </c>
      <c r="R1877" s="5">
        <f>IF('1_Du_lieu'!C351="BTB&amp;DHMT",1,0)</f>
        <v>0</v>
      </c>
      <c r="S1877" s="5">
        <f>IF('1_Du_lieu'!C351="ĐBSCL",1,0)</f>
        <v>0</v>
      </c>
      <c r="T1877" s="5">
        <f>IF('1_Du_lieu'!C351="TN",1,0)</f>
        <v>0</v>
      </c>
      <c r="U1877" s="5">
        <f>IF('1_Du_lieu'!C351="TDMNPB",1,0)</f>
        <v>1</v>
      </c>
    </row>
    <row r="1878" spans="1:21" x14ac:dyDescent="0.25">
      <c r="A1878" t="s">
        <v>123</v>
      </c>
      <c r="B1878">
        <v>2022</v>
      </c>
      <c r="C1878" s="7">
        <f>'1_Du_lieu'!V352</f>
        <v>3.1904763503465028</v>
      </c>
      <c r="D1878" s="9">
        <f>'1_Du_lieu'!W352</f>
        <v>3.8565102954978872</v>
      </c>
      <c r="E1878" s="9">
        <f>'1_Du_lieu'!L352</f>
        <v>3.649</v>
      </c>
      <c r="F1878" s="9">
        <f>'1_Du_lieu'!M352</f>
        <v>20.27</v>
      </c>
      <c r="G1878" s="9">
        <f>'1_Du_lieu'!N352</f>
        <v>21.5</v>
      </c>
      <c r="H1878" s="9">
        <f>'1_Du_lieu'!X352</f>
        <v>2.1293562822706686</v>
      </c>
      <c r="I1878" s="9">
        <f>'1_Du_lieu'!T352</f>
        <v>1.2787042463636848</v>
      </c>
      <c r="J1878" s="9">
        <f>'1_Du_lieu'!Y352</f>
        <v>7.59231569860476</v>
      </c>
      <c r="K1878" s="9">
        <f>'1_Du_lieu'!O352</f>
        <v>17.3</v>
      </c>
      <c r="L1878" s="5">
        <f t="shared" si="218"/>
        <v>0</v>
      </c>
      <c r="M1878" s="5">
        <f t="shared" si="219"/>
        <v>0</v>
      </c>
      <c r="N1878" s="5">
        <f t="shared" si="220"/>
        <v>1</v>
      </c>
      <c r="O1878" s="5">
        <f t="shared" si="221"/>
        <v>0</v>
      </c>
      <c r="P1878" s="5">
        <f t="shared" si="222"/>
        <v>0</v>
      </c>
      <c r="Q1878" s="5">
        <f>IF('1_Du_lieu'!C352="ĐBSH",1,0)</f>
        <v>1</v>
      </c>
      <c r="R1878" s="5">
        <f>IF('1_Du_lieu'!C352="BTB&amp;DHMT",1,0)</f>
        <v>0</v>
      </c>
      <c r="S1878" s="5">
        <f>IF('1_Du_lieu'!C352="ĐBSCL",1,0)</f>
        <v>0</v>
      </c>
      <c r="T1878" s="5">
        <f>IF('1_Du_lieu'!C352="TN",1,0)</f>
        <v>0</v>
      </c>
      <c r="U1878" s="5">
        <f>IF('1_Du_lieu'!C352="TDMNPB",1,0)</f>
        <v>0</v>
      </c>
    </row>
    <row r="1879" spans="1:21" x14ac:dyDescent="0.25">
      <c r="A1879" t="s">
        <v>124</v>
      </c>
      <c r="B1879">
        <v>2022</v>
      </c>
      <c r="C1879" s="7">
        <f>'1_Du_lieu'!V353</f>
        <v>3.0587070727153796</v>
      </c>
      <c r="D1879" s="9">
        <f>'1_Du_lieu'!W353</f>
        <v>3.9357395320454622</v>
      </c>
      <c r="E1879" s="9">
        <f>'1_Du_lieu'!L353</f>
        <v>3.8460000000000001</v>
      </c>
      <c r="F1879" s="9">
        <f>'1_Du_lieu'!M353</f>
        <v>15.51</v>
      </c>
      <c r="G1879" s="9">
        <f>'1_Du_lieu'!N353</f>
        <v>25.3</v>
      </c>
      <c r="H1879" s="9">
        <f>'1_Du_lieu'!X353</f>
        <v>3.77716274361469</v>
      </c>
      <c r="I1879" s="9">
        <f>'1_Du_lieu'!T353</f>
        <v>3.1578947368421053</v>
      </c>
      <c r="J1879" s="9">
        <f>'1_Du_lieu'!Y353</f>
        <v>6.6243307967829974</v>
      </c>
      <c r="K1879" s="9">
        <f>'1_Du_lieu'!O353</f>
        <v>16.899999999999999</v>
      </c>
      <c r="L1879" s="5">
        <f t="shared" si="218"/>
        <v>0</v>
      </c>
      <c r="M1879" s="5">
        <f t="shared" si="219"/>
        <v>0</v>
      </c>
      <c r="N1879" s="5">
        <f t="shared" si="220"/>
        <v>1</v>
      </c>
      <c r="O1879" s="5">
        <f t="shared" si="221"/>
        <v>0</v>
      </c>
      <c r="P1879" s="5">
        <f t="shared" si="222"/>
        <v>0</v>
      </c>
      <c r="Q1879" s="5">
        <f>IF('1_Du_lieu'!C353="ĐBSH",1,0)</f>
        <v>0</v>
      </c>
      <c r="R1879" s="5">
        <f>IF('1_Du_lieu'!C353="BTB&amp;DHMT",1,0)</f>
        <v>1</v>
      </c>
      <c r="S1879" s="5">
        <f>IF('1_Du_lieu'!C353="ĐBSCL",1,0)</f>
        <v>0</v>
      </c>
      <c r="T1879" s="5">
        <f>IF('1_Du_lieu'!C353="TN",1,0)</f>
        <v>0</v>
      </c>
      <c r="U1879" s="5">
        <f>IF('1_Du_lieu'!C353="TDMNPB",1,0)</f>
        <v>0</v>
      </c>
    </row>
    <row r="1880" spans="1:21" x14ac:dyDescent="0.25">
      <c r="A1880" t="s">
        <v>125</v>
      </c>
      <c r="B1880">
        <v>2022</v>
      </c>
      <c r="C1880" s="7">
        <f>'1_Du_lieu'!V354</f>
        <v>2.884800712846709</v>
      </c>
      <c r="D1880" s="9">
        <f>'1_Du_lieu'!W354</f>
        <v>4.3795235044557632</v>
      </c>
      <c r="E1880" s="9">
        <f>'1_Du_lieu'!L354</f>
        <v>5.1070000000000002</v>
      </c>
      <c r="F1880" s="9">
        <f>'1_Du_lieu'!M354</f>
        <v>21.61</v>
      </c>
      <c r="G1880" s="9">
        <f>'1_Du_lieu'!N354</f>
        <v>31.8</v>
      </c>
      <c r="H1880" s="9">
        <f>'1_Du_lieu'!X354</f>
        <v>3.6335609281497008</v>
      </c>
      <c r="I1880" s="9">
        <f>'1_Du_lieu'!T354</f>
        <v>3.4626038781163437</v>
      </c>
      <c r="J1880" s="9">
        <f>'1_Du_lieu'!Y354</f>
        <v>7.369411666740044</v>
      </c>
      <c r="K1880" s="9">
        <f>'1_Du_lieu'!O354</f>
        <v>26.9</v>
      </c>
      <c r="L1880" s="5">
        <f t="shared" ref="L1880:L1943" si="223">IF(B1880=2020,1,0)</f>
        <v>0</v>
      </c>
      <c r="M1880" s="5">
        <f t="shared" ref="M1880:M1943" si="224">IF(B1880=2021,1,0)</f>
        <v>0</v>
      </c>
      <c r="N1880" s="5">
        <f t="shared" ref="N1880:N1943" si="225">IF(B1880=2022,1,0)</f>
        <v>1</v>
      </c>
      <c r="O1880" s="5">
        <f t="shared" ref="O1880:O1943" si="226">IF(B1880=2023,1,0)</f>
        <v>0</v>
      </c>
      <c r="P1880" s="5">
        <f t="shared" ref="P1880:P1943" si="227">IF(B1880=2024,1,0)</f>
        <v>0</v>
      </c>
      <c r="Q1880" s="5">
        <f>IF('1_Du_lieu'!C354="ĐBSH",1,0)</f>
        <v>1</v>
      </c>
      <c r="R1880" s="5">
        <f>IF('1_Du_lieu'!C354="BTB&amp;DHMT",1,0)</f>
        <v>0</v>
      </c>
      <c r="S1880" s="5">
        <f>IF('1_Du_lieu'!C354="ĐBSCL",1,0)</f>
        <v>0</v>
      </c>
      <c r="T1880" s="5">
        <f>IF('1_Du_lieu'!C354="TN",1,0)</f>
        <v>0</v>
      </c>
      <c r="U1880" s="5">
        <f>IF('1_Du_lieu'!C354="TDMNPB",1,0)</f>
        <v>0</v>
      </c>
    </row>
    <row r="1881" spans="1:21" x14ac:dyDescent="0.25">
      <c r="A1881" t="s">
        <v>126</v>
      </c>
      <c r="B1881">
        <v>2022</v>
      </c>
      <c r="C1881" s="7">
        <f>'1_Du_lieu'!V355</f>
        <v>2.6100697927420065</v>
      </c>
      <c r="D1881" s="9">
        <f>'1_Du_lieu'!W355</f>
        <v>4.3528552573736015</v>
      </c>
      <c r="E1881" s="9">
        <f>'1_Du_lieu'!L355</f>
        <v>4.9790000000000001</v>
      </c>
      <c r="F1881" s="9">
        <f>'1_Du_lieu'!M355</f>
        <v>35.46</v>
      </c>
      <c r="G1881" s="9">
        <f>'1_Du_lieu'!N355</f>
        <v>17.7</v>
      </c>
      <c r="H1881" s="9">
        <f>'1_Du_lieu'!X355</f>
        <v>2.4245795033472342</v>
      </c>
      <c r="I1881" s="9">
        <f>'1_Du_lieu'!T355</f>
        <v>1.0021713713044931</v>
      </c>
      <c r="J1881" s="9">
        <f>'1_Du_lieu'!Y355</f>
        <v>7.9721556229800576</v>
      </c>
      <c r="K1881" s="9">
        <f>'1_Du_lieu'!O355</f>
        <v>21.3</v>
      </c>
      <c r="L1881" s="5">
        <f t="shared" si="223"/>
        <v>0</v>
      </c>
      <c r="M1881" s="5">
        <f t="shared" si="224"/>
        <v>0</v>
      </c>
      <c r="N1881" s="5">
        <f t="shared" si="225"/>
        <v>1</v>
      </c>
      <c r="O1881" s="5">
        <f t="shared" si="226"/>
        <v>0</v>
      </c>
      <c r="P1881" s="5">
        <f t="shared" si="227"/>
        <v>0</v>
      </c>
      <c r="Q1881" s="5">
        <f>IF('1_Du_lieu'!C355="ĐBSH",1,0)</f>
        <v>0</v>
      </c>
      <c r="R1881" s="5">
        <f>IF('1_Du_lieu'!C355="BTB&amp;DHMT",1,0)</f>
        <v>1</v>
      </c>
      <c r="S1881" s="5">
        <f>IF('1_Du_lieu'!C355="ĐBSCL",1,0)</f>
        <v>0</v>
      </c>
      <c r="T1881" s="5">
        <f>IF('1_Du_lieu'!C355="TN",1,0)</f>
        <v>0</v>
      </c>
      <c r="U1881" s="5">
        <f>IF('1_Du_lieu'!C355="TDMNPB",1,0)</f>
        <v>0</v>
      </c>
    </row>
    <row r="1882" spans="1:21" x14ac:dyDescent="0.25">
      <c r="A1882" t="s">
        <v>127</v>
      </c>
      <c r="B1882">
        <v>2022</v>
      </c>
      <c r="C1882" s="7">
        <f>'1_Du_lieu'!V356</f>
        <v>2.6461747973841225</v>
      </c>
      <c r="D1882" s="9">
        <f>'1_Du_lieu'!W356</f>
        <v>4.0876555740713041</v>
      </c>
      <c r="E1882" s="9">
        <f>'1_Du_lieu'!L356</f>
        <v>4.0229999999999997</v>
      </c>
      <c r="F1882" s="9">
        <f>'1_Du_lieu'!M356</f>
        <v>19.350000000000001</v>
      </c>
      <c r="G1882" s="9">
        <f>'1_Du_lieu'!N356</f>
        <v>33.200000000000003</v>
      </c>
      <c r="H1882" s="9">
        <f>'1_Du_lieu'!X356</f>
        <v>3.0242620052652658</v>
      </c>
      <c r="I1882" s="9">
        <f>'1_Du_lieu'!T356</f>
        <v>1.3184784758388819</v>
      </c>
      <c r="J1882" s="9">
        <f>'1_Du_lieu'!Y356</f>
        <v>7.6338051792177906</v>
      </c>
      <c r="K1882" s="9">
        <f>'1_Du_lieu'!O356</f>
        <v>23.8</v>
      </c>
      <c r="L1882" s="5">
        <f t="shared" si="223"/>
        <v>0</v>
      </c>
      <c r="M1882" s="5">
        <f t="shared" si="224"/>
        <v>0</v>
      </c>
      <c r="N1882" s="5">
        <f t="shared" si="225"/>
        <v>1</v>
      </c>
      <c r="O1882" s="5">
        <f t="shared" si="226"/>
        <v>0</v>
      </c>
      <c r="P1882" s="5">
        <f t="shared" si="227"/>
        <v>0</v>
      </c>
      <c r="Q1882" s="5">
        <f>IF('1_Du_lieu'!C356="ĐBSH",1,0)</f>
        <v>0</v>
      </c>
      <c r="R1882" s="5">
        <f>IF('1_Du_lieu'!C356="BTB&amp;DHMT",1,0)</f>
        <v>0</v>
      </c>
      <c r="S1882" s="5">
        <f>IF('1_Du_lieu'!C356="ĐBSCL",1,0)</f>
        <v>0</v>
      </c>
      <c r="T1882" s="5">
        <f>IF('1_Du_lieu'!C356="TN",1,0)</f>
        <v>0</v>
      </c>
      <c r="U1882" s="5">
        <f>IF('1_Du_lieu'!C356="TDMNPB",1,0)</f>
        <v>1</v>
      </c>
    </row>
    <row r="1883" spans="1:21" x14ac:dyDescent="0.25">
      <c r="A1883" t="s">
        <v>128</v>
      </c>
      <c r="B1883">
        <v>2022</v>
      </c>
      <c r="C1883" s="7">
        <f>'1_Du_lieu'!V357</f>
        <v>2.6390573296152584</v>
      </c>
      <c r="D1883" s="9">
        <f>'1_Du_lieu'!W357</f>
        <v>4.0500443033255209</v>
      </c>
      <c r="E1883" s="9">
        <f>'1_Du_lieu'!L357</f>
        <v>3.7690000000000001</v>
      </c>
      <c r="F1883" s="9">
        <f>'1_Du_lieu'!M357</f>
        <v>32.71</v>
      </c>
      <c r="G1883" s="9">
        <f>'1_Du_lieu'!N357</f>
        <v>21.7</v>
      </c>
      <c r="H1883" s="9">
        <f>'1_Du_lieu'!X357</f>
        <v>2.5091280035892085</v>
      </c>
      <c r="I1883" s="9">
        <f>'1_Du_lieu'!T357</f>
        <v>0.45630846452201684</v>
      </c>
      <c r="J1883" s="9">
        <f>'1_Du_lieu'!Y357</f>
        <v>7.7502702911929058</v>
      </c>
      <c r="K1883" s="9">
        <f>'1_Du_lieu'!O357</f>
        <v>20.7</v>
      </c>
      <c r="L1883" s="5">
        <f t="shared" si="223"/>
        <v>0</v>
      </c>
      <c r="M1883" s="5">
        <f t="shared" si="224"/>
        <v>0</v>
      </c>
      <c r="N1883" s="5">
        <f t="shared" si="225"/>
        <v>1</v>
      </c>
      <c r="O1883" s="5">
        <f t="shared" si="226"/>
        <v>0</v>
      </c>
      <c r="P1883" s="5">
        <f t="shared" si="227"/>
        <v>0</v>
      </c>
      <c r="Q1883" s="5">
        <f>IF('1_Du_lieu'!C357="ĐBSH",1,0)</f>
        <v>0</v>
      </c>
      <c r="R1883" s="5">
        <f>IF('1_Du_lieu'!C357="BTB&amp;DHMT",1,0)</f>
        <v>1</v>
      </c>
      <c r="S1883" s="5">
        <f>IF('1_Du_lieu'!C357="ĐBSCL",1,0)</f>
        <v>0</v>
      </c>
      <c r="T1883" s="5">
        <f>IF('1_Du_lieu'!C357="TN",1,0)</f>
        <v>0</v>
      </c>
      <c r="U1883" s="5">
        <f>IF('1_Du_lieu'!C357="TDMNPB",1,0)</f>
        <v>0</v>
      </c>
    </row>
    <row r="1884" spans="1:21" x14ac:dyDescent="0.25">
      <c r="A1884" t="s">
        <v>129</v>
      </c>
      <c r="B1884">
        <v>2022</v>
      </c>
      <c r="C1884" s="7">
        <f>'1_Du_lieu'!V358</f>
        <v>2.653241964607215</v>
      </c>
      <c r="D1884" s="9">
        <f>'1_Du_lieu'!W358</f>
        <v>3.9945242269398897</v>
      </c>
      <c r="E1884" s="9">
        <f>'1_Du_lieu'!L358</f>
        <v>5.5030000000000001</v>
      </c>
      <c r="F1884" s="9">
        <f>'1_Du_lieu'!M358</f>
        <v>23.16</v>
      </c>
      <c r="G1884" s="9">
        <f>'1_Du_lieu'!N358</f>
        <v>27</v>
      </c>
      <c r="H1884" s="9">
        <f>'1_Du_lieu'!X358</f>
        <v>3.3856450372572775</v>
      </c>
      <c r="I1884" s="9">
        <f>'1_Du_lieu'!T358</f>
        <v>0.87536929642192796</v>
      </c>
      <c r="J1884" s="9">
        <f>'1_Du_lieu'!Y358</f>
        <v>7.1086532213490274</v>
      </c>
      <c r="K1884" s="9">
        <f>'1_Du_lieu'!O358</f>
        <v>14.7</v>
      </c>
      <c r="L1884" s="5">
        <f t="shared" si="223"/>
        <v>0</v>
      </c>
      <c r="M1884" s="5">
        <f t="shared" si="224"/>
        <v>0</v>
      </c>
      <c r="N1884" s="5">
        <f t="shared" si="225"/>
        <v>1</v>
      </c>
      <c r="O1884" s="5">
        <f t="shared" si="226"/>
        <v>0</v>
      </c>
      <c r="P1884" s="5">
        <f t="shared" si="227"/>
        <v>0</v>
      </c>
      <c r="Q1884" s="5">
        <f>IF('1_Du_lieu'!C358="ĐBSH",1,0)</f>
        <v>0</v>
      </c>
      <c r="R1884" s="5">
        <f>IF('1_Du_lieu'!C358="BTB&amp;DHMT",1,0)</f>
        <v>1</v>
      </c>
      <c r="S1884" s="5">
        <f>IF('1_Du_lieu'!C358="ĐBSCL",1,0)</f>
        <v>0</v>
      </c>
      <c r="T1884" s="5">
        <f>IF('1_Du_lieu'!C358="TN",1,0)</f>
        <v>0</v>
      </c>
      <c r="U1884" s="5">
        <f>IF('1_Du_lieu'!C358="TDMNPB",1,0)</f>
        <v>0</v>
      </c>
    </row>
    <row r="1885" spans="1:21" x14ac:dyDescent="0.25">
      <c r="A1885" t="s">
        <v>130</v>
      </c>
      <c r="B1885">
        <v>2022</v>
      </c>
      <c r="C1885" s="7">
        <f>'1_Du_lieu'!V359</f>
        <v>2.7725887222397811</v>
      </c>
      <c r="D1885" s="9">
        <f>'1_Du_lieu'!W359</f>
        <v>4.3656431554233572</v>
      </c>
      <c r="E1885" s="9">
        <f>'1_Du_lieu'!L359</f>
        <v>5.4340000000000002</v>
      </c>
      <c r="F1885" s="9">
        <f>'1_Du_lieu'!M359</f>
        <v>26.81</v>
      </c>
      <c r="G1885" s="9">
        <f>'1_Du_lieu'!N359</f>
        <v>26.7</v>
      </c>
      <c r="H1885" s="9">
        <f>'1_Du_lieu'!X359</f>
        <v>2.3764015542257981</v>
      </c>
      <c r="I1885" s="9">
        <f>'1_Du_lieu'!T359</f>
        <v>0.13163090693694879</v>
      </c>
      <c r="J1885" s="9">
        <f>'1_Du_lieu'!Y359</f>
        <v>8.3366540451843729</v>
      </c>
      <c r="K1885" s="9">
        <f>'1_Du_lieu'!O359</f>
        <v>20.9</v>
      </c>
      <c r="L1885" s="5">
        <f t="shared" si="223"/>
        <v>0</v>
      </c>
      <c r="M1885" s="5">
        <f t="shared" si="224"/>
        <v>0</v>
      </c>
      <c r="N1885" s="5">
        <f t="shared" si="225"/>
        <v>1</v>
      </c>
      <c r="O1885" s="5">
        <f t="shared" si="226"/>
        <v>0</v>
      </c>
      <c r="P1885" s="5">
        <f t="shared" si="227"/>
        <v>0</v>
      </c>
      <c r="Q1885" s="5">
        <f>IF('1_Du_lieu'!C359="ĐBSH",1,0)</f>
        <v>0</v>
      </c>
      <c r="R1885" s="5">
        <f>IF('1_Du_lieu'!C359="BTB&amp;DHMT",1,0)</f>
        <v>1</v>
      </c>
      <c r="S1885" s="5">
        <f>IF('1_Du_lieu'!C359="ĐBSCL",1,0)</f>
        <v>0</v>
      </c>
      <c r="T1885" s="5">
        <f>IF('1_Du_lieu'!C359="TN",1,0)</f>
        <v>0</v>
      </c>
      <c r="U1885" s="5">
        <f>IF('1_Du_lieu'!C359="TDMNPB",1,0)</f>
        <v>0</v>
      </c>
    </row>
    <row r="1886" spans="1:21" x14ac:dyDescent="0.25">
      <c r="A1886" t="s">
        <v>131</v>
      </c>
      <c r="B1886">
        <v>2022</v>
      </c>
      <c r="C1886" s="7">
        <f>'1_Du_lieu'!V360</f>
        <v>2.6461747973841225</v>
      </c>
      <c r="D1886" s="9">
        <f>'1_Du_lieu'!W360</f>
        <v>4.604169685654508</v>
      </c>
      <c r="E1886" s="9">
        <f>'1_Du_lieu'!L360</f>
        <v>4.45</v>
      </c>
      <c r="F1886" s="9">
        <f>'1_Du_lieu'!M360</f>
        <v>21.85</v>
      </c>
      <c r="G1886" s="9">
        <f>'1_Du_lieu'!N360</f>
        <v>25.2</v>
      </c>
      <c r="H1886" s="9">
        <f>'1_Du_lieu'!X360</f>
        <v>2.3807288593498392</v>
      </c>
      <c r="I1886" s="9">
        <f>'1_Du_lieu'!T360</f>
        <v>0.80282594733461798</v>
      </c>
      <c r="J1886" s="9">
        <f>'1_Du_lieu'!Y360</f>
        <v>7.4471100488621014</v>
      </c>
      <c r="K1886" s="9">
        <f>'1_Du_lieu'!O360</f>
        <v>21.8</v>
      </c>
      <c r="L1886" s="5">
        <f t="shared" si="223"/>
        <v>0</v>
      </c>
      <c r="M1886" s="5">
        <f t="shared" si="224"/>
        <v>0</v>
      </c>
      <c r="N1886" s="5">
        <f t="shared" si="225"/>
        <v>1</v>
      </c>
      <c r="O1886" s="5">
        <f t="shared" si="226"/>
        <v>0</v>
      </c>
      <c r="P1886" s="5">
        <f t="shared" si="227"/>
        <v>0</v>
      </c>
      <c r="Q1886" s="5">
        <f>IF('1_Du_lieu'!C360="ĐBSH",1,0)</f>
        <v>0</v>
      </c>
      <c r="R1886" s="5">
        <f>IF('1_Du_lieu'!C360="BTB&amp;DHMT",1,0)</f>
        <v>1</v>
      </c>
      <c r="S1886" s="5">
        <f>IF('1_Du_lieu'!C360="ĐBSCL",1,0)</f>
        <v>0</v>
      </c>
      <c r="T1886" s="5">
        <f>IF('1_Du_lieu'!C360="TN",1,0)</f>
        <v>0</v>
      </c>
      <c r="U1886" s="5">
        <f>IF('1_Du_lieu'!C360="TDMNPB",1,0)</f>
        <v>0</v>
      </c>
    </row>
    <row r="1887" spans="1:21" x14ac:dyDescent="0.25">
      <c r="A1887" t="s">
        <v>132</v>
      </c>
      <c r="B1887">
        <v>2022</v>
      </c>
      <c r="C1887" s="7">
        <f>'1_Du_lieu'!V361</f>
        <v>3.0587070727153796</v>
      </c>
      <c r="D1887" s="9">
        <f>'1_Du_lieu'!W361</f>
        <v>5.2745368378826329</v>
      </c>
      <c r="E1887" s="9">
        <f>'1_Du_lieu'!L361</f>
        <v>7.27</v>
      </c>
      <c r="F1887" s="9">
        <f>'1_Du_lieu'!M361</f>
        <v>67.36</v>
      </c>
      <c r="G1887" s="9">
        <f>'1_Du_lieu'!N361</f>
        <v>41.8</v>
      </c>
      <c r="H1887" s="9">
        <f>'1_Du_lieu'!X361</f>
        <v>3.7925772410767871</v>
      </c>
      <c r="I1887" s="9">
        <f>'1_Du_lieu'!T361</f>
        <v>2.4213075060532687</v>
      </c>
      <c r="J1887" s="9">
        <f>'1_Du_lieu'!Y361</f>
        <v>8.9179807099732908</v>
      </c>
      <c r="K1887" s="9">
        <f>'1_Du_lieu'!O361</f>
        <v>21.6</v>
      </c>
      <c r="L1887" s="5">
        <f t="shared" si="223"/>
        <v>0</v>
      </c>
      <c r="M1887" s="5">
        <f t="shared" si="224"/>
        <v>0</v>
      </c>
      <c r="N1887" s="5">
        <f t="shared" si="225"/>
        <v>1</v>
      </c>
      <c r="O1887" s="5">
        <f t="shared" si="226"/>
        <v>0</v>
      </c>
      <c r="P1887" s="5">
        <f t="shared" si="227"/>
        <v>0</v>
      </c>
      <c r="Q1887" s="5">
        <f>IF('1_Du_lieu'!C361="ĐBSH",1,0)</f>
        <v>1</v>
      </c>
      <c r="R1887" s="5">
        <f>IF('1_Du_lieu'!C361="BTB&amp;DHMT",1,0)</f>
        <v>0</v>
      </c>
      <c r="S1887" s="5">
        <f>IF('1_Du_lieu'!C361="ĐBSCL",1,0)</f>
        <v>0</v>
      </c>
      <c r="T1887" s="5">
        <f>IF('1_Du_lieu'!C361="TN",1,0)</f>
        <v>0</v>
      </c>
      <c r="U1887" s="5">
        <f>IF('1_Du_lieu'!C361="TDMNPB",1,0)</f>
        <v>0</v>
      </c>
    </row>
    <row r="1888" spans="1:21" x14ac:dyDescent="0.25">
      <c r="A1888" t="s">
        <v>133</v>
      </c>
      <c r="B1888">
        <v>2022</v>
      </c>
      <c r="C1888" s="7">
        <f>'1_Du_lieu'!V362</f>
        <v>2.631888840136646</v>
      </c>
      <c r="D1888" s="9">
        <f>'1_Du_lieu'!W362</f>
        <v>4.2076732475291037</v>
      </c>
      <c r="E1888" s="9">
        <f>'1_Du_lieu'!L362</f>
        <v>5.0279999999999996</v>
      </c>
      <c r="F1888" s="9">
        <f>'1_Du_lieu'!M362</f>
        <v>32.659999999999997</v>
      </c>
      <c r="G1888" s="9">
        <f>'1_Du_lieu'!N362</f>
        <v>27.1</v>
      </c>
      <c r="H1888" s="9">
        <f>'1_Du_lieu'!X362</f>
        <v>2.9230508924444827</v>
      </c>
      <c r="I1888" s="9">
        <f>'1_Du_lieu'!T362</f>
        <v>6.145337225380243</v>
      </c>
      <c r="J1888" s="9">
        <f>'1_Du_lieu'!Y362</f>
        <v>8.2633326674399665</v>
      </c>
      <c r="K1888" s="9">
        <f>'1_Du_lieu'!O362</f>
        <v>28.4</v>
      </c>
      <c r="L1888" s="5">
        <f t="shared" si="223"/>
        <v>0</v>
      </c>
      <c r="M1888" s="5">
        <f t="shared" si="224"/>
        <v>0</v>
      </c>
      <c r="N1888" s="5">
        <f t="shared" si="225"/>
        <v>1</v>
      </c>
      <c r="O1888" s="5">
        <f t="shared" si="226"/>
        <v>0</v>
      </c>
      <c r="P1888" s="5">
        <f t="shared" si="227"/>
        <v>0</v>
      </c>
      <c r="Q1888" s="5">
        <f>IF('1_Du_lieu'!C362="ĐBSH",1,0)</f>
        <v>0</v>
      </c>
      <c r="R1888" s="5">
        <f>IF('1_Du_lieu'!C362="BTB&amp;DHMT",1,0)</f>
        <v>1</v>
      </c>
      <c r="S1888" s="5">
        <f>IF('1_Du_lieu'!C362="ĐBSCL",1,0)</f>
        <v>0</v>
      </c>
      <c r="T1888" s="5">
        <f>IF('1_Du_lieu'!C362="TN",1,0)</f>
        <v>0</v>
      </c>
      <c r="U1888" s="5">
        <f>IF('1_Du_lieu'!C362="TDMNPB",1,0)</f>
        <v>0</v>
      </c>
    </row>
    <row r="1889" spans="1:21" x14ac:dyDescent="0.25">
      <c r="A1889" t="s">
        <v>136</v>
      </c>
      <c r="B1889">
        <v>2022</v>
      </c>
      <c r="C1889" s="7">
        <f>'1_Du_lieu'!V365</f>
        <v>4.5064542130489338</v>
      </c>
      <c r="D1889" s="9">
        <f>'1_Du_lieu'!W365</f>
        <v>5.072043922224899</v>
      </c>
      <c r="E1889" s="9">
        <f>'1_Du_lieu'!L365</f>
        <v>29.187999999999999</v>
      </c>
      <c r="F1889" s="9">
        <f>'1_Du_lieu'!M365</f>
        <v>77.72</v>
      </c>
      <c r="G1889" s="9">
        <f>'1_Du_lieu'!N365</f>
        <v>35.6</v>
      </c>
      <c r="H1889" s="9">
        <f>'1_Du_lieu'!X365</f>
        <v>2.6717863427103232</v>
      </c>
      <c r="I1889" s="9">
        <f>'1_Du_lieu'!T365</f>
        <v>3.0565406775509332</v>
      </c>
      <c r="J1889" s="9">
        <f>'1_Du_lieu'!Y365</f>
        <v>8.6980803866720127</v>
      </c>
      <c r="K1889" s="9">
        <f>'1_Du_lieu'!O365</f>
        <v>54.4</v>
      </c>
      <c r="L1889" s="5">
        <f t="shared" si="223"/>
        <v>0</v>
      </c>
      <c r="M1889" s="5">
        <f t="shared" si="224"/>
        <v>0</v>
      </c>
      <c r="N1889" s="5">
        <f t="shared" si="225"/>
        <v>1</v>
      </c>
      <c r="O1889" s="5">
        <f t="shared" si="226"/>
        <v>0</v>
      </c>
      <c r="P1889" s="5">
        <f t="shared" si="227"/>
        <v>0</v>
      </c>
      <c r="Q1889" s="5">
        <f>IF('1_Du_lieu'!C365="ĐBSH",1,0)</f>
        <v>0</v>
      </c>
      <c r="R1889" s="5">
        <f>IF('1_Du_lieu'!C365="BTB&amp;DHMT",1,0)</f>
        <v>0</v>
      </c>
      <c r="S1889" s="5">
        <f>IF('1_Du_lieu'!C365="ĐBSCL",1,0)</f>
        <v>0</v>
      </c>
      <c r="T1889" s="5">
        <f>IF('1_Du_lieu'!C365="TN",1,0)</f>
        <v>0</v>
      </c>
      <c r="U1889" s="5">
        <f>IF('1_Du_lieu'!C365="TDMNPB",1,0)</f>
        <v>0</v>
      </c>
    </row>
    <row r="1890" spans="1:21" x14ac:dyDescent="0.25">
      <c r="A1890" t="s">
        <v>137</v>
      </c>
      <c r="B1890">
        <v>2022</v>
      </c>
      <c r="C1890" s="7">
        <f>'1_Du_lieu'!V366</f>
        <v>3.0587070727153796</v>
      </c>
      <c r="D1890" s="9">
        <f>'1_Du_lieu'!W366</f>
        <v>4.2355547307736243</v>
      </c>
      <c r="E1890" s="9">
        <f>'1_Du_lieu'!L366</f>
        <v>4.1630000000000003</v>
      </c>
      <c r="F1890" s="9">
        <f>'1_Du_lieu'!M366</f>
        <v>27.67</v>
      </c>
      <c r="G1890" s="9">
        <f>'1_Du_lieu'!N366</f>
        <v>26.4</v>
      </c>
      <c r="H1890" s="9">
        <f>'1_Du_lieu'!X366</f>
        <v>2.7374847486813603</v>
      </c>
      <c r="I1890" s="9">
        <f>'1_Du_lieu'!T366</f>
        <v>0.77913006098707716</v>
      </c>
      <c r="J1890" s="9">
        <f>'1_Du_lieu'!Y366</f>
        <v>8.2918221611116767</v>
      </c>
      <c r="K1890" s="9">
        <f>'1_Du_lieu'!O366</f>
        <v>18</v>
      </c>
      <c r="L1890" s="5">
        <f t="shared" si="223"/>
        <v>0</v>
      </c>
      <c r="M1890" s="5">
        <f t="shared" si="224"/>
        <v>0</v>
      </c>
      <c r="N1890" s="5">
        <f t="shared" si="225"/>
        <v>1</v>
      </c>
      <c r="O1890" s="5">
        <f t="shared" si="226"/>
        <v>0</v>
      </c>
      <c r="P1890" s="5">
        <f t="shared" si="227"/>
        <v>0</v>
      </c>
      <c r="Q1890" s="5">
        <f>IF('1_Du_lieu'!C366="ĐBSH",1,0)</f>
        <v>0</v>
      </c>
      <c r="R1890" s="5">
        <f>IF('1_Du_lieu'!C366="BTB&amp;DHMT",1,0)</f>
        <v>1</v>
      </c>
      <c r="S1890" s="5">
        <f>IF('1_Du_lieu'!C366="ĐBSCL",1,0)</f>
        <v>0</v>
      </c>
      <c r="T1890" s="5">
        <f>IF('1_Du_lieu'!C366="TN",1,0)</f>
        <v>0</v>
      </c>
      <c r="U1890" s="5">
        <f>IF('1_Du_lieu'!C366="TDMNPB",1,0)</f>
        <v>0</v>
      </c>
    </row>
    <row r="1891" spans="1:21" x14ac:dyDescent="0.25">
      <c r="A1891" t="s">
        <v>138</v>
      </c>
      <c r="B1891">
        <v>2022</v>
      </c>
      <c r="C1891" s="7">
        <f>'1_Du_lieu'!V367</f>
        <v>2.8094026953624978</v>
      </c>
      <c r="D1891" s="9">
        <f>'1_Du_lieu'!W367</f>
        <v>4.0552571735140539</v>
      </c>
      <c r="E1891" s="9">
        <f>'1_Du_lieu'!L367</f>
        <v>3.1579999999999999</v>
      </c>
      <c r="F1891" s="9">
        <f>'1_Du_lieu'!M367</f>
        <v>11.76</v>
      </c>
      <c r="G1891" s="9">
        <f>'1_Du_lieu'!N367</f>
        <v>19.600000000000001</v>
      </c>
      <c r="H1891" s="9">
        <f>'1_Du_lieu'!X367</f>
        <v>1.7666759542316288</v>
      </c>
      <c r="I1891" s="9">
        <f>'1_Du_lieu'!T367</f>
        <v>0.90497737556561098</v>
      </c>
      <c r="J1891" s="9">
        <f>'1_Du_lieu'!Y367</f>
        <v>6.9571167085198606</v>
      </c>
      <c r="K1891" s="9">
        <f>'1_Du_lieu'!O367</f>
        <v>14.8</v>
      </c>
      <c r="L1891" s="5">
        <f t="shared" si="223"/>
        <v>0</v>
      </c>
      <c r="M1891" s="5">
        <f t="shared" si="224"/>
        <v>0</v>
      </c>
      <c r="N1891" s="5">
        <f t="shared" si="225"/>
        <v>1</v>
      </c>
      <c r="O1891" s="5">
        <f t="shared" si="226"/>
        <v>0</v>
      </c>
      <c r="P1891" s="5">
        <f t="shared" si="227"/>
        <v>0</v>
      </c>
      <c r="Q1891" s="5">
        <f>IF('1_Du_lieu'!C367="ĐBSH",1,0)</f>
        <v>1</v>
      </c>
      <c r="R1891" s="5">
        <f>IF('1_Du_lieu'!C367="BTB&amp;DHMT",1,0)</f>
        <v>0</v>
      </c>
      <c r="S1891" s="5">
        <f>IF('1_Du_lieu'!C367="ĐBSCL",1,0)</f>
        <v>0</v>
      </c>
      <c r="T1891" s="5">
        <f>IF('1_Du_lieu'!C367="TN",1,0)</f>
        <v>0</v>
      </c>
      <c r="U1891" s="5">
        <f>IF('1_Du_lieu'!C367="TDMNPB",1,0)</f>
        <v>0</v>
      </c>
    </row>
    <row r="1892" spans="1:21" x14ac:dyDescent="0.25">
      <c r="A1892" t="s">
        <v>139</v>
      </c>
      <c r="B1892">
        <v>2022</v>
      </c>
      <c r="C1892" s="7">
        <f>'1_Du_lieu'!V368</f>
        <v>3.0155349008501706</v>
      </c>
      <c r="D1892" s="9">
        <f>'1_Du_lieu'!W368</f>
        <v>4.6830567246451622</v>
      </c>
      <c r="E1892" s="9">
        <f>'1_Du_lieu'!L368</f>
        <v>4.07</v>
      </c>
      <c r="F1892" s="9">
        <f>'1_Du_lieu'!M368</f>
        <v>39.340000000000003</v>
      </c>
      <c r="G1892" s="9">
        <f>'1_Du_lieu'!N368</f>
        <v>35.9</v>
      </c>
      <c r="H1892" s="9">
        <f>'1_Du_lieu'!X368</f>
        <v>3.6128782814979066</v>
      </c>
      <c r="I1892" s="9">
        <f>'1_Du_lieu'!T368</f>
        <v>1.721556886227545</v>
      </c>
      <c r="J1892" s="9">
        <f>'1_Du_lieu'!Y368</f>
        <v>8.9680394851202792</v>
      </c>
      <c r="K1892" s="9">
        <f>'1_Du_lieu'!O368</f>
        <v>27.6</v>
      </c>
      <c r="L1892" s="5">
        <f t="shared" si="223"/>
        <v>0</v>
      </c>
      <c r="M1892" s="5">
        <f t="shared" si="224"/>
        <v>0</v>
      </c>
      <c r="N1892" s="5">
        <f t="shared" si="225"/>
        <v>1</v>
      </c>
      <c r="O1892" s="5">
        <f t="shared" si="226"/>
        <v>0</v>
      </c>
      <c r="P1892" s="5">
        <f t="shared" si="227"/>
        <v>0</v>
      </c>
      <c r="Q1892" s="5">
        <f>IF('1_Du_lieu'!C368="ĐBSH",1,0)</f>
        <v>0</v>
      </c>
      <c r="R1892" s="5">
        <f>IF('1_Du_lieu'!C368="BTB&amp;DHMT",1,0)</f>
        <v>0</v>
      </c>
      <c r="S1892" s="5">
        <f>IF('1_Du_lieu'!C368="ĐBSCL",1,0)</f>
        <v>0</v>
      </c>
      <c r="T1892" s="5">
        <f>IF('1_Du_lieu'!C368="TN",1,0)</f>
        <v>0</v>
      </c>
      <c r="U1892" s="5">
        <f>IF('1_Du_lieu'!C368="TDMNPB",1,0)</f>
        <v>1</v>
      </c>
    </row>
    <row r="1893" spans="1:21" x14ac:dyDescent="0.25">
      <c r="A1893" t="s">
        <v>141</v>
      </c>
      <c r="B1893">
        <v>2022</v>
      </c>
      <c r="C1893" s="7">
        <f>'1_Du_lieu'!V370</f>
        <v>2.6173958328340792</v>
      </c>
      <c r="D1893" s="9">
        <f>'1_Du_lieu'!W370</f>
        <v>4.1415461637063951</v>
      </c>
      <c r="E1893" s="9">
        <f>'1_Du_lieu'!L370</f>
        <v>3.0979999999999999</v>
      </c>
      <c r="F1893" s="9">
        <f>'1_Du_lieu'!M370</f>
        <v>15.23</v>
      </c>
      <c r="G1893" s="9">
        <f>'1_Du_lieu'!N370</f>
        <v>13.3</v>
      </c>
      <c r="H1893" s="9">
        <f>'1_Du_lieu'!X370</f>
        <v>0.44651114206029646</v>
      </c>
      <c r="I1893" s="9">
        <f>'1_Du_lieu'!T370</f>
        <v>0.84024198969303154</v>
      </c>
      <c r="J1893" s="9">
        <f>'1_Du_lieu'!Y370</f>
        <v>7.3583849390446749</v>
      </c>
      <c r="K1893" s="9">
        <f>'1_Du_lieu'!O370</f>
        <v>18.100000000000001</v>
      </c>
      <c r="L1893" s="5">
        <f t="shared" si="223"/>
        <v>0</v>
      </c>
      <c r="M1893" s="5">
        <f t="shared" si="224"/>
        <v>0</v>
      </c>
      <c r="N1893" s="5">
        <f t="shared" si="225"/>
        <v>1</v>
      </c>
      <c r="O1893" s="5">
        <f t="shared" si="226"/>
        <v>0</v>
      </c>
      <c r="P1893" s="5">
        <f t="shared" si="227"/>
        <v>0</v>
      </c>
      <c r="Q1893" s="5">
        <f>IF('1_Du_lieu'!C370="ĐBSH",1,0)</f>
        <v>0</v>
      </c>
      <c r="R1893" s="5">
        <f>IF('1_Du_lieu'!C370="BTB&amp;DHMT",1,0)</f>
        <v>0</v>
      </c>
      <c r="S1893" s="5">
        <f>IF('1_Du_lieu'!C370="ĐBSCL",1,0)</f>
        <v>1</v>
      </c>
      <c r="T1893" s="5">
        <f>IF('1_Du_lieu'!C370="TN",1,0)</f>
        <v>0</v>
      </c>
      <c r="U1893" s="5">
        <f>IF('1_Du_lieu'!C370="TDMNPB",1,0)</f>
        <v>0</v>
      </c>
    </row>
    <row r="1894" spans="1:21" x14ac:dyDescent="0.25">
      <c r="A1894" t="s">
        <v>142</v>
      </c>
      <c r="B1894">
        <v>2022</v>
      </c>
      <c r="C1894" s="7">
        <f>'1_Du_lieu'!V371</f>
        <v>2.3702437414678603</v>
      </c>
      <c r="D1894" s="9">
        <f>'1_Du_lieu'!W371</f>
        <v>4.2835865618606288</v>
      </c>
      <c r="E1894" s="9">
        <f>'1_Du_lieu'!L371</f>
        <v>2.577</v>
      </c>
      <c r="F1894" s="9">
        <f>'1_Du_lieu'!M371</f>
        <v>18.14</v>
      </c>
      <c r="G1894" s="9">
        <f>'1_Du_lieu'!N371</f>
        <v>12.1</v>
      </c>
      <c r="H1894" s="9">
        <f>'1_Du_lieu'!X371</f>
        <v>1.5680966359832049</v>
      </c>
      <c r="I1894" s="9">
        <f>'1_Du_lieu'!T371</f>
        <v>0.88295889335818711</v>
      </c>
      <c r="J1894" s="9">
        <f>'1_Du_lieu'!Y371</f>
        <v>8.0483408991276697</v>
      </c>
      <c r="K1894" s="9">
        <f>'1_Du_lieu'!O371</f>
        <v>14.4</v>
      </c>
      <c r="L1894" s="5">
        <f t="shared" si="223"/>
        <v>0</v>
      </c>
      <c r="M1894" s="5">
        <f t="shared" si="224"/>
        <v>0</v>
      </c>
      <c r="N1894" s="5">
        <f t="shared" si="225"/>
        <v>1</v>
      </c>
      <c r="O1894" s="5">
        <f t="shared" si="226"/>
        <v>0</v>
      </c>
      <c r="P1894" s="5">
        <f t="shared" si="227"/>
        <v>0</v>
      </c>
      <c r="Q1894" s="5">
        <f>IF('1_Du_lieu'!C371="ĐBSH",1,0)</f>
        <v>0</v>
      </c>
      <c r="R1894" s="5">
        <f>IF('1_Du_lieu'!C371="BTB&amp;DHMT",1,0)</f>
        <v>0</v>
      </c>
      <c r="S1894" s="5">
        <f>IF('1_Du_lieu'!C371="ĐBSCL",1,0)</f>
        <v>1</v>
      </c>
      <c r="T1894" s="5">
        <f>IF('1_Du_lieu'!C371="TN",1,0)</f>
        <v>0</v>
      </c>
      <c r="U1894" s="5">
        <f>IF('1_Du_lieu'!C371="TDMNPB",1,0)</f>
        <v>0</v>
      </c>
    </row>
    <row r="1895" spans="1:21" x14ac:dyDescent="0.25">
      <c r="A1895" t="s">
        <v>143</v>
      </c>
      <c r="B1895">
        <v>2022</v>
      </c>
      <c r="C1895" s="7">
        <f>'1_Du_lieu'!V372</f>
        <v>2.2300144001592104</v>
      </c>
      <c r="D1895" s="9">
        <f>'1_Du_lieu'!W372</f>
        <v>3.9180050771056933</v>
      </c>
      <c r="E1895" s="9">
        <f>'1_Du_lieu'!L372</f>
        <v>2.1779999999999999</v>
      </c>
      <c r="F1895" s="9">
        <f>'1_Du_lieu'!M372</f>
        <v>14.95</v>
      </c>
      <c r="G1895" s="9">
        <f>'1_Du_lieu'!N372</f>
        <v>21.6</v>
      </c>
      <c r="H1895" s="9">
        <f>'1_Du_lieu'!X372</f>
        <v>2.9575594103206555</v>
      </c>
      <c r="I1895" s="9">
        <f>'1_Du_lieu'!T372</f>
        <v>0.74460163812360391</v>
      </c>
      <c r="J1895" s="9">
        <f>'1_Du_lieu'!Y372</f>
        <v>5.5610661724546055</v>
      </c>
      <c r="K1895" s="9">
        <f>'1_Du_lieu'!O372</f>
        <v>11.2</v>
      </c>
      <c r="L1895" s="5">
        <f t="shared" si="223"/>
        <v>0</v>
      </c>
      <c r="M1895" s="5">
        <f t="shared" si="224"/>
        <v>0</v>
      </c>
      <c r="N1895" s="5">
        <f t="shared" si="225"/>
        <v>1</v>
      </c>
      <c r="O1895" s="5">
        <f t="shared" si="226"/>
        <v>0</v>
      </c>
      <c r="P1895" s="5">
        <f t="shared" si="227"/>
        <v>0</v>
      </c>
      <c r="Q1895" s="5">
        <f>IF('1_Du_lieu'!C372="ĐBSH",1,0)</f>
        <v>0</v>
      </c>
      <c r="R1895" s="5">
        <f>IF('1_Du_lieu'!C372="BTB&amp;DHMT",1,0)</f>
        <v>0</v>
      </c>
      <c r="S1895" s="5">
        <f>IF('1_Du_lieu'!C372="ĐBSCL",1,0)</f>
        <v>0</v>
      </c>
      <c r="T1895" s="5">
        <f>IF('1_Du_lieu'!C372="TN",1,0)</f>
        <v>0</v>
      </c>
      <c r="U1895" s="5">
        <f>IF('1_Du_lieu'!C372="TDMNPB",1,0)</f>
        <v>1</v>
      </c>
    </row>
    <row r="1896" spans="1:21" x14ac:dyDescent="0.25">
      <c r="A1896" t="s">
        <v>144</v>
      </c>
      <c r="B1896">
        <v>2022</v>
      </c>
      <c r="C1896" s="7">
        <f>'1_Du_lieu'!V373</f>
        <v>2.6810215287142909</v>
      </c>
      <c r="D1896" s="9">
        <f>'1_Du_lieu'!W373</f>
        <v>4.4636066216663046</v>
      </c>
      <c r="E1896" s="9">
        <f>'1_Du_lieu'!L373</f>
        <v>4.1470000000000002</v>
      </c>
      <c r="F1896" s="9">
        <f>'1_Du_lieu'!M373</f>
        <v>32.53</v>
      </c>
      <c r="G1896" s="9">
        <f>'1_Du_lieu'!N373</f>
        <v>17.8</v>
      </c>
      <c r="H1896" s="9">
        <f>'1_Du_lieu'!X373</f>
        <v>2.6343838610623203</v>
      </c>
      <c r="I1896" s="9">
        <f>'1_Du_lieu'!T373</f>
        <v>1.177658142664872</v>
      </c>
      <c r="J1896" s="9">
        <f>'1_Du_lieu'!Y373</f>
        <v>8.9512716711684792</v>
      </c>
      <c r="K1896" s="9">
        <f>'1_Du_lieu'!O373</f>
        <v>20.399999999999999</v>
      </c>
      <c r="L1896" s="5">
        <f t="shared" si="223"/>
        <v>0</v>
      </c>
      <c r="M1896" s="5">
        <f t="shared" si="224"/>
        <v>0</v>
      </c>
      <c r="N1896" s="5">
        <f t="shared" si="225"/>
        <v>1</v>
      </c>
      <c r="O1896" s="5">
        <f t="shared" si="226"/>
        <v>0</v>
      </c>
      <c r="P1896" s="5">
        <f t="shared" si="227"/>
        <v>0</v>
      </c>
      <c r="Q1896" s="5">
        <f>IF('1_Du_lieu'!C373="ĐBSH",1,0)</f>
        <v>0</v>
      </c>
      <c r="R1896" s="5">
        <f>IF('1_Du_lieu'!C373="BTB&amp;DHMT",1,0)</f>
        <v>0</v>
      </c>
      <c r="S1896" s="5">
        <f>IF('1_Du_lieu'!C373="ĐBSCL",1,0)</f>
        <v>0</v>
      </c>
      <c r="T1896" s="5">
        <f>IF('1_Du_lieu'!C373="TN",1,0)</f>
        <v>0</v>
      </c>
      <c r="U1896" s="5">
        <f>IF('1_Du_lieu'!C373="TDMNPB",1,0)</f>
        <v>0</v>
      </c>
    </row>
    <row r="1897" spans="1:21" x14ac:dyDescent="0.25">
      <c r="A1897" t="s">
        <v>145</v>
      </c>
      <c r="B1897">
        <v>2022</v>
      </c>
      <c r="C1897" s="7">
        <f>'1_Du_lieu'!V374</f>
        <v>2.4680995314716192</v>
      </c>
      <c r="D1897" s="9">
        <f>'1_Du_lieu'!W374</f>
        <v>4.2282925347318399</v>
      </c>
      <c r="E1897" s="9">
        <f>'1_Du_lieu'!L374</f>
        <v>2.7959999999999998</v>
      </c>
      <c r="F1897" s="9">
        <f>'1_Du_lieu'!M374</f>
        <v>22.74</v>
      </c>
      <c r="G1897" s="9">
        <f>'1_Du_lieu'!N374</f>
        <v>14.5</v>
      </c>
      <c r="H1897" s="9">
        <f>'1_Du_lieu'!X374</f>
        <v>0.70397481921200866</v>
      </c>
      <c r="I1897" s="9">
        <f>'1_Du_lieu'!T374</f>
        <v>0.58320373250388802</v>
      </c>
      <c r="J1897" s="9">
        <f>'1_Du_lieu'!Y374</f>
        <v>6.890507385572584</v>
      </c>
      <c r="K1897" s="9">
        <f>'1_Du_lieu'!O374</f>
        <v>22.2</v>
      </c>
      <c r="L1897" s="5">
        <f t="shared" si="223"/>
        <v>0</v>
      </c>
      <c r="M1897" s="5">
        <f t="shared" si="224"/>
        <v>0</v>
      </c>
      <c r="N1897" s="5">
        <f t="shared" si="225"/>
        <v>1</v>
      </c>
      <c r="O1897" s="5">
        <f t="shared" si="226"/>
        <v>0</v>
      </c>
      <c r="P1897" s="5">
        <f t="shared" si="227"/>
        <v>0</v>
      </c>
      <c r="Q1897" s="5">
        <f>IF('1_Du_lieu'!C374="ĐBSH",1,0)</f>
        <v>0</v>
      </c>
      <c r="R1897" s="5">
        <f>IF('1_Du_lieu'!C374="BTB&amp;DHMT",1,0)</f>
        <v>0</v>
      </c>
      <c r="S1897" s="5">
        <f>IF('1_Du_lieu'!C374="ĐBSCL",1,0)</f>
        <v>1</v>
      </c>
      <c r="T1897" s="5">
        <f>IF('1_Du_lieu'!C374="TN",1,0)</f>
        <v>0</v>
      </c>
      <c r="U1897" s="5">
        <f>IF('1_Du_lieu'!C374="TDMNPB",1,0)</f>
        <v>0</v>
      </c>
    </row>
    <row r="1898" spans="1:21" x14ac:dyDescent="0.25">
      <c r="A1898" t="s">
        <v>146</v>
      </c>
      <c r="B1898">
        <v>2022</v>
      </c>
      <c r="C1898" s="7">
        <f>'1_Du_lieu'!V375</f>
        <v>3.1738784589374651</v>
      </c>
      <c r="D1898" s="9">
        <f>'1_Du_lieu'!W375</f>
        <v>4.8528112089026889</v>
      </c>
      <c r="E1898" s="9">
        <f>'1_Du_lieu'!L375</f>
        <v>7.5990000000000002</v>
      </c>
      <c r="F1898" s="9">
        <f>'1_Du_lieu'!M375</f>
        <v>30.58</v>
      </c>
      <c r="G1898" s="9">
        <f>'1_Du_lieu'!N375</f>
        <v>34.9</v>
      </c>
      <c r="H1898" s="9">
        <f>'1_Du_lieu'!X375</f>
        <v>2.8517494702672472</v>
      </c>
      <c r="I1898" s="9">
        <f>'1_Du_lieu'!T375</f>
        <v>0.75150300601202413</v>
      </c>
      <c r="J1898" s="9">
        <f>'1_Du_lieu'!Y375</f>
        <v>8.6360068069538105</v>
      </c>
      <c r="K1898" s="9">
        <f>'1_Du_lieu'!O375</f>
        <v>34.9</v>
      </c>
      <c r="L1898" s="5">
        <f t="shared" si="223"/>
        <v>0</v>
      </c>
      <c r="M1898" s="5">
        <f t="shared" si="224"/>
        <v>0</v>
      </c>
      <c r="N1898" s="5">
        <f t="shared" si="225"/>
        <v>1</v>
      </c>
      <c r="O1898" s="5">
        <f t="shared" si="226"/>
        <v>0</v>
      </c>
      <c r="P1898" s="5">
        <f t="shared" si="227"/>
        <v>0</v>
      </c>
      <c r="Q1898" s="5">
        <f>IF('1_Du_lieu'!C375="ĐBSH",1,0)</f>
        <v>1</v>
      </c>
      <c r="R1898" s="5">
        <f>IF('1_Du_lieu'!C375="BTB&amp;DHMT",1,0)</f>
        <v>0</v>
      </c>
      <c r="S1898" s="5">
        <f>IF('1_Du_lieu'!C375="ĐBSCL",1,0)</f>
        <v>0</v>
      </c>
      <c r="T1898" s="5">
        <f>IF('1_Du_lieu'!C375="TN",1,0)</f>
        <v>0</v>
      </c>
      <c r="U1898" s="5">
        <f>IF('1_Du_lieu'!C375="TDMNPB",1,0)</f>
        <v>0</v>
      </c>
    </row>
    <row r="1899" spans="1:21" x14ac:dyDescent="0.25">
      <c r="A1899" t="s">
        <v>147</v>
      </c>
      <c r="B1899">
        <v>2022</v>
      </c>
      <c r="C1899" s="7">
        <f>'1_Du_lieu'!V376</f>
        <v>2.6246685921631592</v>
      </c>
      <c r="D1899" s="9">
        <f>'1_Du_lieu'!W376</f>
        <v>3.8607297110405954</v>
      </c>
      <c r="E1899" s="9">
        <f>'1_Du_lieu'!L376</f>
        <v>2.3839999999999999</v>
      </c>
      <c r="F1899" s="9">
        <f>'1_Du_lieu'!M376</f>
        <v>20.85</v>
      </c>
      <c r="G1899" s="9">
        <f>'1_Du_lieu'!N376</f>
        <v>22.9</v>
      </c>
      <c r="H1899" s="9">
        <f>'1_Du_lieu'!X376</f>
        <v>2.4947338729350159</v>
      </c>
      <c r="I1899" s="9">
        <f>'1_Du_lieu'!T376</f>
        <v>0.35410764872521244</v>
      </c>
      <c r="J1899" s="9">
        <f>'1_Du_lieu'!Y376</f>
        <v>6.2921245408500202</v>
      </c>
      <c r="K1899" s="9">
        <f>'1_Du_lieu'!O376</f>
        <v>14.2</v>
      </c>
      <c r="L1899" s="5">
        <f t="shared" si="223"/>
        <v>0</v>
      </c>
      <c r="M1899" s="5">
        <f t="shared" si="224"/>
        <v>0</v>
      </c>
      <c r="N1899" s="5">
        <f t="shared" si="225"/>
        <v>1</v>
      </c>
      <c r="O1899" s="5">
        <f t="shared" si="226"/>
        <v>0</v>
      </c>
      <c r="P1899" s="5">
        <f t="shared" si="227"/>
        <v>0</v>
      </c>
      <c r="Q1899" s="5">
        <f>IF('1_Du_lieu'!C376="ĐBSH",1,0)</f>
        <v>0</v>
      </c>
      <c r="R1899" s="5">
        <f>IF('1_Du_lieu'!C376="BTB&amp;DHMT",1,0)</f>
        <v>0</v>
      </c>
      <c r="S1899" s="5">
        <f>IF('1_Du_lieu'!C376="ĐBSCL",1,0)</f>
        <v>0</v>
      </c>
      <c r="T1899" s="5">
        <f>IF('1_Du_lieu'!C376="TN",1,0)</f>
        <v>0</v>
      </c>
      <c r="U1899" s="5">
        <f>IF('1_Du_lieu'!C376="TDMNPB",1,0)</f>
        <v>1</v>
      </c>
    </row>
    <row r="1900" spans="1:21" x14ac:dyDescent="0.25">
      <c r="A1900" t="s">
        <v>149</v>
      </c>
      <c r="B1900">
        <v>2022</v>
      </c>
      <c r="C1900" s="7">
        <f>'1_Du_lieu'!V378</f>
        <v>3.6000482404073204</v>
      </c>
      <c r="D1900" s="9">
        <f>'1_Du_lieu'!W378</f>
        <v>4.6337576428400036</v>
      </c>
      <c r="E1900" s="9">
        <f>'1_Du_lieu'!L378</f>
        <v>20.832000000000001</v>
      </c>
      <c r="F1900" s="9">
        <f>'1_Du_lieu'!M378</f>
        <v>87.45</v>
      </c>
      <c r="G1900" s="9">
        <f>'1_Du_lieu'!N378</f>
        <v>48.5</v>
      </c>
      <c r="H1900" s="9">
        <f>'1_Du_lieu'!X378</f>
        <v>3.2637573604553918</v>
      </c>
      <c r="I1900" s="9">
        <f>'1_Du_lieu'!T378</f>
        <v>6.6382560236026871</v>
      </c>
      <c r="J1900" s="9">
        <f>'1_Du_lieu'!Y378</f>
        <v>8.5247843058620507</v>
      </c>
      <c r="K1900" s="9">
        <f>'1_Du_lieu'!O378</f>
        <v>53.1</v>
      </c>
      <c r="L1900" s="5">
        <f t="shared" si="223"/>
        <v>0</v>
      </c>
      <c r="M1900" s="5">
        <f t="shared" si="224"/>
        <v>0</v>
      </c>
      <c r="N1900" s="5">
        <f t="shared" si="225"/>
        <v>1</v>
      </c>
      <c r="O1900" s="5">
        <f t="shared" si="226"/>
        <v>0</v>
      </c>
      <c r="P1900" s="5">
        <f t="shared" si="227"/>
        <v>0</v>
      </c>
      <c r="Q1900" s="5">
        <f>IF('1_Du_lieu'!C378="ĐBSH",1,0)</f>
        <v>0</v>
      </c>
      <c r="R1900" s="5">
        <f>IF('1_Du_lieu'!C378="BTB&amp;DHMT",1,0)</f>
        <v>1</v>
      </c>
      <c r="S1900" s="5">
        <f>IF('1_Du_lieu'!C378="ĐBSCL",1,0)</f>
        <v>0</v>
      </c>
      <c r="T1900" s="5">
        <f>IF('1_Du_lieu'!C378="TN",1,0)</f>
        <v>0</v>
      </c>
      <c r="U1900" s="5">
        <f>IF('1_Du_lieu'!C378="TDMNPB",1,0)</f>
        <v>0</v>
      </c>
    </row>
    <row r="1901" spans="1:21" x14ac:dyDescent="0.25">
      <c r="A1901" t="s">
        <v>150</v>
      </c>
      <c r="B1901">
        <v>2022</v>
      </c>
      <c r="C1901" s="7">
        <f>'1_Du_lieu'!V379</f>
        <v>2.8959119382717802</v>
      </c>
      <c r="D1901" s="9">
        <f>'1_Du_lieu'!W379</f>
        <v>4.0377742107337067</v>
      </c>
      <c r="E1901" s="9">
        <f>'1_Du_lieu'!L379</f>
        <v>3.843</v>
      </c>
      <c r="F1901" s="9">
        <f>'1_Du_lieu'!M379</f>
        <v>24.93</v>
      </c>
      <c r="G1901" s="9">
        <f>'1_Du_lieu'!N379</f>
        <v>18</v>
      </c>
      <c r="H1901" s="9">
        <f>'1_Du_lieu'!X379</f>
        <v>2.5445823186536418</v>
      </c>
      <c r="I1901" s="9">
        <f>'1_Du_lieu'!T379</f>
        <v>0.57339449541284393</v>
      </c>
      <c r="J1901" s="9">
        <f>'1_Du_lieu'!Y379</f>
        <v>5.824819469699035</v>
      </c>
      <c r="K1901" s="9">
        <f>'1_Du_lieu'!O379</f>
        <v>30.1</v>
      </c>
      <c r="L1901" s="5">
        <f t="shared" si="223"/>
        <v>0</v>
      </c>
      <c r="M1901" s="5">
        <f t="shared" si="224"/>
        <v>0</v>
      </c>
      <c r="N1901" s="5">
        <f t="shared" si="225"/>
        <v>1</v>
      </c>
      <c r="O1901" s="5">
        <f t="shared" si="226"/>
        <v>0</v>
      </c>
      <c r="P1901" s="5">
        <f t="shared" si="227"/>
        <v>0</v>
      </c>
      <c r="Q1901" s="5">
        <f>IF('1_Du_lieu'!C379="ĐBSH",1,0)</f>
        <v>0</v>
      </c>
      <c r="R1901" s="5">
        <f>IF('1_Du_lieu'!C379="BTB&amp;DHMT",1,0)</f>
        <v>0</v>
      </c>
      <c r="S1901" s="5">
        <f>IF('1_Du_lieu'!C379="ĐBSCL",1,0)</f>
        <v>0</v>
      </c>
      <c r="T1901" s="5">
        <f>IF('1_Du_lieu'!C379="TN",1,0)</f>
        <v>1</v>
      </c>
      <c r="U1901" s="5">
        <f>IF('1_Du_lieu'!C379="TDMNPB",1,0)</f>
        <v>0</v>
      </c>
    </row>
    <row r="1902" spans="1:21" x14ac:dyDescent="0.25">
      <c r="A1902" t="s">
        <v>151</v>
      </c>
      <c r="B1902">
        <v>2022</v>
      </c>
      <c r="C1902" s="7">
        <f>'1_Du_lieu'!V380</f>
        <v>2.4680995314716192</v>
      </c>
      <c r="D1902" s="9">
        <f>'1_Du_lieu'!W380</f>
        <v>4.0993321037331398</v>
      </c>
      <c r="E1902" s="9">
        <f>'1_Du_lieu'!L380</f>
        <v>3.8260000000000001</v>
      </c>
      <c r="F1902" s="9">
        <f>'1_Du_lieu'!M380</f>
        <v>16.760000000000002</v>
      </c>
      <c r="G1902" s="9">
        <f>'1_Du_lieu'!N380</f>
        <v>14.7</v>
      </c>
      <c r="H1902" s="9">
        <f>'1_Du_lieu'!X380</f>
        <v>1.0702283601634406</v>
      </c>
      <c r="I1902" s="9">
        <f>'1_Du_lieu'!T380</f>
        <v>0.44736057262153295</v>
      </c>
      <c r="J1902" s="9">
        <f>'1_Du_lieu'!Y380</f>
        <v>6.1444002033786953</v>
      </c>
      <c r="K1902" s="9">
        <f>'1_Du_lieu'!O380</f>
        <v>21.2</v>
      </c>
      <c r="L1902" s="5">
        <f t="shared" si="223"/>
        <v>0</v>
      </c>
      <c r="M1902" s="5">
        <f t="shared" si="224"/>
        <v>0</v>
      </c>
      <c r="N1902" s="5">
        <f t="shared" si="225"/>
        <v>1</v>
      </c>
      <c r="O1902" s="5">
        <f t="shared" si="226"/>
        <v>0</v>
      </c>
      <c r="P1902" s="5">
        <f t="shared" si="227"/>
        <v>0</v>
      </c>
      <c r="Q1902" s="5">
        <f>IF('1_Du_lieu'!C380="ĐBSH",1,0)</f>
        <v>0</v>
      </c>
      <c r="R1902" s="5">
        <f>IF('1_Du_lieu'!C380="BTB&amp;DHMT",1,0)</f>
        <v>0</v>
      </c>
      <c r="S1902" s="5">
        <f>IF('1_Du_lieu'!C380="ĐBSCL",1,0)</f>
        <v>0</v>
      </c>
      <c r="T1902" s="5">
        <f>IF('1_Du_lieu'!C380="TN",1,0)</f>
        <v>1</v>
      </c>
      <c r="U1902" s="5">
        <f>IF('1_Du_lieu'!C380="TDMNPB",1,0)</f>
        <v>0</v>
      </c>
    </row>
    <row r="1903" spans="1:21" x14ac:dyDescent="0.25">
      <c r="A1903" t="s">
        <v>152</v>
      </c>
      <c r="B1903">
        <v>2022</v>
      </c>
      <c r="C1903" s="7">
        <f>'1_Du_lieu'!V381</f>
        <v>3.4965075614664802</v>
      </c>
      <c r="D1903" s="9">
        <f>'1_Du_lieu'!W381</f>
        <v>4.8613615913485013</v>
      </c>
      <c r="E1903" s="9">
        <f>'1_Du_lieu'!L381</f>
        <v>7.9390000000000001</v>
      </c>
      <c r="F1903" s="9">
        <f>'1_Du_lieu'!M381</f>
        <v>45.16</v>
      </c>
      <c r="G1903" s="9">
        <f>'1_Du_lieu'!N381</f>
        <v>22.3</v>
      </c>
      <c r="H1903" s="9">
        <f>'1_Du_lieu'!X381</f>
        <v>2.7502634504879695</v>
      </c>
      <c r="I1903" s="9">
        <f>'1_Du_lieu'!T381</f>
        <v>0.55285951225505248</v>
      </c>
      <c r="J1903" s="9">
        <f>'1_Du_lieu'!Y381</f>
        <v>9.2943046111532688</v>
      </c>
      <c r="K1903" s="9">
        <f>'1_Du_lieu'!O381</f>
        <v>26.5</v>
      </c>
      <c r="L1903" s="5">
        <f t="shared" si="223"/>
        <v>0</v>
      </c>
      <c r="M1903" s="5">
        <f t="shared" si="224"/>
        <v>0</v>
      </c>
      <c r="N1903" s="5">
        <f t="shared" si="225"/>
        <v>1</v>
      </c>
      <c r="O1903" s="5">
        <f t="shared" si="226"/>
        <v>0</v>
      </c>
      <c r="P1903" s="5">
        <f t="shared" si="227"/>
        <v>0</v>
      </c>
      <c r="Q1903" s="5">
        <f>IF('1_Du_lieu'!C381="ĐBSH",1,0)</f>
        <v>0</v>
      </c>
      <c r="R1903" s="5">
        <f>IF('1_Du_lieu'!C381="BTB&amp;DHMT",1,0)</f>
        <v>0</v>
      </c>
      <c r="S1903" s="5">
        <f>IF('1_Du_lieu'!C381="ĐBSCL",1,0)</f>
        <v>0</v>
      </c>
      <c r="T1903" s="5">
        <f>IF('1_Du_lieu'!C381="TN",1,0)</f>
        <v>0</v>
      </c>
      <c r="U1903" s="5">
        <f>IF('1_Du_lieu'!C381="TDMNPB",1,0)</f>
        <v>0</v>
      </c>
    </row>
    <row r="1904" spans="1:21" x14ac:dyDescent="0.25">
      <c r="A1904" t="s">
        <v>153</v>
      </c>
      <c r="B1904">
        <v>2022</v>
      </c>
      <c r="C1904" s="7">
        <f>'1_Du_lieu'!V382</f>
        <v>2.6878474937846906</v>
      </c>
      <c r="D1904" s="9">
        <f>'1_Du_lieu'!W382</f>
        <v>4.1303549997451334</v>
      </c>
      <c r="E1904" s="9">
        <f>'1_Du_lieu'!L382</f>
        <v>2.4900000000000002</v>
      </c>
      <c r="F1904" s="9">
        <f>'1_Du_lieu'!M382</f>
        <v>20.239999999999998</v>
      </c>
      <c r="G1904" s="9">
        <f>'1_Du_lieu'!N382</f>
        <v>14.4</v>
      </c>
      <c r="H1904" s="9">
        <f>'1_Du_lieu'!X382</f>
        <v>0.70929530997063683</v>
      </c>
      <c r="I1904" s="9">
        <f>'1_Du_lieu'!T382</f>
        <v>0.62492188476440447</v>
      </c>
      <c r="J1904" s="9">
        <f>'1_Du_lieu'!Y382</f>
        <v>4.9815497132011588</v>
      </c>
      <c r="K1904" s="9">
        <f>'1_Du_lieu'!O382</f>
        <v>14.7</v>
      </c>
      <c r="L1904" s="5">
        <f t="shared" si="223"/>
        <v>0</v>
      </c>
      <c r="M1904" s="5">
        <f t="shared" si="224"/>
        <v>0</v>
      </c>
      <c r="N1904" s="5">
        <f t="shared" si="225"/>
        <v>1</v>
      </c>
      <c r="O1904" s="5">
        <f t="shared" si="226"/>
        <v>0</v>
      </c>
      <c r="P1904" s="5">
        <f t="shared" si="227"/>
        <v>0</v>
      </c>
      <c r="Q1904" s="5">
        <f>IF('1_Du_lieu'!C382="ĐBSH",1,0)</f>
        <v>0</v>
      </c>
      <c r="R1904" s="5">
        <f>IF('1_Du_lieu'!C382="BTB&amp;DHMT",1,0)</f>
        <v>0</v>
      </c>
      <c r="S1904" s="5">
        <f>IF('1_Du_lieu'!C382="ĐBSCL",1,0)</f>
        <v>1</v>
      </c>
      <c r="T1904" s="5">
        <f>IF('1_Du_lieu'!C382="TN",1,0)</f>
        <v>0</v>
      </c>
      <c r="U1904" s="5">
        <f>IF('1_Du_lieu'!C382="TDMNPB",1,0)</f>
        <v>0</v>
      </c>
    </row>
    <row r="1905" spans="1:21" x14ac:dyDescent="0.25">
      <c r="A1905" t="s">
        <v>85</v>
      </c>
      <c r="B1905">
        <v>2023</v>
      </c>
      <c r="C1905" s="7">
        <f>'1_Du_lieu'!V383</f>
        <v>2.6390573296152584</v>
      </c>
      <c r="D1905" s="9">
        <f>'1_Du_lieu'!W383</f>
        <v>4.0724397268340509</v>
      </c>
      <c r="E1905" s="9">
        <f>'1_Du_lieu'!L383</f>
        <v>2.7010000000000001</v>
      </c>
      <c r="F1905" s="9">
        <f>'1_Du_lieu'!M383</f>
        <v>37</v>
      </c>
      <c r="G1905" s="9">
        <f>'1_Du_lieu'!N383</f>
        <v>15.5</v>
      </c>
      <c r="H1905" s="9">
        <f>'1_Du_lieu'!X383</f>
        <v>1.8285635406587724</v>
      </c>
      <c r="I1905" s="9">
        <f>'1_Du_lieu'!T383</f>
        <v>0.52457640455332322</v>
      </c>
      <c r="J1905" s="9">
        <f>'1_Du_lieu'!Y383</f>
        <v>4.9572345173691401</v>
      </c>
      <c r="K1905" s="9">
        <f>'1_Du_lieu'!O383</f>
        <v>18</v>
      </c>
      <c r="L1905" s="5">
        <f t="shared" si="223"/>
        <v>0</v>
      </c>
      <c r="M1905" s="5">
        <f t="shared" si="224"/>
        <v>0</v>
      </c>
      <c r="N1905" s="5">
        <f t="shared" si="225"/>
        <v>0</v>
      </c>
      <c r="O1905" s="5">
        <f t="shared" si="226"/>
        <v>1</v>
      </c>
      <c r="P1905" s="5">
        <f t="shared" si="227"/>
        <v>0</v>
      </c>
      <c r="Q1905" s="5">
        <f>IF('1_Du_lieu'!C383="ĐBSH",1,0)</f>
        <v>0</v>
      </c>
      <c r="R1905" s="5">
        <f>IF('1_Du_lieu'!C383="BTB&amp;DHMT",1,0)</f>
        <v>0</v>
      </c>
      <c r="S1905" s="5">
        <f>IF('1_Du_lieu'!C383="ĐBSCL",1,0)</f>
        <v>1</v>
      </c>
      <c r="T1905" s="5">
        <f>IF('1_Du_lieu'!C383="TN",1,0)</f>
        <v>0</v>
      </c>
      <c r="U1905" s="5">
        <f>IF('1_Du_lieu'!C383="TDMNPB",1,0)</f>
        <v>0</v>
      </c>
    </row>
    <row r="1906" spans="1:21" x14ac:dyDescent="0.25">
      <c r="A1906" t="s">
        <v>87</v>
      </c>
      <c r="B1906">
        <v>2023</v>
      </c>
      <c r="C1906" s="7">
        <f>'1_Du_lieu'!V384</f>
        <v>3.1612467120315646</v>
      </c>
      <c r="D1906" s="9">
        <f>'1_Du_lieu'!W384</f>
        <v>5.8260001073804499</v>
      </c>
      <c r="E1906" s="9">
        <f>'1_Du_lieu'!L384</f>
        <v>10.393000000000001</v>
      </c>
      <c r="F1906" s="9">
        <f>'1_Du_lieu'!M384</f>
        <v>60.92</v>
      </c>
      <c r="G1906" s="9">
        <f>'1_Du_lieu'!N384</f>
        <v>28.8</v>
      </c>
      <c r="H1906" s="9">
        <f>'1_Du_lieu'!X384</f>
        <v>2.1258931339212706</v>
      </c>
      <c r="I1906" s="9">
        <f>'1_Du_lieu'!T384</f>
        <v>1.6</v>
      </c>
      <c r="J1906" s="9">
        <f>'1_Du_lieu'!Y384</f>
        <v>10.286049030204001</v>
      </c>
      <c r="K1906" s="9">
        <f>'1_Du_lieu'!O384</f>
        <v>29.2</v>
      </c>
      <c r="L1906" s="5">
        <f t="shared" si="223"/>
        <v>0</v>
      </c>
      <c r="M1906" s="5">
        <f t="shared" si="224"/>
        <v>0</v>
      </c>
      <c r="N1906" s="5">
        <f t="shared" si="225"/>
        <v>0</v>
      </c>
      <c r="O1906" s="5">
        <f t="shared" si="226"/>
        <v>1</v>
      </c>
      <c r="P1906" s="5">
        <f t="shared" si="227"/>
        <v>0</v>
      </c>
      <c r="Q1906" s="5">
        <f>IF('1_Du_lieu'!C384="ĐBSH",1,0)</f>
        <v>0</v>
      </c>
      <c r="R1906" s="5">
        <f>IF('1_Du_lieu'!C384="BTB&amp;DHMT",1,0)</f>
        <v>0</v>
      </c>
      <c r="S1906" s="5">
        <f>IF('1_Du_lieu'!C384="ĐBSCL",1,0)</f>
        <v>0</v>
      </c>
      <c r="T1906" s="5">
        <f>IF('1_Du_lieu'!C384="TN",1,0)</f>
        <v>0</v>
      </c>
      <c r="U1906" s="5">
        <f>IF('1_Du_lieu'!C384="TDMNPB",1,0)</f>
        <v>0</v>
      </c>
    </row>
    <row r="1907" spans="1:21" x14ac:dyDescent="0.25">
      <c r="A1907" t="s">
        <v>89</v>
      </c>
      <c r="B1907">
        <v>2023</v>
      </c>
      <c r="C1907" s="7">
        <f>'1_Du_lieu'!V385</f>
        <v>3.5751506887855933</v>
      </c>
      <c r="D1907" s="9">
        <f>'1_Du_lieu'!W385</f>
        <v>5.1143945283871082</v>
      </c>
      <c r="E1907" s="9">
        <f>'1_Du_lieu'!L385</f>
        <v>15.327</v>
      </c>
      <c r="F1907" s="9">
        <f>'1_Du_lieu'!M385</f>
        <v>84.22</v>
      </c>
      <c r="G1907" s="9">
        <f>'1_Du_lieu'!N385</f>
        <v>23.3</v>
      </c>
      <c r="H1907" s="9">
        <f>'1_Du_lieu'!X385</f>
        <v>3.3145658741693884</v>
      </c>
      <c r="I1907" s="9">
        <f>'1_Du_lieu'!T385</f>
        <v>0.77920238010908838</v>
      </c>
      <c r="J1907" s="9">
        <f>'1_Du_lieu'!Y385</f>
        <v>9.5690771887933312</v>
      </c>
      <c r="K1907" s="9">
        <f>'1_Du_lieu'!O385</f>
        <v>25.5</v>
      </c>
      <c r="L1907" s="5">
        <f t="shared" si="223"/>
        <v>0</v>
      </c>
      <c r="M1907" s="5">
        <f t="shared" si="224"/>
        <v>0</v>
      </c>
      <c r="N1907" s="5">
        <f t="shared" si="225"/>
        <v>0</v>
      </c>
      <c r="O1907" s="5">
        <f t="shared" si="226"/>
        <v>1</v>
      </c>
      <c r="P1907" s="5">
        <f t="shared" si="227"/>
        <v>0</v>
      </c>
      <c r="Q1907" s="5">
        <f>IF('1_Du_lieu'!C385="ĐBSH",1,0)</f>
        <v>0</v>
      </c>
      <c r="R1907" s="5">
        <f>IF('1_Du_lieu'!C385="BTB&amp;DHMT",1,0)</f>
        <v>0</v>
      </c>
      <c r="S1907" s="5">
        <f>IF('1_Du_lieu'!C385="ĐBSCL",1,0)</f>
        <v>0</v>
      </c>
      <c r="T1907" s="5">
        <f>IF('1_Du_lieu'!C385="TN",1,0)</f>
        <v>0</v>
      </c>
      <c r="U1907" s="5">
        <f>IF('1_Du_lieu'!C385="TDMNPB",1,0)</f>
        <v>0</v>
      </c>
    </row>
    <row r="1908" spans="1:21" x14ac:dyDescent="0.25">
      <c r="A1908" t="s">
        <v>90</v>
      </c>
      <c r="B1908">
        <v>2023</v>
      </c>
      <c r="C1908" s="7">
        <f>'1_Du_lieu'!V386</f>
        <v>2.5572273113676265</v>
      </c>
      <c r="D1908" s="9">
        <f>'1_Du_lieu'!W386</f>
        <v>4.5496574760578321</v>
      </c>
      <c r="E1908" s="9">
        <f>'1_Du_lieu'!L386</f>
        <v>6.6909999999999998</v>
      </c>
      <c r="F1908" s="9">
        <f>'1_Du_lieu'!M386</f>
        <v>29.4</v>
      </c>
      <c r="G1908" s="9">
        <f>'1_Du_lieu'!N386</f>
        <v>20</v>
      </c>
      <c r="H1908" s="9">
        <f>'1_Du_lieu'!X386</f>
        <v>1.234631418039809</v>
      </c>
      <c r="I1908" s="9">
        <f>'1_Du_lieu'!T386</f>
        <v>0.95648015303682454</v>
      </c>
      <c r="J1908" s="9">
        <f>'1_Du_lieu'!Y386</f>
        <v>8.4073560037313317</v>
      </c>
      <c r="K1908" s="9">
        <f>'1_Du_lieu'!O386</f>
        <v>22.6</v>
      </c>
      <c r="L1908" s="5">
        <f t="shared" si="223"/>
        <v>0</v>
      </c>
      <c r="M1908" s="5">
        <f t="shared" si="224"/>
        <v>0</v>
      </c>
      <c r="N1908" s="5">
        <f t="shared" si="225"/>
        <v>0</v>
      </c>
      <c r="O1908" s="5">
        <f t="shared" si="226"/>
        <v>1</v>
      </c>
      <c r="P1908" s="5">
        <f t="shared" si="227"/>
        <v>0</v>
      </c>
      <c r="Q1908" s="5">
        <f>IF('1_Du_lieu'!C386="ĐBSH",1,0)</f>
        <v>0</v>
      </c>
      <c r="R1908" s="5">
        <f>IF('1_Du_lieu'!C386="BTB&amp;DHMT",1,0)</f>
        <v>0</v>
      </c>
      <c r="S1908" s="5">
        <f>IF('1_Du_lieu'!C386="ĐBSCL",1,0)</f>
        <v>0</v>
      </c>
      <c r="T1908" s="5">
        <f>IF('1_Du_lieu'!C386="TN",1,0)</f>
        <v>0</v>
      </c>
      <c r="U1908" s="5">
        <f>IF('1_Du_lieu'!C386="TDMNPB",1,0)</f>
        <v>0</v>
      </c>
    </row>
    <row r="1909" spans="1:21" x14ac:dyDescent="0.25">
      <c r="A1909" t="s">
        <v>91</v>
      </c>
      <c r="B1909">
        <v>2023</v>
      </c>
      <c r="C1909" s="7">
        <f>'1_Du_lieu'!V387</f>
        <v>2.7212954278522306</v>
      </c>
      <c r="D1909" s="9">
        <f>'1_Du_lieu'!W387</f>
        <v>4.4091553020621346</v>
      </c>
      <c r="E1909" s="9">
        <f>'1_Du_lieu'!L387</f>
        <v>4.7080000000000002</v>
      </c>
      <c r="F1909" s="9">
        <f>'1_Du_lieu'!M387</f>
        <v>38.6</v>
      </c>
      <c r="G1909" s="9">
        <f>'1_Du_lieu'!N387</f>
        <v>19.5</v>
      </c>
      <c r="H1909" s="9">
        <f>'1_Du_lieu'!X387</f>
        <v>1.6732463053197808</v>
      </c>
      <c r="I1909" s="9">
        <f>'1_Du_lieu'!T387</f>
        <v>0.39720368605020656</v>
      </c>
      <c r="J1909" s="9">
        <f>'1_Du_lieu'!Y387</f>
        <v>8.0261701949464257</v>
      </c>
      <c r="K1909" s="9">
        <f>'1_Du_lieu'!O387</f>
        <v>19.899999999999999</v>
      </c>
      <c r="L1909" s="5">
        <f t="shared" si="223"/>
        <v>0</v>
      </c>
      <c r="M1909" s="5">
        <f t="shared" si="224"/>
        <v>0</v>
      </c>
      <c r="N1909" s="5">
        <f t="shared" si="225"/>
        <v>0</v>
      </c>
      <c r="O1909" s="5">
        <f t="shared" si="226"/>
        <v>1</v>
      </c>
      <c r="P1909" s="5">
        <f t="shared" si="227"/>
        <v>0</v>
      </c>
      <c r="Q1909" s="5">
        <f>IF('1_Du_lieu'!C387="ĐBSH",1,0)</f>
        <v>0</v>
      </c>
      <c r="R1909" s="5">
        <f>IF('1_Du_lieu'!C387="BTB&amp;DHMT",1,0)</f>
        <v>1</v>
      </c>
      <c r="S1909" s="5">
        <f>IF('1_Du_lieu'!C387="ĐBSCL",1,0)</f>
        <v>0</v>
      </c>
      <c r="T1909" s="5">
        <f>IF('1_Du_lieu'!C387="TN",1,0)</f>
        <v>0</v>
      </c>
      <c r="U1909" s="5">
        <f>IF('1_Du_lieu'!C387="TDMNPB",1,0)</f>
        <v>0</v>
      </c>
    </row>
    <row r="1910" spans="1:21" x14ac:dyDescent="0.25">
      <c r="A1910" t="s">
        <v>93</v>
      </c>
      <c r="B1910">
        <v>2023</v>
      </c>
      <c r="C1910" s="7">
        <f>'1_Du_lieu'!V388</f>
        <v>2.8094026953624978</v>
      </c>
      <c r="D1910" s="9">
        <f>'1_Du_lieu'!W388</f>
        <v>4.3579900568456402</v>
      </c>
      <c r="E1910" s="9">
        <f>'1_Du_lieu'!L388</f>
        <v>5.3680000000000003</v>
      </c>
      <c r="F1910" s="9">
        <f>'1_Du_lieu'!M388</f>
        <v>41.22</v>
      </c>
      <c r="G1910" s="9">
        <f>'1_Du_lieu'!N388</f>
        <v>25.6</v>
      </c>
      <c r="H1910" s="9">
        <f>'1_Du_lieu'!X388</f>
        <v>3.0736524047525142</v>
      </c>
      <c r="I1910" s="9">
        <f>'1_Du_lieu'!T388</f>
        <v>0.79665405297749459</v>
      </c>
      <c r="J1910" s="9">
        <f>'1_Du_lieu'!Y388</f>
        <v>6.7289874003874797</v>
      </c>
      <c r="K1910" s="9">
        <f>'1_Du_lieu'!O388</f>
        <v>20.7</v>
      </c>
      <c r="L1910" s="5">
        <f t="shared" si="223"/>
        <v>0</v>
      </c>
      <c r="M1910" s="5">
        <f t="shared" si="224"/>
        <v>0</v>
      </c>
      <c r="N1910" s="5">
        <f t="shared" si="225"/>
        <v>0</v>
      </c>
      <c r="O1910" s="5">
        <f t="shared" si="226"/>
        <v>1</v>
      </c>
      <c r="P1910" s="5">
        <f t="shared" si="227"/>
        <v>0</v>
      </c>
      <c r="Q1910" s="5">
        <f>IF('1_Du_lieu'!C388="ĐBSH",1,0)</f>
        <v>0</v>
      </c>
      <c r="R1910" s="5">
        <f>IF('1_Du_lieu'!C388="BTB&amp;DHMT",1,0)</f>
        <v>1</v>
      </c>
      <c r="S1910" s="5">
        <f>IF('1_Du_lieu'!C388="ĐBSCL",1,0)</f>
        <v>0</v>
      </c>
      <c r="T1910" s="5">
        <f>IF('1_Du_lieu'!C388="TN",1,0)</f>
        <v>0</v>
      </c>
      <c r="U1910" s="5">
        <f>IF('1_Du_lieu'!C388="TDMNPB",1,0)</f>
        <v>0</v>
      </c>
    </row>
    <row r="1911" spans="1:21" x14ac:dyDescent="0.25">
      <c r="A1911" t="s">
        <v>94</v>
      </c>
      <c r="B1911">
        <v>2023</v>
      </c>
      <c r="C1911" s="7">
        <f>'1_Du_lieu'!V389</f>
        <v>2.3702437414678603</v>
      </c>
      <c r="D1911" s="9">
        <f>'1_Du_lieu'!W389</f>
        <v>4.1666652238017265</v>
      </c>
      <c r="E1911" s="9">
        <f>'1_Du_lieu'!L389</f>
        <v>2.5099999999999998</v>
      </c>
      <c r="F1911" s="9">
        <f>'1_Du_lieu'!M389</f>
        <v>27.76</v>
      </c>
      <c r="G1911" s="9">
        <f>'1_Du_lieu'!N389</f>
        <v>13.1</v>
      </c>
      <c r="H1911" s="9">
        <f>'1_Du_lieu'!X389</f>
        <v>1.3538899662437562</v>
      </c>
      <c r="I1911" s="9">
        <f>'1_Du_lieu'!T389</f>
        <v>1.4051015996541287</v>
      </c>
      <c r="J1911" s="9">
        <f>'1_Du_lieu'!Y389</f>
        <v>8.5282715986232382</v>
      </c>
      <c r="K1911" s="9">
        <f>'1_Du_lieu'!O389</f>
        <v>14.1</v>
      </c>
      <c r="L1911" s="5">
        <f t="shared" si="223"/>
        <v>0</v>
      </c>
      <c r="M1911" s="5">
        <f t="shared" si="224"/>
        <v>0</v>
      </c>
      <c r="N1911" s="5">
        <f t="shared" si="225"/>
        <v>0</v>
      </c>
      <c r="O1911" s="5">
        <f t="shared" si="226"/>
        <v>1</v>
      </c>
      <c r="P1911" s="5">
        <f t="shared" si="227"/>
        <v>0</v>
      </c>
      <c r="Q1911" s="5">
        <f>IF('1_Du_lieu'!C389="ĐBSH",1,0)</f>
        <v>0</v>
      </c>
      <c r="R1911" s="5">
        <f>IF('1_Du_lieu'!C389="BTB&amp;DHMT",1,0)</f>
        <v>0</v>
      </c>
      <c r="S1911" s="5">
        <f>IF('1_Du_lieu'!C389="ĐBSCL",1,0)</f>
        <v>1</v>
      </c>
      <c r="T1911" s="5">
        <f>IF('1_Du_lieu'!C389="TN",1,0)</f>
        <v>0</v>
      </c>
      <c r="U1911" s="5">
        <f>IF('1_Du_lieu'!C389="TDMNPB",1,0)</f>
        <v>0</v>
      </c>
    </row>
    <row r="1912" spans="1:21" x14ac:dyDescent="0.25">
      <c r="A1912" t="s">
        <v>95</v>
      </c>
      <c r="B1912">
        <v>2023</v>
      </c>
      <c r="C1912" s="7">
        <f>'1_Du_lieu'!V390</f>
        <v>2.9444389791664403</v>
      </c>
      <c r="D1912" s="9">
        <f>'1_Du_lieu'!W390</f>
        <v>4.5664293576716606</v>
      </c>
      <c r="E1912" s="9">
        <f>'1_Du_lieu'!L390</f>
        <v>4.53</v>
      </c>
      <c r="F1912" s="9">
        <f>'1_Du_lieu'!M390</f>
        <v>19.73</v>
      </c>
      <c r="G1912" s="9">
        <f>'1_Du_lieu'!N390</f>
        <v>32.6</v>
      </c>
      <c r="H1912" s="9">
        <f>'1_Du_lieu'!X390</f>
        <v>2.9524628072988284</v>
      </c>
      <c r="I1912" s="9">
        <f>'1_Du_lieu'!T390</f>
        <v>0.52010193998023613</v>
      </c>
      <c r="J1912" s="9">
        <f>'1_Du_lieu'!Y390</f>
        <v>8.7743902828552987</v>
      </c>
      <c r="K1912" s="9">
        <f>'1_Du_lieu'!O390</f>
        <v>23.5</v>
      </c>
      <c r="L1912" s="5">
        <f t="shared" si="223"/>
        <v>0</v>
      </c>
      <c r="M1912" s="5">
        <f t="shared" si="224"/>
        <v>0</v>
      </c>
      <c r="N1912" s="5">
        <f t="shared" si="225"/>
        <v>0</v>
      </c>
      <c r="O1912" s="5">
        <f t="shared" si="226"/>
        <v>1</v>
      </c>
      <c r="P1912" s="5">
        <f t="shared" si="227"/>
        <v>0</v>
      </c>
      <c r="Q1912" s="5">
        <f>IF('1_Du_lieu'!C390="ĐBSH",1,0)</f>
        <v>0</v>
      </c>
      <c r="R1912" s="5">
        <f>IF('1_Du_lieu'!C390="BTB&amp;DHMT",1,0)</f>
        <v>0</v>
      </c>
      <c r="S1912" s="5">
        <f>IF('1_Du_lieu'!C390="ĐBSCL",1,0)</f>
        <v>0</v>
      </c>
      <c r="T1912" s="5">
        <f>IF('1_Du_lieu'!C390="TN",1,0)</f>
        <v>0</v>
      </c>
      <c r="U1912" s="5">
        <f>IF('1_Du_lieu'!C390="TDMNPB",1,0)</f>
        <v>1</v>
      </c>
    </row>
    <row r="1913" spans="1:21" x14ac:dyDescent="0.25">
      <c r="A1913" t="s">
        <v>97</v>
      </c>
      <c r="B1913">
        <v>2023</v>
      </c>
      <c r="C1913" s="7">
        <f>'1_Du_lieu'!V391</f>
        <v>2.379546134130174</v>
      </c>
      <c r="D1913" s="9">
        <f>'1_Du_lieu'!W391</f>
        <v>3.949318790171843</v>
      </c>
      <c r="E1913" s="9">
        <f>'1_Du_lieu'!L391</f>
        <v>2.282</v>
      </c>
      <c r="F1913" s="9">
        <f>'1_Du_lieu'!M391</f>
        <v>24.07</v>
      </c>
      <c r="G1913" s="9">
        <f>'1_Du_lieu'!N391</f>
        <v>28</v>
      </c>
      <c r="H1913" s="9">
        <f>'1_Du_lieu'!X391</f>
        <v>2.698716321347455</v>
      </c>
      <c r="I1913" s="9">
        <f>'1_Du_lieu'!T391</f>
        <v>0.91883614088820831</v>
      </c>
      <c r="J1913" s="9">
        <f>'1_Du_lieu'!Y391</f>
        <v>4.6434288981051814</v>
      </c>
      <c r="K1913" s="9">
        <f>'1_Du_lieu'!O391</f>
        <v>16.8</v>
      </c>
      <c r="L1913" s="5">
        <f t="shared" si="223"/>
        <v>0</v>
      </c>
      <c r="M1913" s="5">
        <f t="shared" si="224"/>
        <v>0</v>
      </c>
      <c r="N1913" s="5">
        <f t="shared" si="225"/>
        <v>0</v>
      </c>
      <c r="O1913" s="5">
        <f t="shared" si="226"/>
        <v>1</v>
      </c>
      <c r="P1913" s="5">
        <f t="shared" si="227"/>
        <v>0</v>
      </c>
      <c r="Q1913" s="5">
        <f>IF('1_Du_lieu'!C391="ĐBSH",1,0)</f>
        <v>0</v>
      </c>
      <c r="R1913" s="5">
        <f>IF('1_Du_lieu'!C391="BTB&amp;DHMT",1,0)</f>
        <v>0</v>
      </c>
      <c r="S1913" s="5">
        <f>IF('1_Du_lieu'!C391="ĐBSCL",1,0)</f>
        <v>0</v>
      </c>
      <c r="T1913" s="5">
        <f>IF('1_Du_lieu'!C391="TN",1,0)</f>
        <v>0</v>
      </c>
      <c r="U1913" s="5">
        <f>IF('1_Du_lieu'!C391="TDMNPB",1,0)</f>
        <v>1</v>
      </c>
    </row>
    <row r="1914" spans="1:21" x14ac:dyDescent="0.25">
      <c r="A1914" t="s">
        <v>98</v>
      </c>
      <c r="B1914">
        <v>2023</v>
      </c>
      <c r="C1914" s="7">
        <f>'1_Du_lieu'!V392</f>
        <v>3.068052935133617</v>
      </c>
      <c r="D1914" s="9">
        <f>'1_Du_lieu'!W392</f>
        <v>5.054333149361975</v>
      </c>
      <c r="E1914" s="9">
        <f>'1_Du_lieu'!L392</f>
        <v>10.885999999999999</v>
      </c>
      <c r="F1914" s="9">
        <f>'1_Du_lieu'!M392</f>
        <v>50.79</v>
      </c>
      <c r="G1914" s="9">
        <f>'1_Du_lieu'!N392</f>
        <v>34.4</v>
      </c>
      <c r="H1914" s="9">
        <f>'1_Du_lieu'!X392</f>
        <v>2.8655055877825726</v>
      </c>
      <c r="I1914" s="9">
        <f>'1_Du_lieu'!T392</f>
        <v>1.8452616317384998</v>
      </c>
      <c r="J1914" s="9">
        <f>'1_Du_lieu'!Y392</f>
        <v>9.7029062975185063</v>
      </c>
      <c r="K1914" s="9">
        <f>'1_Du_lieu'!O392</f>
        <v>31.3</v>
      </c>
      <c r="L1914" s="5">
        <f t="shared" si="223"/>
        <v>0</v>
      </c>
      <c r="M1914" s="5">
        <f t="shared" si="224"/>
        <v>0</v>
      </c>
      <c r="N1914" s="5">
        <f t="shared" si="225"/>
        <v>0</v>
      </c>
      <c r="O1914" s="5">
        <f t="shared" si="226"/>
        <v>1</v>
      </c>
      <c r="P1914" s="5">
        <f t="shared" si="227"/>
        <v>0</v>
      </c>
      <c r="Q1914" s="5">
        <f>IF('1_Du_lieu'!C392="ĐBSH",1,0)</f>
        <v>1</v>
      </c>
      <c r="R1914" s="5">
        <f>IF('1_Du_lieu'!C392="BTB&amp;DHMT",1,0)</f>
        <v>0</v>
      </c>
      <c r="S1914" s="5">
        <f>IF('1_Du_lieu'!C392="ĐBSCL",1,0)</f>
        <v>0</v>
      </c>
      <c r="T1914" s="5">
        <f>IF('1_Du_lieu'!C392="TN",1,0)</f>
        <v>0</v>
      </c>
      <c r="U1914" s="5">
        <f>IF('1_Du_lieu'!C392="TDMNPB",1,0)</f>
        <v>0</v>
      </c>
    </row>
    <row r="1915" spans="1:21" x14ac:dyDescent="0.25">
      <c r="A1915" t="s">
        <v>100</v>
      </c>
      <c r="B1915">
        <v>2023</v>
      </c>
      <c r="C1915" s="7">
        <f>'1_Du_lieu'!V393</f>
        <v>2.6741486494265287</v>
      </c>
      <c r="D1915" s="9">
        <f>'1_Du_lieu'!W393</f>
        <v>3.9473901492654373</v>
      </c>
      <c r="E1915" s="9">
        <f>'1_Du_lieu'!L393</f>
        <v>2.9569999999999999</v>
      </c>
      <c r="F1915" s="9">
        <f>'1_Du_lieu'!M393</f>
        <v>13.11</v>
      </c>
      <c r="G1915" s="9">
        <f>'1_Du_lieu'!N393</f>
        <v>12.7</v>
      </c>
      <c r="H1915" s="9">
        <f>'1_Du_lieu'!X393</f>
        <v>1.3894065761845245</v>
      </c>
      <c r="I1915" s="9">
        <f>'1_Du_lieu'!T393</f>
        <v>0.46178711613945972</v>
      </c>
      <c r="J1915" s="9">
        <f>'1_Du_lieu'!Y393</f>
        <v>7.1163941440934648</v>
      </c>
      <c r="K1915" s="9">
        <f>'1_Du_lieu'!O393</f>
        <v>13.9</v>
      </c>
      <c r="L1915" s="5">
        <f t="shared" si="223"/>
        <v>0</v>
      </c>
      <c r="M1915" s="5">
        <f t="shared" si="224"/>
        <v>0</v>
      </c>
      <c r="N1915" s="5">
        <f t="shared" si="225"/>
        <v>0</v>
      </c>
      <c r="O1915" s="5">
        <f t="shared" si="226"/>
        <v>1</v>
      </c>
      <c r="P1915" s="5">
        <f t="shared" si="227"/>
        <v>0</v>
      </c>
      <c r="Q1915" s="5">
        <f>IF('1_Du_lieu'!C393="ĐBSH",1,0)</f>
        <v>0</v>
      </c>
      <c r="R1915" s="5">
        <f>IF('1_Du_lieu'!C393="BTB&amp;DHMT",1,0)</f>
        <v>0</v>
      </c>
      <c r="S1915" s="5">
        <f>IF('1_Du_lieu'!C393="ĐBSCL",1,0)</f>
        <v>1</v>
      </c>
      <c r="T1915" s="5">
        <f>IF('1_Du_lieu'!C393="TN",1,0)</f>
        <v>0</v>
      </c>
      <c r="U1915" s="5">
        <f>IF('1_Du_lieu'!C393="TDMNPB",1,0)</f>
        <v>0</v>
      </c>
    </row>
    <row r="1916" spans="1:21" x14ac:dyDescent="0.25">
      <c r="A1916" t="s">
        <v>102</v>
      </c>
      <c r="B1916">
        <v>2023</v>
      </c>
      <c r="C1916" s="7">
        <f>'1_Du_lieu'!V395</f>
        <v>2.5952547069568657</v>
      </c>
      <c r="D1916" s="9">
        <f>'1_Du_lieu'!W395</f>
        <v>4.165113633110308</v>
      </c>
      <c r="E1916" s="9">
        <f>'1_Du_lieu'!L395</f>
        <v>3.2210000000000001</v>
      </c>
      <c r="F1916" s="9">
        <f>'1_Du_lieu'!M395</f>
        <v>23.06</v>
      </c>
      <c r="G1916" s="9">
        <f>'1_Du_lieu'!N395</f>
        <v>15.1</v>
      </c>
      <c r="H1916" s="9">
        <f>'1_Du_lieu'!X395</f>
        <v>4.0815368690784087E-2</v>
      </c>
      <c r="I1916" s="9">
        <f>'1_Du_lieu'!T395</f>
        <v>0.57975815802550934</v>
      </c>
      <c r="J1916" s="9">
        <f>'1_Du_lieu'!Y395</f>
        <v>4.8605872978525966</v>
      </c>
      <c r="K1916" s="9">
        <f>'1_Du_lieu'!O395</f>
        <v>16.3</v>
      </c>
      <c r="L1916" s="5">
        <f t="shared" si="223"/>
        <v>0</v>
      </c>
      <c r="M1916" s="5">
        <f t="shared" si="224"/>
        <v>0</v>
      </c>
      <c r="N1916" s="5">
        <f t="shared" si="225"/>
        <v>0</v>
      </c>
      <c r="O1916" s="5">
        <f t="shared" si="226"/>
        <v>1</v>
      </c>
      <c r="P1916" s="5">
        <f t="shared" si="227"/>
        <v>0</v>
      </c>
      <c r="Q1916" s="5">
        <f>IF('1_Du_lieu'!C395="ĐBSH",1,0)</f>
        <v>0</v>
      </c>
      <c r="R1916" s="5">
        <f>IF('1_Du_lieu'!C395="BTB&amp;DHMT",1,0)</f>
        <v>0</v>
      </c>
      <c r="S1916" s="5">
        <f>IF('1_Du_lieu'!C395="ĐBSCL",1,0)</f>
        <v>1</v>
      </c>
      <c r="T1916" s="5">
        <f>IF('1_Du_lieu'!C395="TN",1,0)</f>
        <v>0</v>
      </c>
      <c r="U1916" s="5">
        <f>IF('1_Du_lieu'!C395="TDMNPB",1,0)</f>
        <v>0</v>
      </c>
    </row>
    <row r="1917" spans="1:21" x14ac:dyDescent="0.25">
      <c r="A1917" t="s">
        <v>103</v>
      </c>
      <c r="B1917">
        <v>2023</v>
      </c>
      <c r="C1917" s="7">
        <f>'1_Du_lieu'!V396</f>
        <v>3.0773122605464138</v>
      </c>
      <c r="D1917" s="9">
        <f>'1_Du_lieu'!W396</f>
        <v>4.5464811896394117</v>
      </c>
      <c r="E1917" s="9">
        <f>'1_Du_lieu'!L396</f>
        <v>8.3379999999999992</v>
      </c>
      <c r="F1917" s="9">
        <f>'1_Du_lieu'!M396</f>
        <v>70.52</v>
      </c>
      <c r="G1917" s="9">
        <f>'1_Du_lieu'!N396</f>
        <v>23.3</v>
      </c>
      <c r="H1917" s="9">
        <f>'1_Du_lieu'!X396</f>
        <v>1.0432512147827513</v>
      </c>
      <c r="I1917" s="9">
        <f>'1_Du_lieu'!T396</f>
        <v>1.4298196838509809</v>
      </c>
      <c r="J1917" s="9">
        <f>'1_Du_lieu'!Y396</f>
        <v>7.5003636341634694</v>
      </c>
      <c r="K1917" s="9">
        <f>'1_Du_lieu'!O396</f>
        <v>31</v>
      </c>
      <c r="L1917" s="5">
        <f t="shared" si="223"/>
        <v>0</v>
      </c>
      <c r="M1917" s="5">
        <f t="shared" si="224"/>
        <v>0</v>
      </c>
      <c r="N1917" s="5">
        <f t="shared" si="225"/>
        <v>0</v>
      </c>
      <c r="O1917" s="5">
        <f t="shared" si="226"/>
        <v>1</v>
      </c>
      <c r="P1917" s="5">
        <f t="shared" si="227"/>
        <v>0</v>
      </c>
      <c r="Q1917" s="5">
        <f>IF('1_Du_lieu'!C396="ĐBSH",1,0)</f>
        <v>0</v>
      </c>
      <c r="R1917" s="5">
        <f>IF('1_Du_lieu'!C396="BTB&amp;DHMT",1,0)</f>
        <v>0</v>
      </c>
      <c r="S1917" s="5">
        <f>IF('1_Du_lieu'!C396="ĐBSCL",1,0)</f>
        <v>1</v>
      </c>
      <c r="T1917" s="5">
        <f>IF('1_Du_lieu'!C396="TN",1,0)</f>
        <v>0</v>
      </c>
      <c r="U1917" s="5">
        <f>IF('1_Du_lieu'!C396="TDMNPB",1,0)</f>
        <v>0</v>
      </c>
    </row>
    <row r="1918" spans="1:21" x14ac:dyDescent="0.25">
      <c r="A1918" t="s">
        <v>104</v>
      </c>
      <c r="B1918">
        <v>2023</v>
      </c>
      <c r="C1918" s="7">
        <f>'1_Du_lieu'!V397</f>
        <v>2.6100697927420065</v>
      </c>
      <c r="D1918" s="9">
        <f>'1_Du_lieu'!W397</f>
        <v>4.0569887756783318</v>
      </c>
      <c r="E1918" s="9">
        <f>'1_Du_lieu'!L397</f>
        <v>3.3820000000000001</v>
      </c>
      <c r="F1918" s="9">
        <f>'1_Du_lieu'!M397</f>
        <v>29.44</v>
      </c>
      <c r="G1918" s="9">
        <f>'1_Du_lieu'!N397</f>
        <v>15.3</v>
      </c>
      <c r="H1918" s="9">
        <f>'1_Du_lieu'!X397</f>
        <v>2.4558519854784486</v>
      </c>
      <c r="I1918" s="9">
        <f>'1_Du_lieu'!T397</f>
        <v>1.1772724456286014</v>
      </c>
      <c r="J1918" s="9">
        <f>'1_Du_lieu'!Y397</f>
        <v>4.0707346965829672</v>
      </c>
      <c r="K1918" s="9">
        <f>'1_Du_lieu'!O397</f>
        <v>15.9</v>
      </c>
      <c r="L1918" s="5">
        <f t="shared" si="223"/>
        <v>0</v>
      </c>
      <c r="M1918" s="5">
        <f t="shared" si="224"/>
        <v>0</v>
      </c>
      <c r="N1918" s="5">
        <f t="shared" si="225"/>
        <v>0</v>
      </c>
      <c r="O1918" s="5">
        <f t="shared" si="226"/>
        <v>1</v>
      </c>
      <c r="P1918" s="5">
        <f t="shared" si="227"/>
        <v>0</v>
      </c>
      <c r="Q1918" s="5">
        <f>IF('1_Du_lieu'!C397="ĐBSH",1,0)</f>
        <v>0</v>
      </c>
      <c r="R1918" s="5">
        <f>IF('1_Du_lieu'!C397="BTB&amp;DHMT",1,0)</f>
        <v>0</v>
      </c>
      <c r="S1918" s="5">
        <f>IF('1_Du_lieu'!C397="ĐBSCL",1,0)</f>
        <v>0</v>
      </c>
      <c r="T1918" s="5">
        <f>IF('1_Du_lieu'!C397="TN",1,0)</f>
        <v>1</v>
      </c>
      <c r="U1918" s="5">
        <f>IF('1_Du_lieu'!C397="TDMNPB",1,0)</f>
        <v>0</v>
      </c>
    </row>
    <row r="1919" spans="1:21" x14ac:dyDescent="0.25">
      <c r="A1919" t="s">
        <v>107</v>
      </c>
      <c r="B1919">
        <v>2023</v>
      </c>
      <c r="C1919" s="7">
        <f>'1_Du_lieu'!V399</f>
        <v>2.8791984572980396</v>
      </c>
      <c r="D1919" s="9">
        <f>'1_Du_lieu'!W399</f>
        <v>4.5622626849768144</v>
      </c>
      <c r="E1919" s="9">
        <f>'1_Du_lieu'!L399</f>
        <v>6.1210000000000004</v>
      </c>
      <c r="F1919" s="9">
        <f>'1_Du_lieu'!M399</f>
        <v>28.2</v>
      </c>
      <c r="G1919" s="9">
        <f>'1_Du_lieu'!N399</f>
        <v>29.5</v>
      </c>
      <c r="H1919" s="9">
        <f>'1_Du_lieu'!X399</f>
        <v>2.9797971999507391</v>
      </c>
      <c r="I1919" s="9">
        <f>'1_Du_lieu'!T399</f>
        <v>1.2416751326334801</v>
      </c>
      <c r="J1919" s="9">
        <f>'1_Du_lieu'!Y399</f>
        <v>8.828757792331265</v>
      </c>
      <c r="K1919" s="9">
        <f>'1_Du_lieu'!O399</f>
        <v>18</v>
      </c>
      <c r="L1919" s="5">
        <f t="shared" si="223"/>
        <v>0</v>
      </c>
      <c r="M1919" s="5">
        <f t="shared" si="224"/>
        <v>0</v>
      </c>
      <c r="N1919" s="5">
        <f t="shared" si="225"/>
        <v>0</v>
      </c>
      <c r="O1919" s="5">
        <f t="shared" si="226"/>
        <v>1</v>
      </c>
      <c r="P1919" s="5">
        <f t="shared" si="227"/>
        <v>0</v>
      </c>
      <c r="Q1919" s="5">
        <f>IF('1_Du_lieu'!C399="ĐBSH",1,0)</f>
        <v>1</v>
      </c>
      <c r="R1919" s="5">
        <f>IF('1_Du_lieu'!C399="BTB&amp;DHMT",1,0)</f>
        <v>0</v>
      </c>
      <c r="S1919" s="5">
        <f>IF('1_Du_lieu'!C399="ĐBSCL",1,0)</f>
        <v>0</v>
      </c>
      <c r="T1919" s="5">
        <f>IF('1_Du_lieu'!C399="TN",1,0)</f>
        <v>0</v>
      </c>
      <c r="U1919" s="5">
        <f>IF('1_Du_lieu'!C399="TDMNPB",1,0)</f>
        <v>0</v>
      </c>
    </row>
    <row r="1920" spans="1:21" x14ac:dyDescent="0.25">
      <c r="A1920" t="s">
        <v>108</v>
      </c>
      <c r="B1920">
        <v>2023</v>
      </c>
      <c r="C1920" s="7">
        <f>'1_Du_lieu'!V400</f>
        <v>4.4508528256037341</v>
      </c>
      <c r="D1920" s="9">
        <f>'1_Du_lieu'!W400</f>
        <v>5.0086332914255829</v>
      </c>
      <c r="E1920" s="9">
        <f>'1_Du_lieu'!L400</f>
        <v>22.382000000000001</v>
      </c>
      <c r="F1920" s="9">
        <f>'1_Du_lieu'!M400</f>
        <v>49.06</v>
      </c>
      <c r="G1920" s="9">
        <f>'1_Du_lieu'!N400</f>
        <v>50.8</v>
      </c>
      <c r="H1920" s="9">
        <f>'1_Du_lieu'!X400</f>
        <v>3.1935935495764549</v>
      </c>
      <c r="I1920" s="9">
        <f>'1_Du_lieu'!T400</f>
        <v>1.8516146312491992</v>
      </c>
      <c r="J1920" s="9">
        <f>'1_Du_lieu'!Y400</f>
        <v>8.4766211656511903</v>
      </c>
      <c r="K1920" s="9">
        <f>'1_Du_lieu'!O400</f>
        <v>52.2</v>
      </c>
      <c r="L1920" s="5">
        <f t="shared" si="223"/>
        <v>0</v>
      </c>
      <c r="M1920" s="5">
        <f t="shared" si="224"/>
        <v>0</v>
      </c>
      <c r="N1920" s="5">
        <f t="shared" si="225"/>
        <v>0</v>
      </c>
      <c r="O1920" s="5">
        <f t="shared" si="226"/>
        <v>1</v>
      </c>
      <c r="P1920" s="5">
        <f t="shared" si="227"/>
        <v>0</v>
      </c>
      <c r="Q1920" s="5">
        <f>IF('1_Du_lieu'!C400="ĐBSH",1,0)</f>
        <v>1</v>
      </c>
      <c r="R1920" s="5">
        <f>IF('1_Du_lieu'!C400="BTB&amp;DHMT",1,0)</f>
        <v>0</v>
      </c>
      <c r="S1920" s="5">
        <f>IF('1_Du_lieu'!C400="ĐBSCL",1,0)</f>
        <v>0</v>
      </c>
      <c r="T1920" s="5">
        <f>IF('1_Du_lieu'!C400="TN",1,0)</f>
        <v>0</v>
      </c>
      <c r="U1920" s="5">
        <f>IF('1_Du_lieu'!C400="TDMNPB",1,0)</f>
        <v>0</v>
      </c>
    </row>
    <row r="1921" spans="1:21" x14ac:dyDescent="0.25">
      <c r="A1921" t="s">
        <v>109</v>
      </c>
      <c r="B1921">
        <v>2023</v>
      </c>
      <c r="C1921" s="7">
        <f>'1_Du_lieu'!V401</f>
        <v>2.5877640352277083</v>
      </c>
      <c r="D1921" s="9">
        <f>'1_Du_lieu'!W401</f>
        <v>4.3372907408324899</v>
      </c>
      <c r="E1921" s="9">
        <f>'1_Du_lieu'!L401</f>
        <v>4.3719999999999999</v>
      </c>
      <c r="F1921" s="9">
        <f>'1_Du_lieu'!M401</f>
        <v>22.51</v>
      </c>
      <c r="G1921" s="9">
        <f>'1_Du_lieu'!N401</f>
        <v>31.6</v>
      </c>
      <c r="H1921" s="9">
        <f>'1_Du_lieu'!X401</f>
        <v>3.5347750450300257</v>
      </c>
      <c r="I1921" s="9">
        <f>'1_Du_lieu'!T401</f>
        <v>0.37772909269471933</v>
      </c>
      <c r="J1921" s="9">
        <f>'1_Du_lieu'!Y401</f>
        <v>9.1196495066916796</v>
      </c>
      <c r="K1921" s="9">
        <f>'1_Du_lieu'!O401</f>
        <v>16.3</v>
      </c>
      <c r="L1921" s="5">
        <f t="shared" si="223"/>
        <v>0</v>
      </c>
      <c r="M1921" s="5">
        <f t="shared" si="224"/>
        <v>0</v>
      </c>
      <c r="N1921" s="5">
        <f t="shared" si="225"/>
        <v>0</v>
      </c>
      <c r="O1921" s="5">
        <f t="shared" si="226"/>
        <v>1</v>
      </c>
      <c r="P1921" s="5">
        <f t="shared" si="227"/>
        <v>0</v>
      </c>
      <c r="Q1921" s="5">
        <f>IF('1_Du_lieu'!C401="ĐBSH",1,0)</f>
        <v>0</v>
      </c>
      <c r="R1921" s="5">
        <f>IF('1_Du_lieu'!C401="BTB&amp;DHMT",1,0)</f>
        <v>1</v>
      </c>
      <c r="S1921" s="5">
        <f>IF('1_Du_lieu'!C401="ĐBSCL",1,0)</f>
        <v>0</v>
      </c>
      <c r="T1921" s="5">
        <f>IF('1_Du_lieu'!C401="TN",1,0)</f>
        <v>0</v>
      </c>
      <c r="U1921" s="5">
        <f>IF('1_Du_lieu'!C401="TDMNPB",1,0)</f>
        <v>0</v>
      </c>
    </row>
    <row r="1922" spans="1:21" x14ac:dyDescent="0.25">
      <c r="A1922" t="s">
        <v>110</v>
      </c>
      <c r="B1922">
        <v>2023</v>
      </c>
      <c r="C1922" s="7">
        <f>'1_Du_lieu'!V402</f>
        <v>2.5014359517392109</v>
      </c>
      <c r="D1922" s="9">
        <f>'1_Du_lieu'!W402</f>
        <v>4.2456340097683265</v>
      </c>
      <c r="E1922" s="9">
        <f>'1_Du_lieu'!L402</f>
        <v>3.375</v>
      </c>
      <c r="F1922" s="9">
        <f>'1_Du_lieu'!M402</f>
        <v>25.68</v>
      </c>
      <c r="G1922" s="9">
        <f>'1_Du_lieu'!N402</f>
        <v>23.8</v>
      </c>
      <c r="H1922" s="9">
        <f>'1_Du_lieu'!X402</f>
        <v>2.2822317178119582</v>
      </c>
      <c r="I1922" s="9">
        <f>'1_Du_lieu'!T402</f>
        <v>1.0221465076660987</v>
      </c>
      <c r="J1922" s="9">
        <f>'1_Du_lieu'!Y402</f>
        <v>6.7878449823095792</v>
      </c>
      <c r="K1922" s="9">
        <f>'1_Du_lieu'!O402</f>
        <v>18.399999999999999</v>
      </c>
      <c r="L1922" s="5">
        <f t="shared" si="223"/>
        <v>0</v>
      </c>
      <c r="M1922" s="5">
        <f t="shared" si="224"/>
        <v>0</v>
      </c>
      <c r="N1922" s="5">
        <f t="shared" si="225"/>
        <v>0</v>
      </c>
      <c r="O1922" s="5">
        <f t="shared" si="226"/>
        <v>1</v>
      </c>
      <c r="P1922" s="5">
        <f t="shared" si="227"/>
        <v>0</v>
      </c>
      <c r="Q1922" s="5">
        <f>IF('1_Du_lieu'!C402="ĐBSH",1,0)</f>
        <v>0</v>
      </c>
      <c r="R1922" s="5">
        <f>IF('1_Du_lieu'!C402="BTB&amp;DHMT",1,0)</f>
        <v>0</v>
      </c>
      <c r="S1922" s="5">
        <f>IF('1_Du_lieu'!C402="ĐBSCL",1,0)</f>
        <v>0</v>
      </c>
      <c r="T1922" s="5">
        <f>IF('1_Du_lieu'!C402="TN",1,0)</f>
        <v>0</v>
      </c>
      <c r="U1922" s="5">
        <f>IF('1_Du_lieu'!C402="TDMNPB",1,0)</f>
        <v>1</v>
      </c>
    </row>
    <row r="1923" spans="1:21" x14ac:dyDescent="0.25">
      <c r="A1923" t="s">
        <v>111</v>
      </c>
      <c r="B1923">
        <v>2023</v>
      </c>
      <c r="C1923" s="7">
        <f>'1_Du_lieu'!V403</f>
        <v>3.0204248861443626</v>
      </c>
      <c r="D1923" s="9">
        <f>'1_Du_lieu'!W403</f>
        <v>4.6995708614095761</v>
      </c>
      <c r="E1923" s="9">
        <f>'1_Du_lieu'!L403</f>
        <v>7.4969999999999999</v>
      </c>
      <c r="F1923" s="9">
        <f>'1_Du_lieu'!M403</f>
        <v>16.989999999999998</v>
      </c>
      <c r="G1923" s="9">
        <f>'1_Du_lieu'!N403</f>
        <v>28.2</v>
      </c>
      <c r="H1923" s="9">
        <f>'1_Du_lieu'!X403</f>
        <v>3.3154290302726985</v>
      </c>
      <c r="I1923" s="9">
        <f>'1_Du_lieu'!T403</f>
        <v>1.8447348193697155</v>
      </c>
      <c r="J1923" s="9">
        <f>'1_Du_lieu'!Y403</f>
        <v>8.6638702992607257</v>
      </c>
      <c r="K1923" s="9">
        <f>'1_Du_lieu'!O403</f>
        <v>27.3</v>
      </c>
      <c r="L1923" s="5">
        <f t="shared" si="223"/>
        <v>0</v>
      </c>
      <c r="M1923" s="5">
        <f t="shared" si="224"/>
        <v>0</v>
      </c>
      <c r="N1923" s="5">
        <f t="shared" si="225"/>
        <v>0</v>
      </c>
      <c r="O1923" s="5">
        <f t="shared" si="226"/>
        <v>1</v>
      </c>
      <c r="P1923" s="5">
        <f t="shared" si="227"/>
        <v>0</v>
      </c>
      <c r="Q1923" s="5">
        <f>IF('1_Du_lieu'!C403="ĐBSH",1,0)</f>
        <v>1</v>
      </c>
      <c r="R1923" s="5">
        <f>IF('1_Du_lieu'!C403="BTB&amp;DHMT",1,0)</f>
        <v>0</v>
      </c>
      <c r="S1923" s="5">
        <f>IF('1_Du_lieu'!C403="ĐBSCL",1,0)</f>
        <v>0</v>
      </c>
      <c r="T1923" s="5">
        <f>IF('1_Du_lieu'!C403="TN",1,0)</f>
        <v>0</v>
      </c>
      <c r="U1923" s="5">
        <f>IF('1_Du_lieu'!C403="TDMNPB",1,0)</f>
        <v>0</v>
      </c>
    </row>
    <row r="1924" spans="1:21" x14ac:dyDescent="0.25">
      <c r="A1924" t="s">
        <v>112</v>
      </c>
      <c r="B1924">
        <v>2023</v>
      </c>
      <c r="C1924" s="7">
        <f>'1_Du_lieu'!V404</f>
        <v>2.9285235238605409</v>
      </c>
      <c r="D1924" s="9">
        <f>'1_Du_lieu'!W404</f>
        <v>4.5528237056158822</v>
      </c>
      <c r="E1924" s="9">
        <f>'1_Du_lieu'!L404</f>
        <v>5.7359999999999998</v>
      </c>
      <c r="F1924" s="9">
        <f>'1_Du_lieu'!M404</f>
        <v>31.68</v>
      </c>
      <c r="G1924" s="9">
        <f>'1_Du_lieu'!N404</f>
        <v>29.2</v>
      </c>
      <c r="H1924" s="9">
        <f>'1_Du_lieu'!X404</f>
        <v>3.2946589515718152</v>
      </c>
      <c r="I1924" s="9">
        <f>'1_Du_lieu'!T404</f>
        <v>0.56211354693648108</v>
      </c>
      <c r="J1924" s="9">
        <f>'1_Du_lieu'!Y404</f>
        <v>8.579303767479141</v>
      </c>
      <c r="K1924" s="9">
        <f>'1_Du_lieu'!O404</f>
        <v>27.2</v>
      </c>
      <c r="L1924" s="5">
        <f t="shared" si="223"/>
        <v>0</v>
      </c>
      <c r="M1924" s="5">
        <f t="shared" si="224"/>
        <v>0</v>
      </c>
      <c r="N1924" s="5">
        <f t="shared" si="225"/>
        <v>0</v>
      </c>
      <c r="O1924" s="5">
        <f t="shared" si="226"/>
        <v>1</v>
      </c>
      <c r="P1924" s="5">
        <f t="shared" si="227"/>
        <v>0</v>
      </c>
      <c r="Q1924" s="5">
        <f>IF('1_Du_lieu'!C404="ĐBSH",1,0)</f>
        <v>1</v>
      </c>
      <c r="R1924" s="5">
        <f>IF('1_Du_lieu'!C404="BTB&amp;DHMT",1,0)</f>
        <v>0</v>
      </c>
      <c r="S1924" s="5">
        <f>IF('1_Du_lieu'!C404="ĐBSCL",1,0)</f>
        <v>0</v>
      </c>
      <c r="T1924" s="5">
        <f>IF('1_Du_lieu'!C404="TN",1,0)</f>
        <v>0</v>
      </c>
      <c r="U1924" s="5">
        <f>IF('1_Du_lieu'!C404="TDMNPB",1,0)</f>
        <v>0</v>
      </c>
    </row>
    <row r="1925" spans="1:21" x14ac:dyDescent="0.25">
      <c r="A1925" t="s">
        <v>113</v>
      </c>
      <c r="B1925">
        <v>2023</v>
      </c>
      <c r="C1925" s="7">
        <f>'1_Du_lieu'!V405</f>
        <v>3.3534067178258069</v>
      </c>
      <c r="D1925" s="9">
        <f>'1_Du_lieu'!W405</f>
        <v>5.2208962195794522</v>
      </c>
      <c r="E1925" s="9">
        <f>'1_Du_lieu'!L405</f>
        <v>9.9939999999999998</v>
      </c>
      <c r="F1925" s="9">
        <f>'1_Du_lieu'!M405</f>
        <v>45.63</v>
      </c>
      <c r="G1925" s="9">
        <f>'1_Du_lieu'!N405</f>
        <v>36.5</v>
      </c>
      <c r="H1925" s="9">
        <f>'1_Du_lieu'!X405</f>
        <v>4.1304894126587515</v>
      </c>
      <c r="I1925" s="9">
        <f>'1_Du_lieu'!T405</f>
        <v>1.8527315914489311</v>
      </c>
      <c r="J1925" s="9">
        <f>'1_Du_lieu'!Y405</f>
        <v>9.5257567677856638</v>
      </c>
      <c r="K1925" s="9">
        <f>'1_Du_lieu'!O405</f>
        <v>28.3</v>
      </c>
      <c r="L1925" s="5">
        <f t="shared" si="223"/>
        <v>0</v>
      </c>
      <c r="M1925" s="5">
        <f t="shared" si="224"/>
        <v>0</v>
      </c>
      <c r="N1925" s="5">
        <f t="shared" si="225"/>
        <v>0</v>
      </c>
      <c r="O1925" s="5">
        <f t="shared" si="226"/>
        <v>1</v>
      </c>
      <c r="P1925" s="5">
        <f t="shared" si="227"/>
        <v>0</v>
      </c>
      <c r="Q1925" s="5">
        <f>IF('1_Du_lieu'!C405="ĐBSH",1,0)</f>
        <v>1</v>
      </c>
      <c r="R1925" s="5">
        <f>IF('1_Du_lieu'!C405="BTB&amp;DHMT",1,0)</f>
        <v>0</v>
      </c>
      <c r="S1925" s="5">
        <f>IF('1_Du_lieu'!C405="ĐBSCL",1,0)</f>
        <v>0</v>
      </c>
      <c r="T1925" s="5">
        <f>IF('1_Du_lieu'!C405="TN",1,0)</f>
        <v>0</v>
      </c>
      <c r="U1925" s="5">
        <f>IF('1_Du_lieu'!C405="TDMNPB",1,0)</f>
        <v>0</v>
      </c>
    </row>
    <row r="1926" spans="1:21" x14ac:dyDescent="0.25">
      <c r="A1926" t="s">
        <v>114</v>
      </c>
      <c r="B1926">
        <v>2023</v>
      </c>
      <c r="C1926" s="7">
        <f>'1_Du_lieu'!V406</f>
        <v>2.4680995314716192</v>
      </c>
      <c r="D1926" s="9">
        <f>'1_Du_lieu'!W406</f>
        <v>4.3757570216602861</v>
      </c>
      <c r="E1926" s="9">
        <f>'1_Du_lieu'!L406</f>
        <v>3.7349999999999999</v>
      </c>
      <c r="F1926" s="9">
        <f>'1_Du_lieu'!M406</f>
        <v>28.11</v>
      </c>
      <c r="G1926" s="9">
        <f>'1_Du_lieu'!N406</f>
        <v>13.7</v>
      </c>
      <c r="H1926" s="9">
        <f>'1_Du_lieu'!X406</f>
        <v>1.4593842792877025</v>
      </c>
      <c r="I1926" s="9">
        <f>'1_Du_lieu'!T406</f>
        <v>0.68653027598517091</v>
      </c>
      <c r="J1926" s="9">
        <f>'1_Du_lieu'!Y406</f>
        <v>6.9696966805223202</v>
      </c>
      <c r="K1926" s="9">
        <f>'1_Du_lieu'!O406</f>
        <v>14.8</v>
      </c>
      <c r="L1926" s="5">
        <f t="shared" si="223"/>
        <v>0</v>
      </c>
      <c r="M1926" s="5">
        <f t="shared" si="224"/>
        <v>0</v>
      </c>
      <c r="N1926" s="5">
        <f t="shared" si="225"/>
        <v>0</v>
      </c>
      <c r="O1926" s="5">
        <f t="shared" si="226"/>
        <v>1</v>
      </c>
      <c r="P1926" s="5">
        <f t="shared" si="227"/>
        <v>0</v>
      </c>
      <c r="Q1926" s="5">
        <f>IF('1_Du_lieu'!C406="ĐBSH",1,0)</f>
        <v>0</v>
      </c>
      <c r="R1926" s="5">
        <f>IF('1_Du_lieu'!C406="BTB&amp;DHMT",1,0)</f>
        <v>0</v>
      </c>
      <c r="S1926" s="5">
        <f>IF('1_Du_lieu'!C406="ĐBSCL",1,0)</f>
        <v>1</v>
      </c>
      <c r="T1926" s="5">
        <f>IF('1_Du_lieu'!C406="TN",1,0)</f>
        <v>0</v>
      </c>
      <c r="U1926" s="5">
        <f>IF('1_Du_lieu'!C406="TDMNPB",1,0)</f>
        <v>0</v>
      </c>
    </row>
    <row r="1927" spans="1:21" x14ac:dyDescent="0.25">
      <c r="A1927" t="s">
        <v>115</v>
      </c>
      <c r="B1927">
        <v>2023</v>
      </c>
      <c r="C1927" s="7">
        <f>'1_Du_lieu'!V407</f>
        <v>3.1484533605716547</v>
      </c>
      <c r="D1927" s="9">
        <f>'1_Du_lieu'!W407</f>
        <v>4.4830025520138834</v>
      </c>
      <c r="E1927" s="9">
        <f>'1_Du_lieu'!L407</f>
        <v>9.0820000000000007</v>
      </c>
      <c r="F1927" s="9">
        <f>'1_Du_lieu'!M407</f>
        <v>42.39</v>
      </c>
      <c r="G1927" s="9">
        <f>'1_Du_lieu'!N407</f>
        <v>25.3</v>
      </c>
      <c r="H1927" s="9">
        <f>'1_Du_lieu'!X407</f>
        <v>3.0975907097764734</v>
      </c>
      <c r="I1927" s="9">
        <f>'1_Du_lieu'!T407</f>
        <v>1.8245280025384738</v>
      </c>
      <c r="J1927" s="9">
        <f>'1_Du_lieu'!Y407</f>
        <v>8.1603468042105192</v>
      </c>
      <c r="K1927" s="9">
        <f>'1_Du_lieu'!O407</f>
        <v>31.1</v>
      </c>
      <c r="L1927" s="5">
        <f t="shared" si="223"/>
        <v>0</v>
      </c>
      <c r="M1927" s="5">
        <f t="shared" si="224"/>
        <v>0</v>
      </c>
      <c r="N1927" s="5">
        <f t="shared" si="225"/>
        <v>0</v>
      </c>
      <c r="O1927" s="5">
        <f t="shared" si="226"/>
        <v>1</v>
      </c>
      <c r="P1927" s="5">
        <f t="shared" si="227"/>
        <v>0</v>
      </c>
      <c r="Q1927" s="5">
        <f>IF('1_Du_lieu'!C407="ĐBSH",1,0)</f>
        <v>0</v>
      </c>
      <c r="R1927" s="5">
        <f>IF('1_Du_lieu'!C407="BTB&amp;DHMT",1,0)</f>
        <v>1</v>
      </c>
      <c r="S1927" s="5">
        <f>IF('1_Du_lieu'!C407="ĐBSCL",1,0)</f>
        <v>0</v>
      </c>
      <c r="T1927" s="5">
        <f>IF('1_Du_lieu'!C407="TN",1,0)</f>
        <v>0</v>
      </c>
      <c r="U1927" s="5">
        <f>IF('1_Du_lieu'!C407="TDMNPB",1,0)</f>
        <v>0</v>
      </c>
    </row>
    <row r="1928" spans="1:21" x14ac:dyDescent="0.25">
      <c r="A1928" t="s">
        <v>116</v>
      </c>
      <c r="B1928">
        <v>2023</v>
      </c>
      <c r="C1928" s="7">
        <f>'1_Du_lieu'!V408</f>
        <v>2.5802168295923251</v>
      </c>
      <c r="D1928" s="9">
        <f>'1_Du_lieu'!W408</f>
        <v>4.2835865618606288</v>
      </c>
      <c r="E1928" s="9">
        <f>'1_Du_lieu'!L408</f>
        <v>5.0250000000000004</v>
      </c>
      <c r="F1928" s="9">
        <f>'1_Du_lieu'!M408</f>
        <v>30.12</v>
      </c>
      <c r="G1928" s="9">
        <f>'1_Du_lieu'!N408</f>
        <v>16.8</v>
      </c>
      <c r="H1928" s="9">
        <f>'1_Du_lieu'!X408</f>
        <v>0.57791387397611804</v>
      </c>
      <c r="I1928" s="9">
        <f>'1_Du_lieu'!T408</f>
        <v>5.4691505725517011</v>
      </c>
      <c r="J1928" s="9">
        <f>'1_Du_lieu'!Y408</f>
        <v>7.9163334449462655</v>
      </c>
      <c r="K1928" s="9">
        <f>'1_Du_lieu'!O408</f>
        <v>16.3</v>
      </c>
      <c r="L1928" s="5">
        <f t="shared" si="223"/>
        <v>0</v>
      </c>
      <c r="M1928" s="5">
        <f t="shared" si="224"/>
        <v>0</v>
      </c>
      <c r="N1928" s="5">
        <f t="shared" si="225"/>
        <v>0</v>
      </c>
      <c r="O1928" s="5">
        <f t="shared" si="226"/>
        <v>1</v>
      </c>
      <c r="P1928" s="5">
        <f t="shared" si="227"/>
        <v>0</v>
      </c>
      <c r="Q1928" s="5">
        <f>IF('1_Du_lieu'!C408="ĐBSH",1,0)</f>
        <v>0</v>
      </c>
      <c r="R1928" s="5">
        <f>IF('1_Du_lieu'!C408="BTB&amp;DHMT",1,0)</f>
        <v>0</v>
      </c>
      <c r="S1928" s="5">
        <f>IF('1_Du_lieu'!C408="ĐBSCL",1,0)</f>
        <v>1</v>
      </c>
      <c r="T1928" s="5">
        <f>IF('1_Du_lieu'!C408="TN",1,0)</f>
        <v>0</v>
      </c>
      <c r="U1928" s="5">
        <f>IF('1_Du_lieu'!C408="TDMNPB",1,0)</f>
        <v>0</v>
      </c>
    </row>
    <row r="1929" spans="1:21" x14ac:dyDescent="0.25">
      <c r="A1929" t="s">
        <v>117</v>
      </c>
      <c r="B1929">
        <v>2023</v>
      </c>
      <c r="C1929" s="7">
        <f>'1_Du_lieu'!V409</f>
        <v>2.3223877202902252</v>
      </c>
      <c r="D1929" s="9">
        <f>'1_Du_lieu'!W409</f>
        <v>4.0775374439057197</v>
      </c>
      <c r="E1929" s="9">
        <f>'1_Du_lieu'!L409</f>
        <v>3.6360000000000001</v>
      </c>
      <c r="F1929" s="9">
        <f>'1_Du_lieu'!M409</f>
        <v>32.44</v>
      </c>
      <c r="G1929" s="9">
        <f>'1_Du_lieu'!N409</f>
        <v>17.8</v>
      </c>
      <c r="H1929" s="9">
        <f>'1_Du_lieu'!X409</f>
        <v>2.665450879720793</v>
      </c>
      <c r="I1929" s="9">
        <f>'1_Du_lieu'!T409</f>
        <v>0.84559445290038915</v>
      </c>
      <c r="J1929" s="9">
        <f>'1_Du_lieu'!Y409</f>
        <v>6.0224786006371511</v>
      </c>
      <c r="K1929" s="9">
        <f>'1_Du_lieu'!O409</f>
        <v>23.1</v>
      </c>
      <c r="L1929" s="5">
        <f t="shared" si="223"/>
        <v>0</v>
      </c>
      <c r="M1929" s="5">
        <f t="shared" si="224"/>
        <v>0</v>
      </c>
      <c r="N1929" s="5">
        <f t="shared" si="225"/>
        <v>0</v>
      </c>
      <c r="O1929" s="5">
        <f t="shared" si="226"/>
        <v>1</v>
      </c>
      <c r="P1929" s="5">
        <f t="shared" si="227"/>
        <v>0</v>
      </c>
      <c r="Q1929" s="5">
        <f>IF('1_Du_lieu'!C409="ĐBSH",1,0)</f>
        <v>0</v>
      </c>
      <c r="R1929" s="5">
        <f>IF('1_Du_lieu'!C409="BTB&amp;DHMT",1,0)</f>
        <v>0</v>
      </c>
      <c r="S1929" s="5">
        <f>IF('1_Du_lieu'!C409="ĐBSCL",1,0)</f>
        <v>0</v>
      </c>
      <c r="T1929" s="5">
        <f>IF('1_Du_lieu'!C409="TN",1,0)</f>
        <v>1</v>
      </c>
      <c r="U1929" s="5">
        <f>IF('1_Du_lieu'!C409="TDMNPB",1,0)</f>
        <v>0</v>
      </c>
    </row>
    <row r="1930" spans="1:21" x14ac:dyDescent="0.25">
      <c r="A1930" t="s">
        <v>119</v>
      </c>
      <c r="B1930">
        <v>2023</v>
      </c>
      <c r="C1930" s="7">
        <f>'1_Du_lieu'!V411</f>
        <v>2.8678989020441064</v>
      </c>
      <c r="D1930" s="9">
        <f>'1_Du_lieu'!W411</f>
        <v>4.5390303834835466</v>
      </c>
      <c r="E1930" s="9">
        <f>'1_Du_lieu'!L411</f>
        <v>7.0049999999999999</v>
      </c>
      <c r="F1930" s="9">
        <f>'1_Du_lieu'!M411</f>
        <v>18.399999999999999</v>
      </c>
      <c r="G1930" s="9">
        <f>'1_Du_lieu'!N411</f>
        <v>15.9</v>
      </c>
      <c r="H1930" s="9">
        <f>'1_Du_lieu'!X411</f>
        <v>1.5310142902595101</v>
      </c>
      <c r="I1930" s="9">
        <f>'1_Du_lieu'!T411</f>
        <v>0.45887346564184922</v>
      </c>
      <c r="J1930" s="9">
        <f>'1_Du_lieu'!Y411</f>
        <v>8.96078867488567</v>
      </c>
      <c r="K1930" s="9">
        <f>'1_Du_lieu'!O411</f>
        <v>21.6</v>
      </c>
      <c r="L1930" s="5">
        <f t="shared" si="223"/>
        <v>0</v>
      </c>
      <c r="M1930" s="5">
        <f t="shared" si="224"/>
        <v>0</v>
      </c>
      <c r="N1930" s="5">
        <f t="shared" si="225"/>
        <v>0</v>
      </c>
      <c r="O1930" s="5">
        <f t="shared" si="226"/>
        <v>1</v>
      </c>
      <c r="P1930" s="5">
        <f t="shared" si="227"/>
        <v>0</v>
      </c>
      <c r="Q1930" s="5">
        <f>IF('1_Du_lieu'!C411="ĐBSH",1,0)</f>
        <v>0</v>
      </c>
      <c r="R1930" s="5">
        <f>IF('1_Du_lieu'!C411="BTB&amp;DHMT",1,0)</f>
        <v>0</v>
      </c>
      <c r="S1930" s="5">
        <f>IF('1_Du_lieu'!C411="ĐBSCL",1,0)</f>
        <v>1</v>
      </c>
      <c r="T1930" s="5">
        <f>IF('1_Du_lieu'!C411="TN",1,0)</f>
        <v>0</v>
      </c>
      <c r="U1930" s="5">
        <f>IF('1_Du_lieu'!C411="TDMNPB",1,0)</f>
        <v>0</v>
      </c>
    </row>
    <row r="1931" spans="1:21" x14ac:dyDescent="0.25">
      <c r="A1931" t="s">
        <v>120</v>
      </c>
      <c r="B1931">
        <v>2023</v>
      </c>
      <c r="C1931" s="7">
        <f>'1_Du_lieu'!V412</f>
        <v>2.8903717578961645</v>
      </c>
      <c r="D1931" s="9">
        <f>'1_Du_lieu'!W412</f>
        <v>4.4461744544976334</v>
      </c>
      <c r="E1931" s="9">
        <f>'1_Du_lieu'!L412</f>
        <v>4.6020000000000003</v>
      </c>
      <c r="F1931" s="9">
        <f>'1_Du_lieu'!M412</f>
        <v>27.05</v>
      </c>
      <c r="G1931" s="9">
        <f>'1_Du_lieu'!N412</f>
        <v>22.8</v>
      </c>
      <c r="H1931" s="9">
        <f>'1_Du_lieu'!X412</f>
        <v>2.3051078729742289</v>
      </c>
      <c r="I1931" s="9">
        <f>'1_Du_lieu'!T412</f>
        <v>1.1539941018079241</v>
      </c>
      <c r="J1931" s="9">
        <f>'1_Du_lieu'!Y412</f>
        <v>6.7356612423436184</v>
      </c>
      <c r="K1931" s="9">
        <f>'1_Du_lieu'!O412</f>
        <v>14.7</v>
      </c>
      <c r="L1931" s="5">
        <f t="shared" si="223"/>
        <v>0</v>
      </c>
      <c r="M1931" s="5">
        <f t="shared" si="224"/>
        <v>0</v>
      </c>
      <c r="N1931" s="5">
        <f t="shared" si="225"/>
        <v>0</v>
      </c>
      <c r="O1931" s="5">
        <f t="shared" si="226"/>
        <v>1</v>
      </c>
      <c r="P1931" s="5">
        <f t="shared" si="227"/>
        <v>0</v>
      </c>
      <c r="Q1931" s="5">
        <f>IF('1_Du_lieu'!C412="ĐBSH",1,0)</f>
        <v>0</v>
      </c>
      <c r="R1931" s="5">
        <f>IF('1_Du_lieu'!C412="BTB&amp;DHMT",1,0)</f>
        <v>0</v>
      </c>
      <c r="S1931" s="5">
        <f>IF('1_Du_lieu'!C412="ĐBSCL",1,0)</f>
        <v>0</v>
      </c>
      <c r="T1931" s="5">
        <f>IF('1_Du_lieu'!C412="TN",1,0)</f>
        <v>0</v>
      </c>
      <c r="U1931" s="5">
        <f>IF('1_Du_lieu'!C412="TDMNPB",1,0)</f>
        <v>1</v>
      </c>
    </row>
    <row r="1932" spans="1:21" x14ac:dyDescent="0.25">
      <c r="A1932" t="s">
        <v>121</v>
      </c>
      <c r="B1932">
        <v>2023</v>
      </c>
      <c r="C1932" s="7">
        <f>'1_Du_lieu'!V413</f>
        <v>2.9856819377004897</v>
      </c>
      <c r="D1932" s="9">
        <f>'1_Du_lieu'!W413</f>
        <v>4.4426512564903167</v>
      </c>
      <c r="E1932" s="9">
        <f>'1_Du_lieu'!L413</f>
        <v>6.1319999999999997</v>
      </c>
      <c r="F1932" s="9">
        <f>'1_Du_lieu'!M413</f>
        <v>39.380000000000003</v>
      </c>
      <c r="G1932" s="9">
        <f>'1_Du_lieu'!N413</f>
        <v>22.7</v>
      </c>
      <c r="H1932" s="9">
        <f>'1_Du_lieu'!X413</f>
        <v>3.0583893790985237</v>
      </c>
      <c r="I1932" s="9">
        <f>'1_Du_lieu'!T413</f>
        <v>0.59479553903345728</v>
      </c>
      <c r="J1932" s="9">
        <f>'1_Du_lieu'!Y413</f>
        <v>6.0287603318516787</v>
      </c>
      <c r="K1932" s="9">
        <f>'1_Du_lieu'!O413</f>
        <v>33.200000000000003</v>
      </c>
      <c r="L1932" s="5">
        <f t="shared" si="223"/>
        <v>0</v>
      </c>
      <c r="M1932" s="5">
        <f t="shared" si="224"/>
        <v>0</v>
      </c>
      <c r="N1932" s="5">
        <f t="shared" si="225"/>
        <v>0</v>
      </c>
      <c r="O1932" s="5">
        <f t="shared" si="226"/>
        <v>1</v>
      </c>
      <c r="P1932" s="5">
        <f t="shared" si="227"/>
        <v>0</v>
      </c>
      <c r="Q1932" s="5">
        <f>IF('1_Du_lieu'!C413="ĐBSH",1,0)</f>
        <v>0</v>
      </c>
      <c r="R1932" s="5">
        <f>IF('1_Du_lieu'!C413="BTB&amp;DHMT",1,0)</f>
        <v>0</v>
      </c>
      <c r="S1932" s="5">
        <f>IF('1_Du_lieu'!C413="ĐBSCL",1,0)</f>
        <v>0</v>
      </c>
      <c r="T1932" s="5">
        <f>IF('1_Du_lieu'!C413="TN",1,0)</f>
        <v>1</v>
      </c>
      <c r="U1932" s="5">
        <f>IF('1_Du_lieu'!C413="TDMNPB",1,0)</f>
        <v>0</v>
      </c>
    </row>
    <row r="1933" spans="1:21" x14ac:dyDescent="0.25">
      <c r="A1933" t="s">
        <v>122</v>
      </c>
      <c r="B1933">
        <v>2023</v>
      </c>
      <c r="C1933" s="7">
        <f>'1_Du_lieu'!V414</f>
        <v>2.4765384001174837</v>
      </c>
      <c r="D1933" s="9">
        <f>'1_Du_lieu'!W414</f>
        <v>4.0569887756783318</v>
      </c>
      <c r="E1933" s="9">
        <f>'1_Du_lieu'!L414</f>
        <v>3.3919999999999999</v>
      </c>
      <c r="F1933" s="9">
        <f>'1_Du_lieu'!M414</f>
        <v>23.18</v>
      </c>
      <c r="G1933" s="9">
        <f>'1_Du_lieu'!N414</f>
        <v>27.6</v>
      </c>
      <c r="H1933" s="9">
        <f>'1_Du_lieu'!X414</f>
        <v>2.1331566502704176</v>
      </c>
      <c r="I1933" s="9">
        <f>'1_Du_lieu'!T414</f>
        <v>0.99095751269664323</v>
      </c>
      <c r="J1933" s="9">
        <f>'1_Du_lieu'!Y414</f>
        <v>6.4597479476082977</v>
      </c>
      <c r="K1933" s="9">
        <f>'1_Du_lieu'!O414</f>
        <v>15.7</v>
      </c>
      <c r="L1933" s="5">
        <f t="shared" si="223"/>
        <v>0</v>
      </c>
      <c r="M1933" s="5">
        <f t="shared" si="224"/>
        <v>0</v>
      </c>
      <c r="N1933" s="5">
        <f t="shared" si="225"/>
        <v>0</v>
      </c>
      <c r="O1933" s="5">
        <f t="shared" si="226"/>
        <v>1</v>
      </c>
      <c r="P1933" s="5">
        <f t="shared" si="227"/>
        <v>0</v>
      </c>
      <c r="Q1933" s="5">
        <f>IF('1_Du_lieu'!C414="ĐBSH",1,0)</f>
        <v>0</v>
      </c>
      <c r="R1933" s="5">
        <f>IF('1_Du_lieu'!C414="BTB&amp;DHMT",1,0)</f>
        <v>0</v>
      </c>
      <c r="S1933" s="5">
        <f>IF('1_Du_lieu'!C414="ĐBSCL",1,0)</f>
        <v>0</v>
      </c>
      <c r="T1933" s="5">
        <f>IF('1_Du_lieu'!C414="TN",1,0)</f>
        <v>0</v>
      </c>
      <c r="U1933" s="5">
        <f>IF('1_Du_lieu'!C414="TDMNPB",1,0)</f>
        <v>1</v>
      </c>
    </row>
    <row r="1934" spans="1:21" x14ac:dyDescent="0.25">
      <c r="A1934" t="s">
        <v>123</v>
      </c>
      <c r="B1934">
        <v>2023</v>
      </c>
      <c r="C1934" s="7">
        <f>'1_Du_lieu'!V415</f>
        <v>2.954910279033736</v>
      </c>
      <c r="D1934" s="9">
        <f>'1_Du_lieu'!W415</f>
        <v>3.9435216724875173</v>
      </c>
      <c r="E1934" s="9">
        <f>'1_Du_lieu'!L415</f>
        <v>3.7719999999999998</v>
      </c>
      <c r="F1934" s="9">
        <f>'1_Du_lieu'!M415</f>
        <v>20.420000000000002</v>
      </c>
      <c r="G1934" s="9">
        <f>'1_Du_lieu'!N415</f>
        <v>21.7</v>
      </c>
      <c r="H1934" s="9">
        <f>'1_Du_lieu'!X415</f>
        <v>2.2432298019540498</v>
      </c>
      <c r="I1934" s="9">
        <f>'1_Du_lieu'!T415</f>
        <v>1.1128186105664777</v>
      </c>
      <c r="J1934" s="9">
        <f>'1_Du_lieu'!Y415</f>
        <v>7.6741993886035393</v>
      </c>
      <c r="K1934" s="9">
        <f>'1_Du_lieu'!O415</f>
        <v>20.5</v>
      </c>
      <c r="L1934" s="5">
        <f t="shared" si="223"/>
        <v>0</v>
      </c>
      <c r="M1934" s="5">
        <f t="shared" si="224"/>
        <v>0</v>
      </c>
      <c r="N1934" s="5">
        <f t="shared" si="225"/>
        <v>0</v>
      </c>
      <c r="O1934" s="5">
        <f t="shared" si="226"/>
        <v>1</v>
      </c>
      <c r="P1934" s="5">
        <f t="shared" si="227"/>
        <v>0</v>
      </c>
      <c r="Q1934" s="5">
        <f>IF('1_Du_lieu'!C415="ĐBSH",1,0)</f>
        <v>1</v>
      </c>
      <c r="R1934" s="5">
        <f>IF('1_Du_lieu'!C415="BTB&amp;DHMT",1,0)</f>
        <v>0</v>
      </c>
      <c r="S1934" s="5">
        <f>IF('1_Du_lieu'!C415="ĐBSCL",1,0)</f>
        <v>0</v>
      </c>
      <c r="T1934" s="5">
        <f>IF('1_Du_lieu'!C415="TN",1,0)</f>
        <v>0</v>
      </c>
      <c r="U1934" s="5">
        <f>IF('1_Du_lieu'!C415="TDMNPB",1,0)</f>
        <v>0</v>
      </c>
    </row>
    <row r="1935" spans="1:21" x14ac:dyDescent="0.25">
      <c r="A1935" t="s">
        <v>124</v>
      </c>
      <c r="B1935">
        <v>2023</v>
      </c>
      <c r="C1935" s="7">
        <f>'1_Du_lieu'!V416</f>
        <v>2.9755295662364718</v>
      </c>
      <c r="D1935" s="9">
        <f>'1_Du_lieu'!W416</f>
        <v>4.0055133485154846</v>
      </c>
      <c r="E1935" s="9">
        <f>'1_Du_lieu'!L416</f>
        <v>3.9649999999999999</v>
      </c>
      <c r="F1935" s="9">
        <f>'1_Du_lieu'!M416</f>
        <v>15.69</v>
      </c>
      <c r="G1935" s="9">
        <f>'1_Du_lieu'!N416</f>
        <v>25.7</v>
      </c>
      <c r="H1935" s="9">
        <f>'1_Du_lieu'!X416</f>
        <v>3.8512133359859355</v>
      </c>
      <c r="I1935" s="9">
        <f>'1_Du_lieu'!T416</f>
        <v>2.9633933759442184</v>
      </c>
      <c r="J1935" s="9">
        <f>'1_Du_lieu'!Y416</f>
        <v>7.1087350175946247</v>
      </c>
      <c r="K1935" s="9">
        <f>'1_Du_lieu'!O416</f>
        <v>18.100000000000001</v>
      </c>
      <c r="L1935" s="5">
        <f t="shared" si="223"/>
        <v>0</v>
      </c>
      <c r="M1935" s="5">
        <f t="shared" si="224"/>
        <v>0</v>
      </c>
      <c r="N1935" s="5">
        <f t="shared" si="225"/>
        <v>0</v>
      </c>
      <c r="O1935" s="5">
        <f t="shared" si="226"/>
        <v>1</v>
      </c>
      <c r="P1935" s="5">
        <f t="shared" si="227"/>
        <v>0</v>
      </c>
      <c r="Q1935" s="5">
        <f>IF('1_Du_lieu'!C416="ĐBSH",1,0)</f>
        <v>0</v>
      </c>
      <c r="R1935" s="5">
        <f>IF('1_Du_lieu'!C416="BTB&amp;DHMT",1,0)</f>
        <v>1</v>
      </c>
      <c r="S1935" s="5">
        <f>IF('1_Du_lieu'!C416="ĐBSCL",1,0)</f>
        <v>0</v>
      </c>
      <c r="T1935" s="5">
        <f>IF('1_Du_lieu'!C416="TN",1,0)</f>
        <v>0</v>
      </c>
      <c r="U1935" s="5">
        <f>IF('1_Du_lieu'!C416="TDMNPB",1,0)</f>
        <v>0</v>
      </c>
    </row>
    <row r="1936" spans="1:21" x14ac:dyDescent="0.25">
      <c r="A1936" t="s">
        <v>125</v>
      </c>
      <c r="B1936">
        <v>2023</v>
      </c>
      <c r="C1936" s="7">
        <f>'1_Du_lieu'!V417</f>
        <v>2.8903717578961645</v>
      </c>
      <c r="D1936" s="9">
        <f>'1_Du_lieu'!W417</f>
        <v>4.4212473478271628</v>
      </c>
      <c r="E1936" s="9">
        <f>'1_Du_lieu'!L417</f>
        <v>5.4859999999999998</v>
      </c>
      <c r="F1936" s="9">
        <f>'1_Du_lieu'!M417</f>
        <v>21.69</v>
      </c>
      <c r="G1936" s="9">
        <f>'1_Du_lieu'!N417</f>
        <v>33.6</v>
      </c>
      <c r="H1936" s="9">
        <f>'1_Du_lieu'!X417</f>
        <v>3.9371821635260744</v>
      </c>
      <c r="I1936" s="9">
        <f>'1_Du_lieu'!T417</f>
        <v>3.4411562284927735</v>
      </c>
      <c r="J1936" s="9">
        <f>'1_Du_lieu'!Y417</f>
        <v>7.4516481064523239</v>
      </c>
      <c r="K1936" s="9">
        <f>'1_Du_lieu'!O417</f>
        <v>24.5</v>
      </c>
      <c r="L1936" s="5">
        <f t="shared" si="223"/>
        <v>0</v>
      </c>
      <c r="M1936" s="5">
        <f t="shared" si="224"/>
        <v>0</v>
      </c>
      <c r="N1936" s="5">
        <f t="shared" si="225"/>
        <v>0</v>
      </c>
      <c r="O1936" s="5">
        <f t="shared" si="226"/>
        <v>1</v>
      </c>
      <c r="P1936" s="5">
        <f t="shared" si="227"/>
        <v>0</v>
      </c>
      <c r="Q1936" s="5">
        <f>IF('1_Du_lieu'!C417="ĐBSH",1,0)</f>
        <v>1</v>
      </c>
      <c r="R1936" s="5">
        <f>IF('1_Du_lieu'!C417="BTB&amp;DHMT",1,0)</f>
        <v>0</v>
      </c>
      <c r="S1936" s="5">
        <f>IF('1_Du_lieu'!C417="ĐBSCL",1,0)</f>
        <v>0</v>
      </c>
      <c r="T1936" s="5">
        <f>IF('1_Du_lieu'!C417="TN",1,0)</f>
        <v>0</v>
      </c>
      <c r="U1936" s="5">
        <f>IF('1_Du_lieu'!C417="TDMNPB",1,0)</f>
        <v>0</v>
      </c>
    </row>
    <row r="1937" spans="1:21" x14ac:dyDescent="0.25">
      <c r="A1937" t="s">
        <v>126</v>
      </c>
      <c r="B1937">
        <v>2023</v>
      </c>
      <c r="C1937" s="7">
        <f>'1_Du_lieu'!V418</f>
        <v>2.6173958328340792</v>
      </c>
      <c r="D1937" s="9">
        <f>'1_Du_lieu'!W418</f>
        <v>4.4485163759427149</v>
      </c>
      <c r="E1937" s="9">
        <f>'1_Du_lieu'!L418</f>
        <v>5.16</v>
      </c>
      <c r="F1937" s="9">
        <f>'1_Du_lieu'!M418</f>
        <v>35.5</v>
      </c>
      <c r="G1937" s="9">
        <f>'1_Du_lieu'!N418</f>
        <v>18.600000000000001</v>
      </c>
      <c r="H1937" s="9">
        <f>'1_Du_lieu'!X418</f>
        <v>2.6536588840470872</v>
      </c>
      <c r="I1937" s="9">
        <f>'1_Du_lieu'!T418</f>
        <v>0.99800399201596801</v>
      </c>
      <c r="J1937" s="9">
        <f>'1_Du_lieu'!Y418</f>
        <v>7.9624505105837899</v>
      </c>
      <c r="K1937" s="9">
        <f>'1_Du_lieu'!O418</f>
        <v>18.399999999999999</v>
      </c>
      <c r="L1937" s="5">
        <f t="shared" si="223"/>
        <v>0</v>
      </c>
      <c r="M1937" s="5">
        <f t="shared" si="224"/>
        <v>0</v>
      </c>
      <c r="N1937" s="5">
        <f t="shared" si="225"/>
        <v>0</v>
      </c>
      <c r="O1937" s="5">
        <f t="shared" si="226"/>
        <v>1</v>
      </c>
      <c r="P1937" s="5">
        <f t="shared" si="227"/>
        <v>0</v>
      </c>
      <c r="Q1937" s="5">
        <f>IF('1_Du_lieu'!C418="ĐBSH",1,0)</f>
        <v>0</v>
      </c>
      <c r="R1937" s="5">
        <f>IF('1_Du_lieu'!C418="BTB&amp;DHMT",1,0)</f>
        <v>1</v>
      </c>
      <c r="S1937" s="5">
        <f>IF('1_Du_lieu'!C418="ĐBSCL",1,0)</f>
        <v>0</v>
      </c>
      <c r="T1937" s="5">
        <f>IF('1_Du_lieu'!C418="TN",1,0)</f>
        <v>0</v>
      </c>
      <c r="U1937" s="5">
        <f>IF('1_Du_lieu'!C418="TDMNPB",1,0)</f>
        <v>0</v>
      </c>
    </row>
    <row r="1938" spans="1:21" x14ac:dyDescent="0.25">
      <c r="A1938" t="s">
        <v>127</v>
      </c>
      <c r="B1938">
        <v>2023</v>
      </c>
      <c r="C1938" s="7">
        <f>'1_Du_lieu'!V419</f>
        <v>2.8791984572980396</v>
      </c>
      <c r="D1938" s="9">
        <f>'1_Du_lieu'!W419</f>
        <v>4.1759245492145238</v>
      </c>
      <c r="E1938" s="9">
        <f>'1_Du_lieu'!L419</f>
        <v>4.2779999999999996</v>
      </c>
      <c r="F1938" s="9">
        <f>'1_Du_lieu'!M419</f>
        <v>19.420000000000002</v>
      </c>
      <c r="G1938" s="9">
        <f>'1_Du_lieu'!N419</f>
        <v>34.1</v>
      </c>
      <c r="H1938" s="9">
        <f>'1_Du_lieu'!X419</f>
        <v>3.1316354267149693</v>
      </c>
      <c r="I1938" s="9">
        <f>'1_Du_lieu'!T419</f>
        <v>1.3065064018813692</v>
      </c>
      <c r="J1938" s="9">
        <f>'1_Du_lieu'!Y419</f>
        <v>7.6855193052619608</v>
      </c>
      <c r="K1938" s="9">
        <f>'1_Du_lieu'!O419</f>
        <v>24.1</v>
      </c>
      <c r="L1938" s="5">
        <f t="shared" si="223"/>
        <v>0</v>
      </c>
      <c r="M1938" s="5">
        <f t="shared" si="224"/>
        <v>0</v>
      </c>
      <c r="N1938" s="5">
        <f t="shared" si="225"/>
        <v>0</v>
      </c>
      <c r="O1938" s="5">
        <f t="shared" si="226"/>
        <v>1</v>
      </c>
      <c r="P1938" s="5">
        <f t="shared" si="227"/>
        <v>0</v>
      </c>
      <c r="Q1938" s="5">
        <f>IF('1_Du_lieu'!C419="ĐBSH",1,0)</f>
        <v>0</v>
      </c>
      <c r="R1938" s="5">
        <f>IF('1_Du_lieu'!C419="BTB&amp;DHMT",1,0)</f>
        <v>0</v>
      </c>
      <c r="S1938" s="5">
        <f>IF('1_Du_lieu'!C419="ĐBSCL",1,0)</f>
        <v>0</v>
      </c>
      <c r="T1938" s="5">
        <f>IF('1_Du_lieu'!C419="TN",1,0)</f>
        <v>0</v>
      </c>
      <c r="U1938" s="5">
        <f>IF('1_Du_lieu'!C419="TDMNPB",1,0)</f>
        <v>1</v>
      </c>
    </row>
    <row r="1939" spans="1:21" x14ac:dyDescent="0.25">
      <c r="A1939" t="s">
        <v>128</v>
      </c>
      <c r="B1939">
        <v>2023</v>
      </c>
      <c r="C1939" s="7">
        <f>'1_Du_lieu'!V420</f>
        <v>2.5416019934645457</v>
      </c>
      <c r="D1939" s="9">
        <f>'1_Du_lieu'!W420</f>
        <v>4.1447207695471677</v>
      </c>
      <c r="E1939" s="9">
        <f>'1_Du_lieu'!L420</f>
        <v>3.871</v>
      </c>
      <c r="F1939" s="9">
        <f>'1_Du_lieu'!M420</f>
        <v>32.71</v>
      </c>
      <c r="G1939" s="9">
        <f>'1_Du_lieu'!N420</f>
        <v>23.1</v>
      </c>
      <c r="H1939" s="9">
        <f>'1_Du_lieu'!X420</f>
        <v>2.5767721638564964</v>
      </c>
      <c r="I1939" s="9">
        <f>'1_Du_lieu'!T420</f>
        <v>0.45573658425430102</v>
      </c>
      <c r="J1939" s="9">
        <f>'1_Du_lieu'!Y420</f>
        <v>7.7508299485250332</v>
      </c>
      <c r="K1939" s="9">
        <f>'1_Du_lieu'!O420</f>
        <v>21</v>
      </c>
      <c r="L1939" s="5">
        <f t="shared" si="223"/>
        <v>0</v>
      </c>
      <c r="M1939" s="5">
        <f t="shared" si="224"/>
        <v>0</v>
      </c>
      <c r="N1939" s="5">
        <f t="shared" si="225"/>
        <v>0</v>
      </c>
      <c r="O1939" s="5">
        <f t="shared" si="226"/>
        <v>1</v>
      </c>
      <c r="P1939" s="5">
        <f t="shared" si="227"/>
        <v>0</v>
      </c>
      <c r="Q1939" s="5">
        <f>IF('1_Du_lieu'!C420="ĐBSH",1,0)</f>
        <v>0</v>
      </c>
      <c r="R1939" s="5">
        <f>IF('1_Du_lieu'!C420="BTB&amp;DHMT",1,0)</f>
        <v>1</v>
      </c>
      <c r="S1939" s="5">
        <f>IF('1_Du_lieu'!C420="ĐBSCL",1,0)</f>
        <v>0</v>
      </c>
      <c r="T1939" s="5">
        <f>IF('1_Du_lieu'!C420="TN",1,0)</f>
        <v>0</v>
      </c>
      <c r="U1939" s="5">
        <f>IF('1_Du_lieu'!C420="TDMNPB",1,0)</f>
        <v>0</v>
      </c>
    </row>
    <row r="1940" spans="1:21" x14ac:dyDescent="0.25">
      <c r="A1940" t="s">
        <v>129</v>
      </c>
      <c r="B1940">
        <v>2023</v>
      </c>
      <c r="C1940" s="7">
        <f>'1_Du_lieu'!V421</f>
        <v>2.5494451709255714</v>
      </c>
      <c r="D1940" s="9">
        <f>'1_Du_lieu'!W421</f>
        <v>4.0826093060036799</v>
      </c>
      <c r="E1940" s="9">
        <f>'1_Du_lieu'!L421</f>
        <v>5.6340000000000003</v>
      </c>
      <c r="F1940" s="9">
        <f>'1_Du_lieu'!M421</f>
        <v>23.39</v>
      </c>
      <c r="G1940" s="9">
        <f>'1_Du_lieu'!N421</f>
        <v>27.7</v>
      </c>
      <c r="H1940" s="9">
        <f>'1_Du_lieu'!X421</f>
        <v>3.484044469482082</v>
      </c>
      <c r="I1940" s="9">
        <f>'1_Du_lieu'!T421</f>
        <v>0.87079568956133657</v>
      </c>
      <c r="J1940" s="9">
        <f>'1_Du_lieu'!Y421</f>
        <v>7.1034042959869534</v>
      </c>
      <c r="K1940" s="9">
        <f>'1_Du_lieu'!O421</f>
        <v>20.5</v>
      </c>
      <c r="L1940" s="5">
        <f t="shared" si="223"/>
        <v>0</v>
      </c>
      <c r="M1940" s="5">
        <f t="shared" si="224"/>
        <v>0</v>
      </c>
      <c r="N1940" s="5">
        <f t="shared" si="225"/>
        <v>0</v>
      </c>
      <c r="O1940" s="5">
        <f t="shared" si="226"/>
        <v>1</v>
      </c>
      <c r="P1940" s="5">
        <f t="shared" si="227"/>
        <v>0</v>
      </c>
      <c r="Q1940" s="5">
        <f>IF('1_Du_lieu'!C421="ĐBSH",1,0)</f>
        <v>0</v>
      </c>
      <c r="R1940" s="5">
        <f>IF('1_Du_lieu'!C421="BTB&amp;DHMT",1,0)</f>
        <v>1</v>
      </c>
      <c r="S1940" s="5">
        <f>IF('1_Du_lieu'!C421="ĐBSCL",1,0)</f>
        <v>0</v>
      </c>
      <c r="T1940" s="5">
        <f>IF('1_Du_lieu'!C421="TN",1,0)</f>
        <v>0</v>
      </c>
      <c r="U1940" s="5">
        <f>IF('1_Du_lieu'!C421="TDMNPB",1,0)</f>
        <v>0</v>
      </c>
    </row>
    <row r="1941" spans="1:21" x14ac:dyDescent="0.25">
      <c r="A1941" t="s">
        <v>130</v>
      </c>
      <c r="B1941">
        <v>2023</v>
      </c>
      <c r="C1941" s="7">
        <f>'1_Du_lieu'!V422</f>
        <v>2.8094026953624978</v>
      </c>
      <c r="D1941" s="9">
        <f>'1_Du_lieu'!W422</f>
        <v>4.3320482648676402</v>
      </c>
      <c r="E1941" s="9">
        <f>'1_Du_lieu'!L422</f>
        <v>5.4539999999999997</v>
      </c>
      <c r="F1941" s="9">
        <f>'1_Du_lieu'!M422</f>
        <v>30.74</v>
      </c>
      <c r="G1941" s="9">
        <f>'1_Du_lieu'!N422</f>
        <v>27.5</v>
      </c>
      <c r="H1941" s="9">
        <f>'1_Du_lieu'!X422</f>
        <v>2.6152570004470386</v>
      </c>
      <c r="I1941" s="9">
        <f>'1_Du_lieu'!T422</f>
        <v>0.19657951641438962</v>
      </c>
      <c r="J1941" s="9">
        <f>'1_Du_lieu'!Y422</f>
        <v>8.3387361577244334</v>
      </c>
      <c r="K1941" s="9">
        <f>'1_Du_lieu'!O422</f>
        <v>15.6</v>
      </c>
      <c r="L1941" s="5">
        <f t="shared" si="223"/>
        <v>0</v>
      </c>
      <c r="M1941" s="5">
        <f t="shared" si="224"/>
        <v>0</v>
      </c>
      <c r="N1941" s="5">
        <f t="shared" si="225"/>
        <v>0</v>
      </c>
      <c r="O1941" s="5">
        <f t="shared" si="226"/>
        <v>1</v>
      </c>
      <c r="P1941" s="5">
        <f t="shared" si="227"/>
        <v>0</v>
      </c>
      <c r="Q1941" s="5">
        <f>IF('1_Du_lieu'!C422="ĐBSH",1,0)</f>
        <v>0</v>
      </c>
      <c r="R1941" s="5">
        <f>IF('1_Du_lieu'!C422="BTB&amp;DHMT",1,0)</f>
        <v>1</v>
      </c>
      <c r="S1941" s="5">
        <f>IF('1_Du_lieu'!C422="ĐBSCL",1,0)</f>
        <v>0</v>
      </c>
      <c r="T1941" s="5">
        <f>IF('1_Du_lieu'!C422="TN",1,0)</f>
        <v>0</v>
      </c>
      <c r="U1941" s="5">
        <f>IF('1_Du_lieu'!C422="TDMNPB",1,0)</f>
        <v>0</v>
      </c>
    </row>
    <row r="1942" spans="1:21" x14ac:dyDescent="0.25">
      <c r="A1942" t="s">
        <v>131</v>
      </c>
      <c r="B1942">
        <v>2023</v>
      </c>
      <c r="C1942" s="7">
        <f>'1_Du_lieu'!V423</f>
        <v>2.6026896854443837</v>
      </c>
      <c r="D1942" s="9">
        <f>'1_Du_lieu'!W423</f>
        <v>4.6141299273595635</v>
      </c>
      <c r="E1942" s="9">
        <f>'1_Du_lieu'!L423</f>
        <v>4.5919999999999996</v>
      </c>
      <c r="F1942" s="9">
        <f>'1_Du_lieu'!M423</f>
        <v>21.87</v>
      </c>
      <c r="G1942" s="9">
        <f>'1_Du_lieu'!N423</f>
        <v>26.1</v>
      </c>
      <c r="H1942" s="9">
        <f>'1_Du_lieu'!X423</f>
        <v>2.5484130705097932</v>
      </c>
      <c r="I1942" s="9">
        <f>'1_Du_lieu'!T423</f>
        <v>0.72109606602035092</v>
      </c>
      <c r="J1942" s="9">
        <f>'1_Du_lieu'!Y423</f>
        <v>7.5147452630909077</v>
      </c>
      <c r="K1942" s="9">
        <f>'1_Du_lieu'!O423</f>
        <v>21.7</v>
      </c>
      <c r="L1942" s="5">
        <f t="shared" si="223"/>
        <v>0</v>
      </c>
      <c r="M1942" s="5">
        <f t="shared" si="224"/>
        <v>0</v>
      </c>
      <c r="N1942" s="5">
        <f t="shared" si="225"/>
        <v>0</v>
      </c>
      <c r="O1942" s="5">
        <f t="shared" si="226"/>
        <v>1</v>
      </c>
      <c r="P1942" s="5">
        <f t="shared" si="227"/>
        <v>0</v>
      </c>
      <c r="Q1942" s="5">
        <f>IF('1_Du_lieu'!C423="ĐBSH",1,0)</f>
        <v>0</v>
      </c>
      <c r="R1942" s="5">
        <f>IF('1_Du_lieu'!C423="BTB&amp;DHMT",1,0)</f>
        <v>1</v>
      </c>
      <c r="S1942" s="5">
        <f>IF('1_Du_lieu'!C423="ĐBSCL",1,0)</f>
        <v>0</v>
      </c>
      <c r="T1942" s="5">
        <f>IF('1_Du_lieu'!C423="TN",1,0)</f>
        <v>0</v>
      </c>
      <c r="U1942" s="5">
        <f>IF('1_Du_lieu'!C423="TDMNPB",1,0)</f>
        <v>0</v>
      </c>
    </row>
    <row r="1943" spans="1:21" x14ac:dyDescent="0.25">
      <c r="A1943" t="s">
        <v>132</v>
      </c>
      <c r="B1943">
        <v>2023</v>
      </c>
      <c r="C1943" s="7">
        <f>'1_Du_lieu'!V424</f>
        <v>3.0252910757955354</v>
      </c>
      <c r="D1943" s="9">
        <f>'1_Du_lieu'!W424</f>
        <v>5.3622306922916891</v>
      </c>
      <c r="E1943" s="9">
        <f>'1_Du_lieu'!L424</f>
        <v>7.4489999999999998</v>
      </c>
      <c r="F1943" s="9">
        <f>'1_Du_lieu'!M424</f>
        <v>67.36</v>
      </c>
      <c r="G1943" s="9">
        <f>'1_Du_lieu'!N424</f>
        <v>41.9</v>
      </c>
      <c r="H1943" s="9">
        <f>'1_Du_lieu'!X424</f>
        <v>3.9967676005152759</v>
      </c>
      <c r="I1943" s="9">
        <f>'1_Du_lieu'!T424</f>
        <v>2.3892267593397043</v>
      </c>
      <c r="J1943" s="9">
        <f>'1_Du_lieu'!Y424</f>
        <v>9.1526265097857102</v>
      </c>
      <c r="K1943" s="9">
        <f>'1_Du_lieu'!O424</f>
        <v>17</v>
      </c>
      <c r="L1943" s="5">
        <f t="shared" si="223"/>
        <v>0</v>
      </c>
      <c r="M1943" s="5">
        <f t="shared" si="224"/>
        <v>0</v>
      </c>
      <c r="N1943" s="5">
        <f t="shared" si="225"/>
        <v>0</v>
      </c>
      <c r="O1943" s="5">
        <f t="shared" si="226"/>
        <v>1</v>
      </c>
      <c r="P1943" s="5">
        <f t="shared" si="227"/>
        <v>0</v>
      </c>
      <c r="Q1943" s="5">
        <f>IF('1_Du_lieu'!C424="ĐBSH",1,0)</f>
        <v>1</v>
      </c>
      <c r="R1943" s="5">
        <f>IF('1_Du_lieu'!C424="BTB&amp;DHMT",1,0)</f>
        <v>0</v>
      </c>
      <c r="S1943" s="5">
        <f>IF('1_Du_lieu'!C424="ĐBSCL",1,0)</f>
        <v>0</v>
      </c>
      <c r="T1943" s="5">
        <f>IF('1_Du_lieu'!C424="TN",1,0)</f>
        <v>0</v>
      </c>
      <c r="U1943" s="5">
        <f>IF('1_Du_lieu'!C424="TDMNPB",1,0)</f>
        <v>0</v>
      </c>
    </row>
    <row r="1944" spans="1:21" x14ac:dyDescent="0.25">
      <c r="A1944" t="s">
        <v>133</v>
      </c>
      <c r="B1944">
        <v>2023</v>
      </c>
      <c r="C1944" s="7">
        <f>'1_Du_lieu'!V425</f>
        <v>2.6100697927420065</v>
      </c>
      <c r="D1944" s="9">
        <f>'1_Du_lieu'!W425</f>
        <v>4.2612704335380815</v>
      </c>
      <c r="E1944" s="9">
        <f>'1_Du_lieu'!L425</f>
        <v>5.1349999999999998</v>
      </c>
      <c r="F1944" s="9">
        <f>'1_Du_lieu'!M425</f>
        <v>32.76</v>
      </c>
      <c r="G1944" s="9">
        <f>'1_Du_lieu'!N425</f>
        <v>28</v>
      </c>
      <c r="H1944" s="9">
        <f>'1_Du_lieu'!X425</f>
        <v>3.0069198408392999</v>
      </c>
      <c r="I1944" s="9">
        <f>'1_Du_lieu'!T425</f>
        <v>6.1143381228981957</v>
      </c>
      <c r="J1944" s="9">
        <f>'1_Du_lieu'!Y425</f>
        <v>8.2586037931677296</v>
      </c>
      <c r="K1944" s="9">
        <f>'1_Du_lieu'!O425</f>
        <v>28</v>
      </c>
      <c r="L1944" s="5">
        <f t="shared" ref="L1944:L2007" si="228">IF(B1944=2020,1,0)</f>
        <v>0</v>
      </c>
      <c r="M1944" s="5">
        <f t="shared" ref="M1944:M2007" si="229">IF(B1944=2021,1,0)</f>
        <v>0</v>
      </c>
      <c r="N1944" s="5">
        <f t="shared" ref="N1944:N2007" si="230">IF(B1944=2022,1,0)</f>
        <v>0</v>
      </c>
      <c r="O1944" s="5">
        <f t="shared" ref="O1944:O2007" si="231">IF(B1944=2023,1,0)</f>
        <v>1</v>
      </c>
      <c r="P1944" s="5">
        <f t="shared" ref="P1944:P2007" si="232">IF(B1944=2024,1,0)</f>
        <v>0</v>
      </c>
      <c r="Q1944" s="5">
        <f>IF('1_Du_lieu'!C425="ĐBSH",1,0)</f>
        <v>0</v>
      </c>
      <c r="R1944" s="5">
        <f>IF('1_Du_lieu'!C425="BTB&amp;DHMT",1,0)</f>
        <v>1</v>
      </c>
      <c r="S1944" s="5">
        <f>IF('1_Du_lieu'!C425="ĐBSCL",1,0)</f>
        <v>0</v>
      </c>
      <c r="T1944" s="5">
        <f>IF('1_Du_lieu'!C425="TN",1,0)</f>
        <v>0</v>
      </c>
      <c r="U1944" s="5">
        <f>IF('1_Du_lieu'!C425="TDMNPB",1,0)</f>
        <v>0</v>
      </c>
    </row>
    <row r="1945" spans="1:21" x14ac:dyDescent="0.25">
      <c r="A1945" t="s">
        <v>134</v>
      </c>
      <c r="B1945">
        <v>2023</v>
      </c>
      <c r="C1945" s="7">
        <f>'1_Du_lieu'!V426</f>
        <v>2.388762789235098</v>
      </c>
      <c r="D1945" s="9">
        <f>'1_Du_lieu'!W426</f>
        <v>4.0926765051214034</v>
      </c>
      <c r="E1945" s="9">
        <f>'1_Du_lieu'!L426</f>
        <v>2.387</v>
      </c>
      <c r="F1945" s="9">
        <f>'1_Du_lieu'!M426</f>
        <v>33.869999999999997</v>
      </c>
      <c r="G1945" s="9">
        <f>'1_Du_lieu'!N426</f>
        <v>12.2</v>
      </c>
      <c r="H1945" s="9">
        <f>'1_Du_lieu'!X426</f>
        <v>1.7353662339180389</v>
      </c>
      <c r="I1945" s="9">
        <f>'1_Du_lieu'!T426</f>
        <v>3.9205872539205879</v>
      </c>
      <c r="J1945" s="9">
        <f>'1_Du_lieu'!Y426</f>
        <v>5.8897086381535946</v>
      </c>
      <c r="K1945" s="9">
        <f>'1_Du_lieu'!O426</f>
        <v>15</v>
      </c>
      <c r="L1945" s="5">
        <f t="shared" si="228"/>
        <v>0</v>
      </c>
      <c r="M1945" s="5">
        <f t="shared" si="229"/>
        <v>0</v>
      </c>
      <c r="N1945" s="5">
        <f t="shared" si="230"/>
        <v>0</v>
      </c>
      <c r="O1945" s="5">
        <f t="shared" si="231"/>
        <v>1</v>
      </c>
      <c r="P1945" s="5">
        <f t="shared" si="232"/>
        <v>0</v>
      </c>
      <c r="Q1945" s="5">
        <f>IF('1_Du_lieu'!C426="ĐBSH",1,0)</f>
        <v>0</v>
      </c>
      <c r="R1945" s="5">
        <f>IF('1_Du_lieu'!C426="BTB&amp;DHMT",1,0)</f>
        <v>0</v>
      </c>
      <c r="S1945" s="5">
        <f>IF('1_Du_lieu'!C426="ĐBSCL",1,0)</f>
        <v>1</v>
      </c>
      <c r="T1945" s="5">
        <f>IF('1_Du_lieu'!C426="TN",1,0)</f>
        <v>0</v>
      </c>
      <c r="U1945" s="5">
        <f>IF('1_Du_lieu'!C426="TDMNPB",1,0)</f>
        <v>0</v>
      </c>
    </row>
    <row r="1946" spans="1:21" x14ac:dyDescent="0.25">
      <c r="A1946" t="s">
        <v>136</v>
      </c>
      <c r="B1946">
        <v>2023</v>
      </c>
      <c r="C1946" s="7">
        <f>'1_Du_lieu'!V428</f>
        <v>4.4908810395859637</v>
      </c>
      <c r="D1946" s="9">
        <f>'1_Du_lieu'!W428</f>
        <v>5.1293068238137547</v>
      </c>
      <c r="E1946" s="9">
        <f>'1_Du_lieu'!L428</f>
        <v>28.876000000000001</v>
      </c>
      <c r="F1946" s="9">
        <f>'1_Du_lieu'!M428</f>
        <v>77.66</v>
      </c>
      <c r="G1946" s="9">
        <f>'1_Du_lieu'!N428</f>
        <v>36</v>
      </c>
      <c r="H1946" s="9">
        <f>'1_Du_lieu'!X428</f>
        <v>2.5606313407704517</v>
      </c>
      <c r="I1946" s="9">
        <f>'1_Du_lieu'!T428</f>
        <v>3.330971692027874</v>
      </c>
      <c r="J1946" s="9">
        <f>'1_Du_lieu'!Y428</f>
        <v>8.7140256210606033</v>
      </c>
      <c r="K1946" s="9">
        <f>'1_Du_lieu'!O428</f>
        <v>52.4</v>
      </c>
      <c r="L1946" s="5">
        <f t="shared" si="228"/>
        <v>0</v>
      </c>
      <c r="M1946" s="5">
        <f t="shared" si="229"/>
        <v>0</v>
      </c>
      <c r="N1946" s="5">
        <f t="shared" si="230"/>
        <v>0</v>
      </c>
      <c r="O1946" s="5">
        <f t="shared" si="231"/>
        <v>1</v>
      </c>
      <c r="P1946" s="5">
        <f t="shared" si="232"/>
        <v>0</v>
      </c>
      <c r="Q1946" s="5">
        <f>IF('1_Du_lieu'!C428="ĐBSH",1,0)</f>
        <v>0</v>
      </c>
      <c r="R1946" s="5">
        <f>IF('1_Du_lieu'!C428="BTB&amp;DHMT",1,0)</f>
        <v>0</v>
      </c>
      <c r="S1946" s="5">
        <f>IF('1_Du_lieu'!C428="ĐBSCL",1,0)</f>
        <v>0</v>
      </c>
      <c r="T1946" s="5">
        <f>IF('1_Du_lieu'!C428="TN",1,0)</f>
        <v>0</v>
      </c>
      <c r="U1946" s="5">
        <f>IF('1_Du_lieu'!C428="TDMNPB",1,0)</f>
        <v>0</v>
      </c>
    </row>
    <row r="1947" spans="1:21" x14ac:dyDescent="0.25">
      <c r="A1947" t="s">
        <v>137</v>
      </c>
      <c r="B1947">
        <v>2023</v>
      </c>
      <c r="C1947" s="7">
        <f>'1_Du_lieu'!V429</f>
        <v>2.917770732084279</v>
      </c>
      <c r="D1947" s="9">
        <f>'1_Du_lieu'!W429</f>
        <v>4.28496492183075</v>
      </c>
      <c r="E1947" s="9">
        <f>'1_Du_lieu'!L429</f>
        <v>4.4429999999999996</v>
      </c>
      <c r="F1947" s="9">
        <f>'1_Du_lieu'!M429</f>
        <v>27.71</v>
      </c>
      <c r="G1947" s="9">
        <f>'1_Du_lieu'!N429</f>
        <v>27.6</v>
      </c>
      <c r="H1947" s="9">
        <f>'1_Du_lieu'!X429</f>
        <v>2.8583173541466627</v>
      </c>
      <c r="I1947" s="9">
        <f>'1_Du_lieu'!T429</f>
        <v>0.77550474662388025</v>
      </c>
      <c r="J1947" s="9">
        <f>'1_Du_lieu'!Y429</f>
        <v>8.302959826231783</v>
      </c>
      <c r="K1947" s="9">
        <f>'1_Du_lieu'!O429</f>
        <v>16.2</v>
      </c>
      <c r="L1947" s="5">
        <f t="shared" si="228"/>
        <v>0</v>
      </c>
      <c r="M1947" s="5">
        <f t="shared" si="229"/>
        <v>0</v>
      </c>
      <c r="N1947" s="5">
        <f t="shared" si="230"/>
        <v>0</v>
      </c>
      <c r="O1947" s="5">
        <f t="shared" si="231"/>
        <v>1</v>
      </c>
      <c r="P1947" s="5">
        <f t="shared" si="232"/>
        <v>0</v>
      </c>
      <c r="Q1947" s="5">
        <f>IF('1_Du_lieu'!C429="ĐBSH",1,0)</f>
        <v>0</v>
      </c>
      <c r="R1947" s="5">
        <f>IF('1_Du_lieu'!C429="BTB&amp;DHMT",1,0)</f>
        <v>1</v>
      </c>
      <c r="S1947" s="5">
        <f>IF('1_Du_lieu'!C429="ĐBSCL",1,0)</f>
        <v>0</v>
      </c>
      <c r="T1947" s="5">
        <f>IF('1_Du_lieu'!C429="TN",1,0)</f>
        <v>0</v>
      </c>
      <c r="U1947" s="5">
        <f>IF('1_Du_lieu'!C429="TDMNPB",1,0)</f>
        <v>0</v>
      </c>
    </row>
    <row r="1948" spans="1:21" x14ac:dyDescent="0.25">
      <c r="A1948" t="s">
        <v>138</v>
      </c>
      <c r="B1948">
        <v>2023</v>
      </c>
      <c r="C1948" s="7">
        <f>'1_Du_lieu'!V430</f>
        <v>2.7343675094195836</v>
      </c>
      <c r="D1948" s="9">
        <f>'1_Du_lieu'!W430</f>
        <v>4.1367652781060524</v>
      </c>
      <c r="E1948" s="9">
        <f>'1_Du_lieu'!L430</f>
        <v>3.44</v>
      </c>
      <c r="F1948" s="9">
        <f>'1_Du_lieu'!M430</f>
        <v>11.78</v>
      </c>
      <c r="G1948" s="9">
        <f>'1_Du_lieu'!N430</f>
        <v>22.9</v>
      </c>
      <c r="H1948" s="9">
        <f>'1_Du_lieu'!X430</f>
        <v>1.9910358300052735</v>
      </c>
      <c r="I1948" s="9">
        <f>'1_Du_lieu'!T430</f>
        <v>0.90315040110503109</v>
      </c>
      <c r="J1948" s="9">
        <f>'1_Du_lieu'!Y430</f>
        <v>7.8277192562225881</v>
      </c>
      <c r="K1948" s="9">
        <f>'1_Du_lieu'!O430</f>
        <v>22</v>
      </c>
      <c r="L1948" s="5">
        <f t="shared" si="228"/>
        <v>0</v>
      </c>
      <c r="M1948" s="5">
        <f t="shared" si="229"/>
        <v>0</v>
      </c>
      <c r="N1948" s="5">
        <f t="shared" si="230"/>
        <v>0</v>
      </c>
      <c r="O1948" s="5">
        <f t="shared" si="231"/>
        <v>1</v>
      </c>
      <c r="P1948" s="5">
        <f t="shared" si="232"/>
        <v>0</v>
      </c>
      <c r="Q1948" s="5">
        <f>IF('1_Du_lieu'!C430="ĐBSH",1,0)</f>
        <v>1</v>
      </c>
      <c r="R1948" s="5">
        <f>IF('1_Du_lieu'!C430="BTB&amp;DHMT",1,0)</f>
        <v>0</v>
      </c>
      <c r="S1948" s="5">
        <f>IF('1_Du_lieu'!C430="ĐBSCL",1,0)</f>
        <v>0</v>
      </c>
      <c r="T1948" s="5">
        <f>IF('1_Du_lieu'!C430="TN",1,0)</f>
        <v>0</v>
      </c>
      <c r="U1948" s="5">
        <f>IF('1_Du_lieu'!C430="TDMNPB",1,0)</f>
        <v>0</v>
      </c>
    </row>
    <row r="1949" spans="1:21" x14ac:dyDescent="0.25">
      <c r="A1949" t="s">
        <v>139</v>
      </c>
      <c r="B1949">
        <v>2023</v>
      </c>
      <c r="C1949" s="7">
        <f>'1_Du_lieu'!V431</f>
        <v>2.8390784635086144</v>
      </c>
      <c r="D1949" s="9">
        <f>'1_Du_lieu'!W431</f>
        <v>4.7041101338429954</v>
      </c>
      <c r="E1949" s="9">
        <f>'1_Du_lieu'!L431</f>
        <v>4.2539999999999996</v>
      </c>
      <c r="F1949" s="9">
        <f>'1_Du_lieu'!M431</f>
        <v>40.65</v>
      </c>
      <c r="G1949" s="9">
        <f>'1_Du_lieu'!N431</f>
        <v>36.6</v>
      </c>
      <c r="H1949" s="9">
        <f>'1_Du_lieu'!X431</f>
        <v>3.7041660015095488</v>
      </c>
      <c r="I1949" s="9">
        <f>'1_Du_lieu'!T431</f>
        <v>1.2589794860401393</v>
      </c>
      <c r="J1949" s="9">
        <f>'1_Du_lieu'!Y431</f>
        <v>8.9949045397301752</v>
      </c>
      <c r="K1949" s="9">
        <f>'1_Du_lieu'!O431</f>
        <v>28.2</v>
      </c>
      <c r="L1949" s="5">
        <f t="shared" si="228"/>
        <v>0</v>
      </c>
      <c r="M1949" s="5">
        <f t="shared" si="229"/>
        <v>0</v>
      </c>
      <c r="N1949" s="5">
        <f t="shared" si="230"/>
        <v>0</v>
      </c>
      <c r="O1949" s="5">
        <f t="shared" si="231"/>
        <v>1</v>
      </c>
      <c r="P1949" s="5">
        <f t="shared" si="232"/>
        <v>0</v>
      </c>
      <c r="Q1949" s="5">
        <f>IF('1_Du_lieu'!C431="ĐBSH",1,0)</f>
        <v>0</v>
      </c>
      <c r="R1949" s="5">
        <f>IF('1_Du_lieu'!C431="BTB&amp;DHMT",1,0)</f>
        <v>0</v>
      </c>
      <c r="S1949" s="5">
        <f>IF('1_Du_lieu'!C431="ĐBSCL",1,0)</f>
        <v>0</v>
      </c>
      <c r="T1949" s="5">
        <f>IF('1_Du_lieu'!C431="TN",1,0)</f>
        <v>0</v>
      </c>
      <c r="U1949" s="5">
        <f>IF('1_Du_lieu'!C431="TDMNPB",1,0)</f>
        <v>1</v>
      </c>
    </row>
    <row r="1950" spans="1:21" x14ac:dyDescent="0.25">
      <c r="A1950" t="s">
        <v>141</v>
      </c>
      <c r="B1950">
        <v>2023</v>
      </c>
      <c r="C1950" s="7">
        <f>'1_Du_lieu'!V433</f>
        <v>2.5176964726109912</v>
      </c>
      <c r="D1950" s="9">
        <f>'1_Du_lieu'!W433</f>
        <v>4.2355547307736243</v>
      </c>
      <c r="E1950" s="9">
        <f>'1_Du_lieu'!L433</f>
        <v>3.2749999999999999</v>
      </c>
      <c r="F1950" s="9">
        <f>'1_Du_lieu'!M433</f>
        <v>15.28</v>
      </c>
      <c r="G1950" s="9">
        <f>'1_Du_lieu'!N433</f>
        <v>14.2</v>
      </c>
      <c r="H1950" s="9">
        <f>'1_Du_lieu'!X433</f>
        <v>0.53717991903893936</v>
      </c>
      <c r="I1950" s="9">
        <f>'1_Du_lieu'!T433</f>
        <v>0.94934941642932924</v>
      </c>
      <c r="J1950" s="9">
        <f>'1_Du_lieu'!Y433</f>
        <v>7.3317804126112112</v>
      </c>
      <c r="K1950" s="9">
        <f>'1_Du_lieu'!O433</f>
        <v>14.7</v>
      </c>
      <c r="L1950" s="5">
        <f t="shared" si="228"/>
        <v>0</v>
      </c>
      <c r="M1950" s="5">
        <f t="shared" si="229"/>
        <v>0</v>
      </c>
      <c r="N1950" s="5">
        <f t="shared" si="230"/>
        <v>0</v>
      </c>
      <c r="O1950" s="5">
        <f t="shared" si="231"/>
        <v>1</v>
      </c>
      <c r="P1950" s="5">
        <f t="shared" si="232"/>
        <v>0</v>
      </c>
      <c r="Q1950" s="5">
        <f>IF('1_Du_lieu'!C433="ĐBSH",1,0)</f>
        <v>0</v>
      </c>
      <c r="R1950" s="5">
        <f>IF('1_Du_lieu'!C433="BTB&amp;DHMT",1,0)</f>
        <v>0</v>
      </c>
      <c r="S1950" s="5">
        <f>IF('1_Du_lieu'!C433="ĐBSCL",1,0)</f>
        <v>1</v>
      </c>
      <c r="T1950" s="5">
        <f>IF('1_Du_lieu'!C433="TN",1,0)</f>
        <v>0</v>
      </c>
      <c r="U1950" s="5">
        <f>IF('1_Du_lieu'!C433="TDMNPB",1,0)</f>
        <v>0</v>
      </c>
    </row>
    <row r="1951" spans="1:21" x14ac:dyDescent="0.25">
      <c r="A1951" t="s">
        <v>142</v>
      </c>
      <c r="B1951">
        <v>2023</v>
      </c>
      <c r="C1951" s="7">
        <f>'1_Du_lieu'!V434</f>
        <v>2.4159137783010487</v>
      </c>
      <c r="D1951" s="9">
        <f>'1_Du_lieu'!W434</f>
        <v>4.4115854369154262</v>
      </c>
      <c r="E1951" s="9">
        <f>'1_Du_lieu'!L434</f>
        <v>2.7429999999999999</v>
      </c>
      <c r="F1951" s="9">
        <f>'1_Du_lieu'!M434</f>
        <v>18.329999999999998</v>
      </c>
      <c r="G1951" s="9">
        <f>'1_Du_lieu'!N434</f>
        <v>16.8</v>
      </c>
      <c r="H1951" s="9">
        <f>'1_Du_lieu'!X434</f>
        <v>1.8352487534496564</v>
      </c>
      <c r="I1951" s="9">
        <f>'1_Du_lieu'!T434</f>
        <v>0.8824394548485146</v>
      </c>
      <c r="J1951" s="9">
        <f>'1_Du_lieu'!Y434</f>
        <v>8.0516595568419529</v>
      </c>
      <c r="K1951" s="9">
        <f>'1_Du_lieu'!O434</f>
        <v>7.4</v>
      </c>
      <c r="L1951" s="5">
        <f t="shared" si="228"/>
        <v>0</v>
      </c>
      <c r="M1951" s="5">
        <f t="shared" si="229"/>
        <v>0</v>
      </c>
      <c r="N1951" s="5">
        <f t="shared" si="230"/>
        <v>0</v>
      </c>
      <c r="O1951" s="5">
        <f t="shared" si="231"/>
        <v>1</v>
      </c>
      <c r="P1951" s="5">
        <f t="shared" si="232"/>
        <v>0</v>
      </c>
      <c r="Q1951" s="5">
        <f>IF('1_Du_lieu'!C434="ĐBSH",1,0)</f>
        <v>0</v>
      </c>
      <c r="R1951" s="5">
        <f>IF('1_Du_lieu'!C434="BTB&amp;DHMT",1,0)</f>
        <v>0</v>
      </c>
      <c r="S1951" s="5">
        <f>IF('1_Du_lieu'!C434="ĐBSCL",1,0)</f>
        <v>1</v>
      </c>
      <c r="T1951" s="5">
        <f>IF('1_Du_lieu'!C434="TN",1,0)</f>
        <v>0</v>
      </c>
      <c r="U1951" s="5">
        <f>IF('1_Du_lieu'!C434="TDMNPB",1,0)</f>
        <v>0</v>
      </c>
    </row>
    <row r="1952" spans="1:21" x14ac:dyDescent="0.25">
      <c r="A1952" t="s">
        <v>143</v>
      </c>
      <c r="B1952">
        <v>2023</v>
      </c>
      <c r="C1952" s="7">
        <f>'1_Du_lieu'!V435</f>
        <v>2.5416019934645457</v>
      </c>
      <c r="D1952" s="9">
        <f>'1_Du_lieu'!W435</f>
        <v>3.9852734671677386</v>
      </c>
      <c r="E1952" s="9">
        <f>'1_Du_lieu'!L435</f>
        <v>2.3149999999999999</v>
      </c>
      <c r="F1952" s="9">
        <f>'1_Du_lieu'!M435</f>
        <v>15.12</v>
      </c>
      <c r="G1952" s="9">
        <f>'1_Du_lieu'!N435</f>
        <v>21.8</v>
      </c>
      <c r="H1952" s="9">
        <f>'1_Du_lieu'!X435</f>
        <v>3.3430375540206008</v>
      </c>
      <c r="I1952" s="9">
        <f>'1_Du_lieu'!T435</f>
        <v>0.73873430189608469</v>
      </c>
      <c r="J1952" s="9">
        <f>'1_Du_lieu'!Y435</f>
        <v>5.6517871795378207</v>
      </c>
      <c r="K1952" s="9">
        <f>'1_Du_lieu'!O435</f>
        <v>12.6</v>
      </c>
      <c r="L1952" s="5">
        <f t="shared" si="228"/>
        <v>0</v>
      </c>
      <c r="M1952" s="5">
        <f t="shared" si="229"/>
        <v>0</v>
      </c>
      <c r="N1952" s="5">
        <f t="shared" si="230"/>
        <v>0</v>
      </c>
      <c r="O1952" s="5">
        <f t="shared" si="231"/>
        <v>1</v>
      </c>
      <c r="P1952" s="5">
        <f t="shared" si="232"/>
        <v>0</v>
      </c>
      <c r="Q1952" s="5">
        <f>IF('1_Du_lieu'!C435="ĐBSH",1,0)</f>
        <v>0</v>
      </c>
      <c r="R1952" s="5">
        <f>IF('1_Du_lieu'!C435="BTB&amp;DHMT",1,0)</f>
        <v>0</v>
      </c>
      <c r="S1952" s="5">
        <f>IF('1_Du_lieu'!C435="ĐBSCL",1,0)</f>
        <v>0</v>
      </c>
      <c r="T1952" s="5">
        <f>IF('1_Du_lieu'!C435="TN",1,0)</f>
        <v>0</v>
      </c>
      <c r="U1952" s="5">
        <f>IF('1_Du_lieu'!C435="TDMNPB",1,0)</f>
        <v>1</v>
      </c>
    </row>
    <row r="1953" spans="1:21" x14ac:dyDescent="0.25">
      <c r="A1953" t="s">
        <v>144</v>
      </c>
      <c r="B1953">
        <v>2023</v>
      </c>
      <c r="C1953" s="7">
        <f>'1_Du_lieu'!V436</f>
        <v>2.6810215287142909</v>
      </c>
      <c r="D1953" s="9">
        <f>'1_Du_lieu'!W436</f>
        <v>4.5347477216915459</v>
      </c>
      <c r="E1953" s="9">
        <f>'1_Du_lieu'!L436</f>
        <v>4.3029999999999999</v>
      </c>
      <c r="F1953" s="9">
        <f>'1_Du_lieu'!M436</f>
        <v>32.57</v>
      </c>
      <c r="G1953" s="9">
        <f>'1_Du_lieu'!N436</f>
        <v>18.2</v>
      </c>
      <c r="H1953" s="9">
        <f>'1_Du_lieu'!X436</f>
        <v>2.7450291859298734</v>
      </c>
      <c r="I1953" s="9">
        <f>'1_Du_lieu'!T436</f>
        <v>1.2553351744915893</v>
      </c>
      <c r="J1953" s="9">
        <f>'1_Du_lieu'!Y436</f>
        <v>9.0023070834663255</v>
      </c>
      <c r="K1953" s="9">
        <f>'1_Du_lieu'!O436</f>
        <v>17.3</v>
      </c>
      <c r="L1953" s="5">
        <f t="shared" si="228"/>
        <v>0</v>
      </c>
      <c r="M1953" s="5">
        <f t="shared" si="229"/>
        <v>0</v>
      </c>
      <c r="N1953" s="5">
        <f t="shared" si="230"/>
        <v>0</v>
      </c>
      <c r="O1953" s="5">
        <f t="shared" si="231"/>
        <v>1</v>
      </c>
      <c r="P1953" s="5">
        <f t="shared" si="232"/>
        <v>0</v>
      </c>
      <c r="Q1953" s="5">
        <f>IF('1_Du_lieu'!C436="ĐBSH",1,0)</f>
        <v>0</v>
      </c>
      <c r="R1953" s="5">
        <f>IF('1_Du_lieu'!C436="BTB&amp;DHMT",1,0)</f>
        <v>0</v>
      </c>
      <c r="S1953" s="5">
        <f>IF('1_Du_lieu'!C436="ĐBSCL",1,0)</f>
        <v>0</v>
      </c>
      <c r="T1953" s="5">
        <f>IF('1_Du_lieu'!C436="TN",1,0)</f>
        <v>0</v>
      </c>
      <c r="U1953" s="5">
        <f>IF('1_Du_lieu'!C436="TDMNPB",1,0)</f>
        <v>0</v>
      </c>
    </row>
    <row r="1954" spans="1:21" x14ac:dyDescent="0.25">
      <c r="A1954" t="s">
        <v>145</v>
      </c>
      <c r="B1954">
        <v>2023</v>
      </c>
      <c r="C1954" s="7">
        <f>'1_Du_lieu'!V437</f>
        <v>2.3702437414678603</v>
      </c>
      <c r="D1954" s="9">
        <f>'1_Du_lieu'!W437</f>
        <v>4.2931954209672663</v>
      </c>
      <c r="E1954" s="9">
        <f>'1_Du_lieu'!L437</f>
        <v>2.968</v>
      </c>
      <c r="F1954" s="9">
        <f>'1_Du_lieu'!M437</f>
        <v>22.87</v>
      </c>
      <c r="G1954" s="9">
        <f>'1_Du_lieu'!N437</f>
        <v>15.9</v>
      </c>
      <c r="H1954" s="9">
        <f>'1_Du_lieu'!X437</f>
        <v>0.6333113889492803</v>
      </c>
      <c r="I1954" s="9">
        <f>'1_Du_lieu'!T437</f>
        <v>0.67987567987567987</v>
      </c>
      <c r="J1954" s="9">
        <f>'1_Du_lieu'!Y437</f>
        <v>6.9693206346402921</v>
      </c>
      <c r="K1954" s="9">
        <f>'1_Du_lieu'!O437</f>
        <v>20.8</v>
      </c>
      <c r="L1954" s="5">
        <f t="shared" si="228"/>
        <v>0</v>
      </c>
      <c r="M1954" s="5">
        <f t="shared" si="229"/>
        <v>0</v>
      </c>
      <c r="N1954" s="5">
        <f t="shared" si="230"/>
        <v>0</v>
      </c>
      <c r="O1954" s="5">
        <f t="shared" si="231"/>
        <v>1</v>
      </c>
      <c r="P1954" s="5">
        <f t="shared" si="232"/>
        <v>0</v>
      </c>
      <c r="Q1954" s="5">
        <f>IF('1_Du_lieu'!C437="ĐBSH",1,0)</f>
        <v>0</v>
      </c>
      <c r="R1954" s="5">
        <f>IF('1_Du_lieu'!C437="BTB&amp;DHMT",1,0)</f>
        <v>0</v>
      </c>
      <c r="S1954" s="5">
        <f>IF('1_Du_lieu'!C437="ĐBSCL",1,0)</f>
        <v>1</v>
      </c>
      <c r="T1954" s="5">
        <f>IF('1_Du_lieu'!C437="TN",1,0)</f>
        <v>0</v>
      </c>
      <c r="U1954" s="5">
        <f>IF('1_Du_lieu'!C437="TDMNPB",1,0)</f>
        <v>0</v>
      </c>
    </row>
    <row r="1955" spans="1:21" x14ac:dyDescent="0.25">
      <c r="A1955" t="s">
        <v>146</v>
      </c>
      <c r="B1955">
        <v>2023</v>
      </c>
      <c r="C1955" s="7">
        <f>'1_Du_lieu'!V438</f>
        <v>2.9755295662364718</v>
      </c>
      <c r="D1955" s="9">
        <f>'1_Du_lieu'!W438</f>
        <v>4.8652240913223981</v>
      </c>
      <c r="E1955" s="9">
        <f>'1_Du_lieu'!L438</f>
        <v>8.0709999999999997</v>
      </c>
      <c r="F1955" s="9">
        <f>'1_Du_lieu'!M438</f>
        <v>33.93</v>
      </c>
      <c r="G1955" s="9">
        <f>'1_Du_lieu'!N438</f>
        <v>35.799999999999997</v>
      </c>
      <c r="H1955" s="9">
        <f>'1_Du_lieu'!X438</f>
        <v>3.0987317940675676</v>
      </c>
      <c r="I1955" s="9">
        <f>'1_Du_lieu'!T438</f>
        <v>0.7430033847931975</v>
      </c>
      <c r="J1955" s="9">
        <f>'1_Du_lieu'!Y438</f>
        <v>8.6696739061991703</v>
      </c>
      <c r="K1955" s="9">
        <f>'1_Du_lieu'!O438</f>
        <v>33.9</v>
      </c>
      <c r="L1955" s="5">
        <f t="shared" si="228"/>
        <v>0</v>
      </c>
      <c r="M1955" s="5">
        <f t="shared" si="229"/>
        <v>0</v>
      </c>
      <c r="N1955" s="5">
        <f t="shared" si="230"/>
        <v>0</v>
      </c>
      <c r="O1955" s="5">
        <f t="shared" si="231"/>
        <v>1</v>
      </c>
      <c r="P1955" s="5">
        <f t="shared" si="232"/>
        <v>0</v>
      </c>
      <c r="Q1955" s="5">
        <f>IF('1_Du_lieu'!C438="ĐBSH",1,0)</f>
        <v>1</v>
      </c>
      <c r="R1955" s="5">
        <f>IF('1_Du_lieu'!C438="BTB&amp;DHMT",1,0)</f>
        <v>0</v>
      </c>
      <c r="S1955" s="5">
        <f>IF('1_Du_lieu'!C438="ĐBSCL",1,0)</f>
        <v>0</v>
      </c>
      <c r="T1955" s="5">
        <f>IF('1_Du_lieu'!C438="TN",1,0)</f>
        <v>0</v>
      </c>
      <c r="U1955" s="5">
        <f>IF('1_Du_lieu'!C438="TDMNPB",1,0)</f>
        <v>0</v>
      </c>
    </row>
    <row r="1956" spans="1:21" x14ac:dyDescent="0.25">
      <c r="A1956" t="s">
        <v>147</v>
      </c>
      <c r="B1956">
        <v>2023</v>
      </c>
      <c r="C1956" s="7">
        <f>'1_Du_lieu'!V439</f>
        <v>2.5877640352277083</v>
      </c>
      <c r="D1956" s="9">
        <f>'1_Du_lieu'!W439</f>
        <v>3.9140210080908191</v>
      </c>
      <c r="E1956" s="9">
        <f>'1_Du_lieu'!L439</f>
        <v>2.56</v>
      </c>
      <c r="F1956" s="9">
        <f>'1_Du_lieu'!M439</f>
        <v>20.95</v>
      </c>
      <c r="G1956" s="9">
        <f>'1_Du_lieu'!N439</f>
        <v>23.2</v>
      </c>
      <c r="H1956" s="9">
        <f>'1_Du_lieu'!X439</f>
        <v>2.758077157298735</v>
      </c>
      <c r="I1956" s="9">
        <f>'1_Du_lieu'!T439</f>
        <v>0.23378141437755698</v>
      </c>
      <c r="J1956" s="9">
        <f>'1_Du_lieu'!Y439</f>
        <v>5.7104270173748697</v>
      </c>
      <c r="K1956" s="9">
        <f>'1_Du_lieu'!O439</f>
        <v>18.2</v>
      </c>
      <c r="L1956" s="5">
        <f t="shared" si="228"/>
        <v>0</v>
      </c>
      <c r="M1956" s="5">
        <f t="shared" si="229"/>
        <v>0</v>
      </c>
      <c r="N1956" s="5">
        <f t="shared" si="230"/>
        <v>0</v>
      </c>
      <c r="O1956" s="5">
        <f t="shared" si="231"/>
        <v>1</v>
      </c>
      <c r="P1956" s="5">
        <f t="shared" si="232"/>
        <v>0</v>
      </c>
      <c r="Q1956" s="5">
        <f>IF('1_Du_lieu'!C439="ĐBSH",1,0)</f>
        <v>0</v>
      </c>
      <c r="R1956" s="5">
        <f>IF('1_Du_lieu'!C439="BTB&amp;DHMT",1,0)</f>
        <v>0</v>
      </c>
      <c r="S1956" s="5">
        <f>IF('1_Du_lieu'!C439="ĐBSCL",1,0)</f>
        <v>0</v>
      </c>
      <c r="T1956" s="5">
        <f>IF('1_Du_lieu'!C439="TN",1,0)</f>
        <v>0</v>
      </c>
      <c r="U1956" s="5">
        <f>IF('1_Du_lieu'!C439="TDMNPB",1,0)</f>
        <v>1</v>
      </c>
    </row>
    <row r="1957" spans="1:21" x14ac:dyDescent="0.25">
      <c r="A1957" t="s">
        <v>149</v>
      </c>
      <c r="B1957">
        <v>2023</v>
      </c>
      <c r="C1957" s="7">
        <f>'1_Du_lieu'!V441</f>
        <v>3.6763006719070761</v>
      </c>
      <c r="D1957" s="9">
        <f>'1_Du_lieu'!W441</f>
        <v>4.6849051540069446</v>
      </c>
      <c r="E1957" s="9">
        <f>'1_Du_lieu'!L441</f>
        <v>20.716999999999999</v>
      </c>
      <c r="F1957" s="9">
        <f>'1_Du_lieu'!M441</f>
        <v>87.64</v>
      </c>
      <c r="G1957" s="9">
        <f>'1_Du_lieu'!N441</f>
        <v>49.7</v>
      </c>
      <c r="H1957" s="9">
        <f>'1_Du_lieu'!X441</f>
        <v>3.6083664972247567</v>
      </c>
      <c r="I1957" s="9">
        <f>'1_Du_lieu'!T441</f>
        <v>6.4246707356247992</v>
      </c>
      <c r="J1957" s="9">
        <f>'1_Du_lieu'!Y441</f>
        <v>8.5604250798082386</v>
      </c>
      <c r="K1957" s="9">
        <f>'1_Du_lieu'!O441</f>
        <v>53.4</v>
      </c>
      <c r="L1957" s="5">
        <f t="shared" si="228"/>
        <v>0</v>
      </c>
      <c r="M1957" s="5">
        <f t="shared" si="229"/>
        <v>0</v>
      </c>
      <c r="N1957" s="5">
        <f t="shared" si="230"/>
        <v>0</v>
      </c>
      <c r="O1957" s="5">
        <f t="shared" si="231"/>
        <v>1</v>
      </c>
      <c r="P1957" s="5">
        <f t="shared" si="232"/>
        <v>0</v>
      </c>
      <c r="Q1957" s="5">
        <f>IF('1_Du_lieu'!C441="ĐBSH",1,0)</f>
        <v>0</v>
      </c>
      <c r="R1957" s="5">
        <f>IF('1_Du_lieu'!C441="BTB&amp;DHMT",1,0)</f>
        <v>1</v>
      </c>
      <c r="S1957" s="5">
        <f>IF('1_Du_lieu'!C441="ĐBSCL",1,0)</f>
        <v>0</v>
      </c>
      <c r="T1957" s="5">
        <f>IF('1_Du_lieu'!C441="TN",1,0)</f>
        <v>0</v>
      </c>
      <c r="U1957" s="5">
        <f>IF('1_Du_lieu'!C441="TDMNPB",1,0)</f>
        <v>0</v>
      </c>
    </row>
    <row r="1958" spans="1:21" x14ac:dyDescent="0.25">
      <c r="A1958" t="s">
        <v>150</v>
      </c>
      <c r="B1958">
        <v>2023</v>
      </c>
      <c r="C1958" s="7">
        <f>'1_Du_lieu'!V442</f>
        <v>2.9338568698359038</v>
      </c>
      <c r="D1958" s="9">
        <f>'1_Du_lieu'!W442</f>
        <v>4.1026433650367959</v>
      </c>
      <c r="E1958" s="9">
        <f>'1_Du_lieu'!L442</f>
        <v>4.016</v>
      </c>
      <c r="F1958" s="9">
        <f>'1_Du_lieu'!M442</f>
        <v>26.01</v>
      </c>
      <c r="G1958" s="9">
        <f>'1_Du_lieu'!N442</f>
        <v>18.3</v>
      </c>
      <c r="H1958" s="9">
        <f>'1_Du_lieu'!X442</f>
        <v>2.5524177094632949</v>
      </c>
      <c r="I1958" s="9">
        <f>'1_Du_lieu'!T442</f>
        <v>0.56950556562257315</v>
      </c>
      <c r="J1958" s="9">
        <f>'1_Du_lieu'!Y442</f>
        <v>5.9050893313612365</v>
      </c>
      <c r="K1958" s="9">
        <f>'1_Du_lieu'!O442</f>
        <v>18.7</v>
      </c>
      <c r="L1958" s="5">
        <f t="shared" si="228"/>
        <v>0</v>
      </c>
      <c r="M1958" s="5">
        <f t="shared" si="229"/>
        <v>0</v>
      </c>
      <c r="N1958" s="5">
        <f t="shared" si="230"/>
        <v>0</v>
      </c>
      <c r="O1958" s="5">
        <f t="shared" si="231"/>
        <v>1</v>
      </c>
      <c r="P1958" s="5">
        <f t="shared" si="232"/>
        <v>0</v>
      </c>
      <c r="Q1958" s="5">
        <f>IF('1_Du_lieu'!C442="ĐBSH",1,0)</f>
        <v>0</v>
      </c>
      <c r="R1958" s="5">
        <f>IF('1_Du_lieu'!C442="BTB&amp;DHMT",1,0)</f>
        <v>0</v>
      </c>
      <c r="S1958" s="5">
        <f>IF('1_Du_lieu'!C442="ĐBSCL",1,0)</f>
        <v>0</v>
      </c>
      <c r="T1958" s="5">
        <f>IF('1_Du_lieu'!C442="TN",1,0)</f>
        <v>1</v>
      </c>
      <c r="U1958" s="5">
        <f>IF('1_Du_lieu'!C442="TDMNPB",1,0)</f>
        <v>0</v>
      </c>
    </row>
    <row r="1959" spans="1:21" x14ac:dyDescent="0.25">
      <c r="A1959" t="s">
        <v>151</v>
      </c>
      <c r="B1959">
        <v>2023</v>
      </c>
      <c r="C1959" s="7">
        <f>'1_Du_lieu'!V443</f>
        <v>2.3608540011180215</v>
      </c>
      <c r="D1959" s="9">
        <f>'1_Du_lieu'!W443</f>
        <v>4.180522258463153</v>
      </c>
      <c r="E1959" s="9">
        <f>'1_Du_lieu'!L443</f>
        <v>3.883</v>
      </c>
      <c r="F1959" s="9">
        <f>'1_Du_lieu'!M443</f>
        <v>16.940000000000001</v>
      </c>
      <c r="G1959" s="9">
        <f>'1_Du_lieu'!N443</f>
        <v>16.7</v>
      </c>
      <c r="H1959" s="9">
        <f>'1_Du_lieu'!X443</f>
        <v>1.2401345948674423</v>
      </c>
      <c r="I1959" s="9">
        <f>'1_Du_lieu'!T443</f>
        <v>0.43994720633523976</v>
      </c>
      <c r="J1959" s="9">
        <f>'1_Du_lieu'!Y443</f>
        <v>6.1277421654005302</v>
      </c>
      <c r="K1959" s="9">
        <f>'1_Du_lieu'!O443</f>
        <v>21.1</v>
      </c>
      <c r="L1959" s="5">
        <f t="shared" si="228"/>
        <v>0</v>
      </c>
      <c r="M1959" s="5">
        <f t="shared" si="229"/>
        <v>0</v>
      </c>
      <c r="N1959" s="5">
        <f t="shared" si="230"/>
        <v>0</v>
      </c>
      <c r="O1959" s="5">
        <f t="shared" si="231"/>
        <v>1</v>
      </c>
      <c r="P1959" s="5">
        <f t="shared" si="232"/>
        <v>0</v>
      </c>
      <c r="Q1959" s="5">
        <f>IF('1_Du_lieu'!C443="ĐBSH",1,0)</f>
        <v>0</v>
      </c>
      <c r="R1959" s="5">
        <f>IF('1_Du_lieu'!C443="BTB&amp;DHMT",1,0)</f>
        <v>0</v>
      </c>
      <c r="S1959" s="5">
        <f>IF('1_Du_lieu'!C443="ĐBSCL",1,0)</f>
        <v>0</v>
      </c>
      <c r="T1959" s="5">
        <f>IF('1_Du_lieu'!C443="TN",1,0)</f>
        <v>1</v>
      </c>
      <c r="U1959" s="5">
        <f>IF('1_Du_lieu'!C443="TDMNPB",1,0)</f>
        <v>0</v>
      </c>
    </row>
    <row r="1960" spans="1:21" x14ac:dyDescent="0.25">
      <c r="A1960" t="s">
        <v>152</v>
      </c>
      <c r="B1960">
        <v>2023</v>
      </c>
      <c r="C1960" s="7">
        <f>'1_Du_lieu'!V444</f>
        <v>3.2542429687054919</v>
      </c>
      <c r="D1960" s="9">
        <f>'1_Du_lieu'!W444</f>
        <v>4.8895969657191998</v>
      </c>
      <c r="E1960" s="9">
        <f>'1_Du_lieu'!L444</f>
        <v>8.048</v>
      </c>
      <c r="F1960" s="9">
        <f>'1_Du_lieu'!M444</f>
        <v>45.26</v>
      </c>
      <c r="G1960" s="9">
        <f>'1_Du_lieu'!N444</f>
        <v>22.8</v>
      </c>
      <c r="H1960" s="9">
        <f>'1_Du_lieu'!X444</f>
        <v>2.9083693785797728</v>
      </c>
      <c r="I1960" s="9">
        <f>'1_Du_lieu'!T444</f>
        <v>0.5436588238847444</v>
      </c>
      <c r="J1960" s="9">
        <f>'1_Du_lieu'!Y444</f>
        <v>9.2919295755159954</v>
      </c>
      <c r="K1960" s="9">
        <f>'1_Du_lieu'!O444</f>
        <v>28.4</v>
      </c>
      <c r="L1960" s="5">
        <f t="shared" si="228"/>
        <v>0</v>
      </c>
      <c r="M1960" s="5">
        <f t="shared" si="229"/>
        <v>0</v>
      </c>
      <c r="N1960" s="5">
        <f t="shared" si="230"/>
        <v>0</v>
      </c>
      <c r="O1960" s="5">
        <f t="shared" si="231"/>
        <v>1</v>
      </c>
      <c r="P1960" s="5">
        <f t="shared" si="232"/>
        <v>0</v>
      </c>
      <c r="Q1960" s="5">
        <f>IF('1_Du_lieu'!C444="ĐBSH",1,0)</f>
        <v>0</v>
      </c>
      <c r="R1960" s="5">
        <f>IF('1_Du_lieu'!C444="BTB&amp;DHMT",1,0)</f>
        <v>0</v>
      </c>
      <c r="S1960" s="5">
        <f>IF('1_Du_lieu'!C444="ĐBSCL",1,0)</f>
        <v>0</v>
      </c>
      <c r="T1960" s="5">
        <f>IF('1_Du_lieu'!C444="TN",1,0)</f>
        <v>0</v>
      </c>
      <c r="U1960" s="5">
        <f>IF('1_Du_lieu'!C444="TDMNPB",1,0)</f>
        <v>0</v>
      </c>
    </row>
    <row r="1961" spans="1:21" x14ac:dyDescent="0.25">
      <c r="A1961" t="s">
        <v>153</v>
      </c>
      <c r="B1961">
        <v>2023</v>
      </c>
      <c r="C1961" s="7">
        <f>'1_Du_lieu'!V445</f>
        <v>2.7536607123542622</v>
      </c>
      <c r="D1961" s="9">
        <f>'1_Du_lieu'!W445</f>
        <v>4.2312037449392976</v>
      </c>
      <c r="E1961" s="9">
        <f>'1_Du_lieu'!L445</f>
        <v>2.605</v>
      </c>
      <c r="F1961" s="9">
        <f>'1_Du_lieu'!M445</f>
        <v>20.36</v>
      </c>
      <c r="G1961" s="9">
        <f>'1_Du_lieu'!N445</f>
        <v>14.6</v>
      </c>
      <c r="H1961" s="9">
        <f>'1_Du_lieu'!X445</f>
        <v>0.85303955406626408</v>
      </c>
      <c r="I1961" s="9">
        <f>'1_Du_lieu'!T445</f>
        <v>0.68741407324084491</v>
      </c>
      <c r="J1961" s="9">
        <f>'1_Du_lieu'!Y445</f>
        <v>4.9815497132011588</v>
      </c>
      <c r="K1961" s="9">
        <f>'1_Du_lieu'!O445</f>
        <v>14.6</v>
      </c>
      <c r="L1961" s="5">
        <f t="shared" si="228"/>
        <v>0</v>
      </c>
      <c r="M1961" s="5">
        <f t="shared" si="229"/>
        <v>0</v>
      </c>
      <c r="N1961" s="5">
        <f t="shared" si="230"/>
        <v>0</v>
      </c>
      <c r="O1961" s="5">
        <f t="shared" si="231"/>
        <v>1</v>
      </c>
      <c r="P1961" s="5">
        <f t="shared" si="232"/>
        <v>0</v>
      </c>
      <c r="Q1961" s="5">
        <f>IF('1_Du_lieu'!C445="ĐBSH",1,0)</f>
        <v>0</v>
      </c>
      <c r="R1961" s="5">
        <f>IF('1_Du_lieu'!C445="BTB&amp;DHMT",1,0)</f>
        <v>0</v>
      </c>
      <c r="S1961" s="5">
        <f>IF('1_Du_lieu'!C445="ĐBSCL",1,0)</f>
        <v>1</v>
      </c>
      <c r="T1961" s="5">
        <f>IF('1_Du_lieu'!C445="TN",1,0)</f>
        <v>0</v>
      </c>
      <c r="U1961" s="5">
        <f>IF('1_Du_lieu'!C445="TDMNPB",1,0)</f>
        <v>0</v>
      </c>
    </row>
    <row r="1962" spans="1:21" x14ac:dyDescent="0.25">
      <c r="A1962" t="s">
        <v>85</v>
      </c>
      <c r="B1962">
        <v>2024</v>
      </c>
      <c r="C1962" s="7">
        <f>'1_Du_lieu'!V446</f>
        <v>2.7725887222397811</v>
      </c>
      <c r="D1962" s="9">
        <f>'1_Du_lieu'!W446</f>
        <v>4.1896547420264252</v>
      </c>
      <c r="E1962" s="9">
        <f>'1_Du_lieu'!L446</f>
        <v>2.7749999999999999</v>
      </c>
      <c r="F1962" s="9">
        <f>'1_Du_lieu'!M446</f>
        <v>36.94</v>
      </c>
      <c r="G1962" s="9">
        <f>'1_Du_lieu'!N446</f>
        <v>16.2</v>
      </c>
      <c r="H1962" s="9">
        <f>'1_Du_lieu'!X446</f>
        <v>1.9679463726137187</v>
      </c>
      <c r="I1962" s="9">
        <f>'1_Du_lieu'!T446</f>
        <v>0.52284847851092753</v>
      </c>
      <c r="J1962" s="9">
        <f>'1_Du_lieu'!Y446</f>
        <v>4.9537121466966347</v>
      </c>
      <c r="K1962" s="9">
        <f>'1_Du_lieu'!O446</f>
        <v>13.6</v>
      </c>
      <c r="L1962" s="5">
        <f t="shared" si="228"/>
        <v>0</v>
      </c>
      <c r="M1962" s="5">
        <f t="shared" si="229"/>
        <v>0</v>
      </c>
      <c r="N1962" s="5">
        <f t="shared" si="230"/>
        <v>0</v>
      </c>
      <c r="O1962" s="5">
        <f t="shared" si="231"/>
        <v>0</v>
      </c>
      <c r="P1962" s="5">
        <f t="shared" si="232"/>
        <v>1</v>
      </c>
      <c r="Q1962" s="5">
        <f>IF('1_Du_lieu'!C446="ĐBSH",1,0)</f>
        <v>0</v>
      </c>
      <c r="R1962" s="5">
        <f>IF('1_Du_lieu'!C446="BTB&amp;DHMT",1,0)</f>
        <v>0</v>
      </c>
      <c r="S1962" s="5">
        <f>IF('1_Du_lieu'!C446="ĐBSCL",1,0)</f>
        <v>1</v>
      </c>
      <c r="T1962" s="5">
        <f>IF('1_Du_lieu'!C446="TN",1,0)</f>
        <v>0</v>
      </c>
      <c r="U1962" s="5">
        <f>IF('1_Du_lieu'!C446="TDMNPB",1,0)</f>
        <v>0</v>
      </c>
    </row>
    <row r="1963" spans="1:21" x14ac:dyDescent="0.25">
      <c r="A1963" t="s">
        <v>87</v>
      </c>
      <c r="B1963">
        <v>2024</v>
      </c>
      <c r="C1963" s="7">
        <f>'1_Du_lieu'!V447</f>
        <v>3.3322045101752038</v>
      </c>
      <c r="D1963" s="9">
        <f>'1_Du_lieu'!W447</f>
        <v>5.8260001073804499</v>
      </c>
      <c r="E1963" s="9">
        <f>'1_Du_lieu'!L447</f>
        <v>10.509</v>
      </c>
      <c r="F1963" s="9">
        <f>'1_Du_lieu'!M447</f>
        <v>62.1</v>
      </c>
      <c r="G1963" s="9">
        <f>'1_Du_lieu'!N447</f>
        <v>30.1</v>
      </c>
      <c r="H1963" s="9">
        <f>'1_Du_lieu'!X447</f>
        <v>2.174610926525149</v>
      </c>
      <c r="I1963" s="9">
        <f>'1_Du_lieu'!T447</f>
        <v>1.5067805123053744</v>
      </c>
      <c r="J1963" s="9">
        <f>'1_Du_lieu'!Y447</f>
        <v>10.327038128190678</v>
      </c>
      <c r="K1963" s="9">
        <f>'1_Du_lieu'!O447</f>
        <v>22.2</v>
      </c>
      <c r="L1963" s="5">
        <f t="shared" si="228"/>
        <v>0</v>
      </c>
      <c r="M1963" s="5">
        <f t="shared" si="229"/>
        <v>0</v>
      </c>
      <c r="N1963" s="5">
        <f t="shared" si="230"/>
        <v>0</v>
      </c>
      <c r="O1963" s="5">
        <f t="shared" si="231"/>
        <v>0</v>
      </c>
      <c r="P1963" s="5">
        <f t="shared" si="232"/>
        <v>1</v>
      </c>
      <c r="Q1963" s="5">
        <f>IF('1_Du_lieu'!C447="ĐBSH",1,0)</f>
        <v>0</v>
      </c>
      <c r="R1963" s="5">
        <f>IF('1_Du_lieu'!C447="BTB&amp;DHMT",1,0)</f>
        <v>0</v>
      </c>
      <c r="S1963" s="5">
        <f>IF('1_Du_lieu'!C447="ĐBSCL",1,0)</f>
        <v>0</v>
      </c>
      <c r="T1963" s="5">
        <f>IF('1_Du_lieu'!C447="TN",1,0)</f>
        <v>0</v>
      </c>
      <c r="U1963" s="5">
        <f>IF('1_Du_lieu'!C447="TDMNPB",1,0)</f>
        <v>0</v>
      </c>
    </row>
    <row r="1964" spans="1:21" x14ac:dyDescent="0.25">
      <c r="A1964" t="s">
        <v>89</v>
      </c>
      <c r="B1964">
        <v>2024</v>
      </c>
      <c r="C1964" s="7">
        <f>'1_Du_lieu'!V448</f>
        <v>3.9318256327243257</v>
      </c>
      <c r="D1964" s="9">
        <f>'1_Du_lieu'!W448</f>
        <v>5.1772790381709806</v>
      </c>
      <c r="E1964" s="9">
        <f>'1_Du_lieu'!L448</f>
        <v>15.816000000000001</v>
      </c>
      <c r="F1964" s="9">
        <f>'1_Du_lieu'!M448</f>
        <v>85.85</v>
      </c>
      <c r="G1964" s="9">
        <f>'1_Du_lieu'!N448</f>
        <v>23.8</v>
      </c>
      <c r="H1964" s="9">
        <f>'1_Du_lieu'!X448</f>
        <v>3.3653395022314503</v>
      </c>
      <c r="I1964" s="9">
        <f>'1_Du_lieu'!T448</f>
        <v>0.80122622448268666</v>
      </c>
      <c r="J1964" s="9">
        <f>'1_Du_lieu'!Y448</f>
        <v>9.6024162429653313</v>
      </c>
      <c r="K1964" s="9">
        <f>'1_Du_lieu'!O448</f>
        <v>19.899999999999999</v>
      </c>
      <c r="L1964" s="5">
        <f t="shared" si="228"/>
        <v>0</v>
      </c>
      <c r="M1964" s="5">
        <f t="shared" si="229"/>
        <v>0</v>
      </c>
      <c r="N1964" s="5">
        <f t="shared" si="230"/>
        <v>0</v>
      </c>
      <c r="O1964" s="5">
        <f t="shared" si="231"/>
        <v>0</v>
      </c>
      <c r="P1964" s="5">
        <f t="shared" si="232"/>
        <v>1</v>
      </c>
      <c r="Q1964" s="5">
        <f>IF('1_Du_lieu'!C448="ĐBSH",1,0)</f>
        <v>0</v>
      </c>
      <c r="R1964" s="5">
        <f>IF('1_Du_lieu'!C448="BTB&amp;DHMT",1,0)</f>
        <v>0</v>
      </c>
      <c r="S1964" s="5">
        <f>IF('1_Du_lieu'!C448="ĐBSCL",1,0)</f>
        <v>0</v>
      </c>
      <c r="T1964" s="5">
        <f>IF('1_Du_lieu'!C448="TN",1,0)</f>
        <v>0</v>
      </c>
      <c r="U1964" s="5">
        <f>IF('1_Du_lieu'!C448="TDMNPB",1,0)</f>
        <v>0</v>
      </c>
    </row>
    <row r="1965" spans="1:21" x14ac:dyDescent="0.25">
      <c r="A1965" t="s">
        <v>90</v>
      </c>
      <c r="B1965">
        <v>2024</v>
      </c>
      <c r="C1965" s="7">
        <f>'1_Du_lieu'!V449</f>
        <v>2.7725887222397811</v>
      </c>
      <c r="D1965" s="9">
        <f>'1_Du_lieu'!W449</f>
        <v>4.678420647727684</v>
      </c>
      <c r="E1965" s="9">
        <f>'1_Du_lieu'!L449</f>
        <v>6.6920000000000002</v>
      </c>
      <c r="F1965" s="9">
        <f>'1_Du_lieu'!M449</f>
        <v>29.45</v>
      </c>
      <c r="G1965" s="9">
        <f>'1_Du_lieu'!N449</f>
        <v>21.6</v>
      </c>
      <c r="H1965" s="9">
        <f>'1_Du_lieu'!X449</f>
        <v>1.3767887209846028</v>
      </c>
      <c r="I1965" s="9">
        <f>'1_Du_lieu'!T449</f>
        <v>1.0354890332297844</v>
      </c>
      <c r="J1965" s="9">
        <f>'1_Du_lieu'!Y449</f>
        <v>8.5243673951642371</v>
      </c>
      <c r="K1965" s="9">
        <f>'1_Du_lieu'!O449</f>
        <v>20.6</v>
      </c>
      <c r="L1965" s="5">
        <f t="shared" si="228"/>
        <v>0</v>
      </c>
      <c r="M1965" s="5">
        <f t="shared" si="229"/>
        <v>0</v>
      </c>
      <c r="N1965" s="5">
        <f t="shared" si="230"/>
        <v>0</v>
      </c>
      <c r="O1965" s="5">
        <f t="shared" si="231"/>
        <v>0</v>
      </c>
      <c r="P1965" s="5">
        <f t="shared" si="232"/>
        <v>1</v>
      </c>
      <c r="Q1965" s="5">
        <f>IF('1_Du_lieu'!C449="ĐBSH",1,0)</f>
        <v>0</v>
      </c>
      <c r="R1965" s="5">
        <f>IF('1_Du_lieu'!C449="BTB&amp;DHMT",1,0)</f>
        <v>0</v>
      </c>
      <c r="S1965" s="5">
        <f>IF('1_Du_lieu'!C449="ĐBSCL",1,0)</f>
        <v>0</v>
      </c>
      <c r="T1965" s="5">
        <f>IF('1_Du_lieu'!C449="TN",1,0)</f>
        <v>0</v>
      </c>
      <c r="U1965" s="5">
        <f>IF('1_Du_lieu'!C449="TDMNPB",1,0)</f>
        <v>0</v>
      </c>
    </row>
    <row r="1966" spans="1:21" x14ac:dyDescent="0.25">
      <c r="A1966" t="s">
        <v>91</v>
      </c>
      <c r="B1966">
        <v>2024</v>
      </c>
      <c r="C1966" s="7">
        <f>'1_Du_lieu'!V450</f>
        <v>2.9957322735539909</v>
      </c>
      <c r="D1966" s="9">
        <f>'1_Du_lieu'!W450</f>
        <v>4.5217885770490405</v>
      </c>
      <c r="E1966" s="9">
        <f>'1_Du_lieu'!L450</f>
        <v>4.6929999999999996</v>
      </c>
      <c r="F1966" s="9">
        <f>'1_Du_lieu'!M450</f>
        <v>38.6</v>
      </c>
      <c r="G1966" s="9">
        <f>'1_Du_lieu'!N450</f>
        <v>21.4</v>
      </c>
      <c r="H1966" s="9">
        <f>'1_Du_lieu'!X450</f>
        <v>1.7739907853339476</v>
      </c>
      <c r="I1966" s="9">
        <f>'1_Du_lieu'!T450</f>
        <v>0.39488232506712995</v>
      </c>
      <c r="J1966" s="9">
        <f>'1_Du_lieu'!Y450</f>
        <v>8.046869510959576</v>
      </c>
      <c r="K1966" s="9">
        <f>'1_Du_lieu'!O450</f>
        <v>11.9</v>
      </c>
      <c r="L1966" s="5">
        <f t="shared" si="228"/>
        <v>0</v>
      </c>
      <c r="M1966" s="5">
        <f t="shared" si="229"/>
        <v>0</v>
      </c>
      <c r="N1966" s="5">
        <f t="shared" si="230"/>
        <v>0</v>
      </c>
      <c r="O1966" s="5">
        <f t="shared" si="231"/>
        <v>0</v>
      </c>
      <c r="P1966" s="5">
        <f t="shared" si="232"/>
        <v>1</v>
      </c>
      <c r="Q1966" s="5">
        <f>IF('1_Du_lieu'!C450="ĐBSH",1,0)</f>
        <v>0</v>
      </c>
      <c r="R1966" s="5">
        <f>IF('1_Du_lieu'!C450="BTB&amp;DHMT",1,0)</f>
        <v>1</v>
      </c>
      <c r="S1966" s="5">
        <f>IF('1_Du_lieu'!C450="ĐBSCL",1,0)</f>
        <v>0</v>
      </c>
      <c r="T1966" s="5">
        <f>IF('1_Du_lieu'!C450="TN",1,0)</f>
        <v>0</v>
      </c>
      <c r="U1966" s="5">
        <f>IF('1_Du_lieu'!C450="TDMNPB",1,0)</f>
        <v>0</v>
      </c>
    </row>
    <row r="1967" spans="1:21" x14ac:dyDescent="0.25">
      <c r="A1967" t="s">
        <v>93</v>
      </c>
      <c r="B1967">
        <v>2024</v>
      </c>
      <c r="C1967" s="7">
        <f>'1_Du_lieu'!V451</f>
        <v>3.044522437723423</v>
      </c>
      <c r="D1967" s="9">
        <f>'1_Du_lieu'!W451</f>
        <v>4.4461744544976334</v>
      </c>
      <c r="E1967" s="9">
        <f>'1_Du_lieu'!L451</f>
        <v>5.5460000000000003</v>
      </c>
      <c r="F1967" s="9">
        <f>'1_Du_lieu'!M451</f>
        <v>41.34</v>
      </c>
      <c r="G1967" s="9">
        <f>'1_Du_lieu'!N451</f>
        <v>26.1</v>
      </c>
      <c r="H1967" s="9">
        <f>'1_Du_lieu'!X451</f>
        <v>3.1665151187207949</v>
      </c>
      <c r="I1967" s="9">
        <f>'1_Du_lieu'!T451</f>
        <v>0.8561080013170892</v>
      </c>
      <c r="J1967" s="9">
        <f>'1_Du_lieu'!Y451</f>
        <v>6.7389815347334512</v>
      </c>
      <c r="K1967" s="9">
        <f>'1_Du_lieu'!O451</f>
        <v>18.399999999999999</v>
      </c>
      <c r="L1967" s="5">
        <f t="shared" si="228"/>
        <v>0</v>
      </c>
      <c r="M1967" s="5">
        <f t="shared" si="229"/>
        <v>0</v>
      </c>
      <c r="N1967" s="5">
        <f t="shared" si="230"/>
        <v>0</v>
      </c>
      <c r="O1967" s="5">
        <f t="shared" si="231"/>
        <v>0</v>
      </c>
      <c r="P1967" s="5">
        <f t="shared" si="232"/>
        <v>1</v>
      </c>
      <c r="Q1967" s="5">
        <f>IF('1_Du_lieu'!C451="ĐBSH",1,0)</f>
        <v>0</v>
      </c>
      <c r="R1967" s="5">
        <f>IF('1_Du_lieu'!C451="BTB&amp;DHMT",1,0)</f>
        <v>1</v>
      </c>
      <c r="S1967" s="5">
        <f>IF('1_Du_lieu'!C451="ĐBSCL",1,0)</f>
        <v>0</v>
      </c>
      <c r="T1967" s="5">
        <f>IF('1_Du_lieu'!C451="TN",1,0)</f>
        <v>0</v>
      </c>
      <c r="U1967" s="5">
        <f>IF('1_Du_lieu'!C451="TDMNPB",1,0)</f>
        <v>0</v>
      </c>
    </row>
    <row r="1968" spans="1:21" x14ac:dyDescent="0.25">
      <c r="A1968" t="s">
        <v>94</v>
      </c>
      <c r="B1968">
        <v>2024</v>
      </c>
      <c r="C1968" s="7">
        <f>'1_Du_lieu'!V452</f>
        <v>2.6390573296152584</v>
      </c>
      <c r="D1968" s="9">
        <f>'1_Du_lieu'!W452</f>
        <v>4.2598590006996737</v>
      </c>
      <c r="E1968" s="9">
        <f>'1_Du_lieu'!L452</f>
        <v>2.4630000000000001</v>
      </c>
      <c r="F1968" s="9">
        <f>'1_Du_lieu'!M452</f>
        <v>27.77</v>
      </c>
      <c r="G1968" s="9">
        <f>'1_Du_lieu'!N452</f>
        <v>14.3</v>
      </c>
      <c r="H1968" s="9">
        <f>'1_Du_lieu'!X452</f>
        <v>1.4155802736934249</v>
      </c>
      <c r="I1968" s="9">
        <f>'1_Du_lieu'!T452</f>
        <v>1.5074835791967267</v>
      </c>
      <c r="J1968" s="9">
        <f>'1_Du_lieu'!Y452</f>
        <v>8.5289834127907138</v>
      </c>
      <c r="K1968" s="9">
        <f>'1_Du_lieu'!O452</f>
        <v>12.3</v>
      </c>
      <c r="L1968" s="5">
        <f t="shared" si="228"/>
        <v>0</v>
      </c>
      <c r="M1968" s="5">
        <f t="shared" si="229"/>
        <v>0</v>
      </c>
      <c r="N1968" s="5">
        <f t="shared" si="230"/>
        <v>0</v>
      </c>
      <c r="O1968" s="5">
        <f t="shared" si="231"/>
        <v>0</v>
      </c>
      <c r="P1968" s="5">
        <f t="shared" si="232"/>
        <v>1</v>
      </c>
      <c r="Q1968" s="5">
        <f>IF('1_Du_lieu'!C452="ĐBSH",1,0)</f>
        <v>0</v>
      </c>
      <c r="R1968" s="5">
        <f>IF('1_Du_lieu'!C452="BTB&amp;DHMT",1,0)</f>
        <v>0</v>
      </c>
      <c r="S1968" s="5">
        <f>IF('1_Du_lieu'!C452="ĐBSCL",1,0)</f>
        <v>1</v>
      </c>
      <c r="T1968" s="5">
        <f>IF('1_Du_lieu'!C452="TN",1,0)</f>
        <v>0</v>
      </c>
      <c r="U1968" s="5">
        <f>IF('1_Du_lieu'!C452="TDMNPB",1,0)</f>
        <v>0</v>
      </c>
    </row>
    <row r="1969" spans="1:21" x14ac:dyDescent="0.25">
      <c r="A1969" t="s">
        <v>95</v>
      </c>
      <c r="B1969">
        <v>2024</v>
      </c>
      <c r="C1969" s="7">
        <f>'1_Du_lieu'!V453</f>
        <v>3.0910424533583161</v>
      </c>
      <c r="D1969" s="9">
        <f>'1_Du_lieu'!W453</f>
        <v>4.6931810633108046</v>
      </c>
      <c r="E1969" s="9">
        <f>'1_Du_lieu'!L453</f>
        <v>4.8220000000000001</v>
      </c>
      <c r="F1969" s="9">
        <f>'1_Du_lieu'!M453</f>
        <v>24.23</v>
      </c>
      <c r="G1969" s="9">
        <f>'1_Du_lieu'!N453</f>
        <v>33.700000000000003</v>
      </c>
      <c r="H1969" s="9">
        <f>'1_Du_lieu'!X453</f>
        <v>3.0169391132682017</v>
      </c>
      <c r="I1969" s="9">
        <f>'1_Du_lieu'!T453</f>
        <v>0.61143381228981963</v>
      </c>
      <c r="J1969" s="9">
        <f>'1_Du_lieu'!Y453</f>
        <v>8.8378118501142797</v>
      </c>
      <c r="K1969" s="9">
        <f>'1_Du_lieu'!O453</f>
        <v>19.3</v>
      </c>
      <c r="L1969" s="5">
        <f t="shared" si="228"/>
        <v>0</v>
      </c>
      <c r="M1969" s="5">
        <f t="shared" si="229"/>
        <v>0</v>
      </c>
      <c r="N1969" s="5">
        <f t="shared" si="230"/>
        <v>0</v>
      </c>
      <c r="O1969" s="5">
        <f t="shared" si="231"/>
        <v>0</v>
      </c>
      <c r="P1969" s="5">
        <f t="shared" si="232"/>
        <v>1</v>
      </c>
      <c r="Q1969" s="5">
        <f>IF('1_Du_lieu'!C453="ĐBSH",1,0)</f>
        <v>0</v>
      </c>
      <c r="R1969" s="5">
        <f>IF('1_Du_lieu'!C453="BTB&amp;DHMT",1,0)</f>
        <v>0</v>
      </c>
      <c r="S1969" s="5">
        <f>IF('1_Du_lieu'!C453="ĐBSCL",1,0)</f>
        <v>0</v>
      </c>
      <c r="T1969" s="5">
        <f>IF('1_Du_lieu'!C453="TN",1,0)</f>
        <v>0</v>
      </c>
      <c r="U1969" s="5">
        <f>IF('1_Du_lieu'!C453="TDMNPB",1,0)</f>
        <v>1</v>
      </c>
    </row>
    <row r="1970" spans="1:21" x14ac:dyDescent="0.25">
      <c r="A1970" t="s">
        <v>97</v>
      </c>
      <c r="B1970">
        <v>2024</v>
      </c>
      <c r="C1970" s="7">
        <f>'1_Du_lieu'!V454</f>
        <v>2.3978952727983707</v>
      </c>
      <c r="D1970" s="9">
        <f>'1_Du_lieu'!W454</f>
        <v>4.0430512678345503</v>
      </c>
      <c r="E1970" s="9">
        <f>'1_Du_lieu'!L454</f>
        <v>2.3199999999999998</v>
      </c>
      <c r="F1970" s="9">
        <f>'1_Du_lieu'!M454</f>
        <v>24.57</v>
      </c>
      <c r="G1970" s="9">
        <f>'1_Du_lieu'!N454</f>
        <v>29</v>
      </c>
      <c r="H1970" s="9">
        <f>'1_Du_lieu'!X454</f>
        <v>2.8204493552852776</v>
      </c>
      <c r="I1970" s="9">
        <f>'1_Du_lieu'!T454</f>
        <v>0.91102338293349516</v>
      </c>
      <c r="J1970" s="9">
        <f>'1_Du_lieu'!Y454</f>
        <v>4.5900565481780431</v>
      </c>
      <c r="K1970" s="9">
        <f>'1_Du_lieu'!O454</f>
        <v>20.100000000000001</v>
      </c>
      <c r="L1970" s="5">
        <f t="shared" si="228"/>
        <v>0</v>
      </c>
      <c r="M1970" s="5">
        <f t="shared" si="229"/>
        <v>0</v>
      </c>
      <c r="N1970" s="5">
        <f t="shared" si="230"/>
        <v>0</v>
      </c>
      <c r="O1970" s="5">
        <f t="shared" si="231"/>
        <v>0</v>
      </c>
      <c r="P1970" s="5">
        <f t="shared" si="232"/>
        <v>1</v>
      </c>
      <c r="Q1970" s="5">
        <f>IF('1_Du_lieu'!C454="ĐBSH",1,0)</f>
        <v>0</v>
      </c>
      <c r="R1970" s="5">
        <f>IF('1_Du_lieu'!C454="BTB&amp;DHMT",1,0)</f>
        <v>0</v>
      </c>
      <c r="S1970" s="5">
        <f>IF('1_Du_lieu'!C454="ĐBSCL",1,0)</f>
        <v>0</v>
      </c>
      <c r="T1970" s="5">
        <f>IF('1_Du_lieu'!C454="TN",1,0)</f>
        <v>0</v>
      </c>
      <c r="U1970" s="5">
        <f>IF('1_Du_lieu'!C454="TDMNPB",1,0)</f>
        <v>1</v>
      </c>
    </row>
    <row r="1971" spans="1:21" x14ac:dyDescent="0.25">
      <c r="A1971" t="s">
        <v>98</v>
      </c>
      <c r="B1971">
        <v>2024</v>
      </c>
      <c r="C1971" s="7">
        <f>'1_Du_lieu'!V455</f>
        <v>3.4011973816621555</v>
      </c>
      <c r="D1971" s="9">
        <f>'1_Du_lieu'!W455</f>
        <v>5.0695329353437408</v>
      </c>
      <c r="E1971" s="9">
        <f>'1_Du_lieu'!L455</f>
        <v>11.715999999999999</v>
      </c>
      <c r="F1971" s="9">
        <f>'1_Du_lieu'!M455</f>
        <v>50.94</v>
      </c>
      <c r="G1971" s="9">
        <f>'1_Du_lieu'!N455</f>
        <v>35.9</v>
      </c>
      <c r="H1971" s="9">
        <f>'1_Du_lieu'!X455</f>
        <v>2.8962026782069579</v>
      </c>
      <c r="I1971" s="9">
        <f>'1_Du_lieu'!T455</f>
        <v>1.8750808224492437</v>
      </c>
      <c r="J1971" s="9">
        <f>'1_Du_lieu'!Y455</f>
        <v>9.904681839091948</v>
      </c>
      <c r="K1971" s="9">
        <f>'1_Du_lieu'!O455</f>
        <v>25.8</v>
      </c>
      <c r="L1971" s="5">
        <f t="shared" si="228"/>
        <v>0</v>
      </c>
      <c r="M1971" s="5">
        <f t="shared" si="229"/>
        <v>0</v>
      </c>
      <c r="N1971" s="5">
        <f t="shared" si="230"/>
        <v>0</v>
      </c>
      <c r="O1971" s="5">
        <f t="shared" si="231"/>
        <v>0</v>
      </c>
      <c r="P1971" s="5">
        <f t="shared" si="232"/>
        <v>1</v>
      </c>
      <c r="Q1971" s="5">
        <f>IF('1_Du_lieu'!C455="ĐBSH",1,0)</f>
        <v>1</v>
      </c>
      <c r="R1971" s="5">
        <f>IF('1_Du_lieu'!C455="BTB&amp;DHMT",1,0)</f>
        <v>0</v>
      </c>
      <c r="S1971" s="5">
        <f>IF('1_Du_lieu'!C455="ĐBSCL",1,0)</f>
        <v>0</v>
      </c>
      <c r="T1971" s="5">
        <f>IF('1_Du_lieu'!C455="TN",1,0)</f>
        <v>0</v>
      </c>
      <c r="U1971" s="5">
        <f>IF('1_Du_lieu'!C455="TDMNPB",1,0)</f>
        <v>0</v>
      </c>
    </row>
    <row r="1972" spans="1:21" x14ac:dyDescent="0.25">
      <c r="A1972" t="s">
        <v>100</v>
      </c>
      <c r="B1972">
        <v>2024</v>
      </c>
      <c r="C1972" s="7">
        <f>'1_Du_lieu'!V456</f>
        <v>2.9444389791664403</v>
      </c>
      <c r="D1972" s="9">
        <f>'1_Du_lieu'!W456</f>
        <v>4.0324691585040133</v>
      </c>
      <c r="E1972" s="9">
        <f>'1_Du_lieu'!L456</f>
        <v>3.0470000000000002</v>
      </c>
      <c r="F1972" s="9">
        <f>'1_Du_lieu'!M456</f>
        <v>13.37</v>
      </c>
      <c r="G1972" s="9">
        <f>'1_Du_lieu'!N456</f>
        <v>13.7</v>
      </c>
      <c r="H1972" s="9">
        <f>'1_Du_lieu'!X456</f>
        <v>1.4972580731896656</v>
      </c>
      <c r="I1972" s="9">
        <f>'1_Du_lieu'!T456</f>
        <v>0.45931256219857614</v>
      </c>
      <c r="J1972" s="9">
        <f>'1_Du_lieu'!Y456</f>
        <v>7.1132235386163387</v>
      </c>
      <c r="K1972" s="9">
        <f>'1_Du_lieu'!O456</f>
        <v>17.899999999999999</v>
      </c>
      <c r="L1972" s="5">
        <f t="shared" si="228"/>
        <v>0</v>
      </c>
      <c r="M1972" s="5">
        <f t="shared" si="229"/>
        <v>0</v>
      </c>
      <c r="N1972" s="5">
        <f t="shared" si="230"/>
        <v>0</v>
      </c>
      <c r="O1972" s="5">
        <f t="shared" si="231"/>
        <v>0</v>
      </c>
      <c r="P1972" s="5">
        <f t="shared" si="232"/>
        <v>1</v>
      </c>
      <c r="Q1972" s="5">
        <f>IF('1_Du_lieu'!C456="ĐBSH",1,0)</f>
        <v>0</v>
      </c>
      <c r="R1972" s="5">
        <f>IF('1_Du_lieu'!C456="BTB&amp;DHMT",1,0)</f>
        <v>0</v>
      </c>
      <c r="S1972" s="5">
        <f>IF('1_Du_lieu'!C456="ĐBSCL",1,0)</f>
        <v>1</v>
      </c>
      <c r="T1972" s="5">
        <f>IF('1_Du_lieu'!C456="TN",1,0)</f>
        <v>0</v>
      </c>
      <c r="U1972" s="5">
        <f>IF('1_Du_lieu'!C456="TDMNPB",1,0)</f>
        <v>0</v>
      </c>
    </row>
    <row r="1973" spans="1:21" x14ac:dyDescent="0.25">
      <c r="A1973" t="s">
        <v>102</v>
      </c>
      <c r="B1973">
        <v>2024</v>
      </c>
      <c r="C1973" s="7">
        <f>'1_Du_lieu'!V458</f>
        <v>2.7725887222397811</v>
      </c>
      <c r="D1973" s="9">
        <f>'1_Du_lieu'!W458</f>
        <v>4.2682978693455391</v>
      </c>
      <c r="E1973" s="9">
        <f>'1_Du_lieu'!L458</f>
        <v>3.1110000000000002</v>
      </c>
      <c r="F1973" s="9">
        <f>'1_Du_lieu'!M458</f>
        <v>23.51</v>
      </c>
      <c r="G1973" s="9">
        <f>'1_Du_lieu'!N458</f>
        <v>16.399999999999999</v>
      </c>
      <c r="H1973" s="9">
        <f>'1_Du_lieu'!X458</f>
        <v>0.14996939029400611</v>
      </c>
      <c r="I1973" s="9">
        <f>'1_Du_lieu'!T458</f>
        <v>0.57755775577557755</v>
      </c>
      <c r="J1973" s="9">
        <f>'1_Du_lieu'!Y458</f>
        <v>4.9030500834163186</v>
      </c>
      <c r="K1973" s="9">
        <f>'1_Du_lieu'!O458</f>
        <v>12.3</v>
      </c>
      <c r="L1973" s="5">
        <f t="shared" si="228"/>
        <v>0</v>
      </c>
      <c r="M1973" s="5">
        <f t="shared" si="229"/>
        <v>0</v>
      </c>
      <c r="N1973" s="5">
        <f t="shared" si="230"/>
        <v>0</v>
      </c>
      <c r="O1973" s="5">
        <f t="shared" si="231"/>
        <v>0</v>
      </c>
      <c r="P1973" s="5">
        <f t="shared" si="232"/>
        <v>1</v>
      </c>
      <c r="Q1973" s="5">
        <f>IF('1_Du_lieu'!C458="ĐBSH",1,0)</f>
        <v>0</v>
      </c>
      <c r="R1973" s="5">
        <f>IF('1_Du_lieu'!C458="BTB&amp;DHMT",1,0)</f>
        <v>0</v>
      </c>
      <c r="S1973" s="5">
        <f>IF('1_Du_lieu'!C458="ĐBSCL",1,0)</f>
        <v>1</v>
      </c>
      <c r="T1973" s="5">
        <f>IF('1_Du_lieu'!C458="TN",1,0)</f>
        <v>0</v>
      </c>
      <c r="U1973" s="5">
        <f>IF('1_Du_lieu'!C458="TDMNPB",1,0)</f>
        <v>0</v>
      </c>
    </row>
    <row r="1974" spans="1:21" x14ac:dyDescent="0.25">
      <c r="A1974" t="s">
        <v>103</v>
      </c>
      <c r="B1974">
        <v>2024</v>
      </c>
      <c r="C1974" s="7">
        <f>'1_Du_lieu'!V459</f>
        <v>3.3322045101752038</v>
      </c>
      <c r="D1974" s="9">
        <f>'1_Du_lieu'!W459</f>
        <v>4.6472713620067267</v>
      </c>
      <c r="E1974" s="9">
        <f>'1_Du_lieu'!L459</f>
        <v>8.5429999999999993</v>
      </c>
      <c r="F1974" s="9">
        <f>'1_Du_lieu'!M459</f>
        <v>70.67</v>
      </c>
      <c r="G1974" s="9">
        <f>'1_Du_lieu'!N459</f>
        <v>25.2</v>
      </c>
      <c r="H1974" s="9">
        <f>'1_Du_lieu'!X459</f>
        <v>1.153238075556438</v>
      </c>
      <c r="I1974" s="9">
        <f>'1_Du_lieu'!T459</f>
        <v>1.4154281670205235</v>
      </c>
      <c r="J1974" s="9">
        <f>'1_Du_lieu'!Y459</f>
        <v>7.4655980675111842</v>
      </c>
      <c r="K1974" s="9">
        <f>'1_Du_lieu'!O459</f>
        <v>20.8</v>
      </c>
      <c r="L1974" s="5">
        <f t="shared" si="228"/>
        <v>0</v>
      </c>
      <c r="M1974" s="5">
        <f t="shared" si="229"/>
        <v>0</v>
      </c>
      <c r="N1974" s="5">
        <f t="shared" si="230"/>
        <v>0</v>
      </c>
      <c r="O1974" s="5">
        <f t="shared" si="231"/>
        <v>0</v>
      </c>
      <c r="P1974" s="5">
        <f t="shared" si="232"/>
        <v>1</v>
      </c>
      <c r="Q1974" s="5">
        <f>IF('1_Du_lieu'!C459="ĐBSH",1,0)</f>
        <v>0</v>
      </c>
      <c r="R1974" s="5">
        <f>IF('1_Du_lieu'!C459="BTB&amp;DHMT",1,0)</f>
        <v>0</v>
      </c>
      <c r="S1974" s="5">
        <f>IF('1_Du_lieu'!C459="ĐBSCL",1,0)</f>
        <v>1</v>
      </c>
      <c r="T1974" s="5">
        <f>IF('1_Du_lieu'!C459="TN",1,0)</f>
        <v>0</v>
      </c>
      <c r="U1974" s="5">
        <f>IF('1_Du_lieu'!C459="TDMNPB",1,0)</f>
        <v>0</v>
      </c>
    </row>
    <row r="1975" spans="1:21" x14ac:dyDescent="0.25">
      <c r="A1975" t="s">
        <v>104</v>
      </c>
      <c r="B1975">
        <v>2024</v>
      </c>
      <c r="C1975" s="7">
        <f>'1_Du_lieu'!V460</f>
        <v>2.7080502011022101</v>
      </c>
      <c r="D1975" s="9">
        <f>'1_Du_lieu'!W460</f>
        <v>4.2002049529215784</v>
      </c>
      <c r="E1975" s="9">
        <f>'1_Du_lieu'!L460</f>
        <v>3.39</v>
      </c>
      <c r="F1975" s="9">
        <f>'1_Du_lieu'!M460</f>
        <v>29.53</v>
      </c>
      <c r="G1975" s="9">
        <f>'1_Du_lieu'!N460</f>
        <v>16.2</v>
      </c>
      <c r="H1975" s="9">
        <f>'1_Du_lieu'!X460</f>
        <v>2.4457426153554831</v>
      </c>
      <c r="I1975" s="9">
        <f>'1_Du_lieu'!T460</f>
        <v>1.8961404367239587</v>
      </c>
      <c r="J1975" s="9">
        <f>'1_Du_lieu'!Y460</f>
        <v>4.0587173845789497</v>
      </c>
      <c r="K1975" s="9">
        <f>'1_Du_lieu'!O460</f>
        <v>11.5</v>
      </c>
      <c r="L1975" s="5">
        <f t="shared" si="228"/>
        <v>0</v>
      </c>
      <c r="M1975" s="5">
        <f t="shared" si="229"/>
        <v>0</v>
      </c>
      <c r="N1975" s="5">
        <f t="shared" si="230"/>
        <v>0</v>
      </c>
      <c r="O1975" s="5">
        <f t="shared" si="231"/>
        <v>0</v>
      </c>
      <c r="P1975" s="5">
        <f t="shared" si="232"/>
        <v>1</v>
      </c>
      <c r="Q1975" s="5">
        <f>IF('1_Du_lieu'!C460="ĐBSH",1,0)</f>
        <v>0</v>
      </c>
      <c r="R1975" s="5">
        <f>IF('1_Du_lieu'!C460="BTB&amp;DHMT",1,0)</f>
        <v>0</v>
      </c>
      <c r="S1975" s="5">
        <f>IF('1_Du_lieu'!C460="ĐBSCL",1,0)</f>
        <v>0</v>
      </c>
      <c r="T1975" s="5">
        <f>IF('1_Du_lieu'!C460="TN",1,0)</f>
        <v>1</v>
      </c>
      <c r="U1975" s="5">
        <f>IF('1_Du_lieu'!C460="TDMNPB",1,0)</f>
        <v>0</v>
      </c>
    </row>
    <row r="1976" spans="1:21" x14ac:dyDescent="0.25">
      <c r="A1976" t="s">
        <v>107</v>
      </c>
      <c r="B1976">
        <v>2024</v>
      </c>
      <c r="C1976" s="7">
        <f>'1_Du_lieu'!V462</f>
        <v>3.1354942159291497</v>
      </c>
      <c r="D1976" s="9">
        <f>'1_Du_lieu'!W462</f>
        <v>4.677490847567717</v>
      </c>
      <c r="E1976" s="9">
        <f>'1_Du_lieu'!L462</f>
        <v>6.5060000000000002</v>
      </c>
      <c r="F1976" s="9">
        <f>'1_Du_lieu'!M462</f>
        <v>28.74</v>
      </c>
      <c r="G1976" s="9">
        <f>'1_Du_lieu'!N462</f>
        <v>32.299999999999997</v>
      </c>
      <c r="H1976" s="9">
        <f>'1_Du_lieu'!X462</f>
        <v>3.0323602921703454</v>
      </c>
      <c r="I1976" s="9">
        <f>'1_Du_lieu'!T462</f>
        <v>1.1183180496533214</v>
      </c>
      <c r="J1976" s="9">
        <f>'1_Du_lieu'!Y462</f>
        <v>8.909113650174131</v>
      </c>
      <c r="K1976" s="9">
        <f>'1_Du_lieu'!O462</f>
        <v>13.9</v>
      </c>
      <c r="L1976" s="5">
        <f t="shared" si="228"/>
        <v>0</v>
      </c>
      <c r="M1976" s="5">
        <f t="shared" si="229"/>
        <v>0</v>
      </c>
      <c r="N1976" s="5">
        <f t="shared" si="230"/>
        <v>0</v>
      </c>
      <c r="O1976" s="5">
        <f t="shared" si="231"/>
        <v>0</v>
      </c>
      <c r="P1976" s="5">
        <f t="shared" si="232"/>
        <v>1</v>
      </c>
      <c r="Q1976" s="5">
        <f>IF('1_Du_lieu'!C462="ĐBSH",1,0)</f>
        <v>1</v>
      </c>
      <c r="R1976" s="5">
        <f>IF('1_Du_lieu'!C462="BTB&amp;DHMT",1,0)</f>
        <v>0</v>
      </c>
      <c r="S1976" s="5">
        <f>IF('1_Du_lieu'!C462="ĐBSCL",1,0)</f>
        <v>0</v>
      </c>
      <c r="T1976" s="5">
        <f>IF('1_Du_lieu'!C462="TN",1,0)</f>
        <v>0</v>
      </c>
      <c r="U1976" s="5">
        <f>IF('1_Du_lieu'!C462="TDMNPB",1,0)</f>
        <v>0</v>
      </c>
    </row>
    <row r="1977" spans="1:21" x14ac:dyDescent="0.25">
      <c r="A1977" t="s">
        <v>108</v>
      </c>
      <c r="B1977">
        <v>2024</v>
      </c>
      <c r="C1977" s="7">
        <f>'1_Du_lieu'!V463</f>
        <v>4.4308167988433134</v>
      </c>
      <c r="D1977" s="9">
        <f>'1_Du_lieu'!W463</f>
        <v>5.0931365156079993</v>
      </c>
      <c r="E1977" s="9">
        <f>'1_Du_lieu'!L463</f>
        <v>22.579000000000001</v>
      </c>
      <c r="F1977" s="9">
        <f>'1_Du_lieu'!M463</f>
        <v>49.11</v>
      </c>
      <c r="G1977" s="9">
        <f>'1_Du_lieu'!N463</f>
        <v>53.9</v>
      </c>
      <c r="H1977" s="9">
        <f>'1_Du_lieu'!X463</f>
        <v>3.3194894766662983</v>
      </c>
      <c r="I1977" s="9">
        <f>'1_Du_lieu'!T463</f>
        <v>1.8468385794255298</v>
      </c>
      <c r="J1977" s="9">
        <f>'1_Du_lieu'!Y463</f>
        <v>8.4883203538471221</v>
      </c>
      <c r="K1977" s="9">
        <f>'1_Du_lieu'!O463</f>
        <v>43.9</v>
      </c>
      <c r="L1977" s="5">
        <f t="shared" si="228"/>
        <v>0</v>
      </c>
      <c r="M1977" s="5">
        <f t="shared" si="229"/>
        <v>0</v>
      </c>
      <c r="N1977" s="5">
        <f t="shared" si="230"/>
        <v>0</v>
      </c>
      <c r="O1977" s="5">
        <f t="shared" si="231"/>
        <v>0</v>
      </c>
      <c r="P1977" s="5">
        <f t="shared" si="232"/>
        <v>1</v>
      </c>
      <c r="Q1977" s="5">
        <f>IF('1_Du_lieu'!C463="ĐBSH",1,0)</f>
        <v>1</v>
      </c>
      <c r="R1977" s="5">
        <f>IF('1_Du_lieu'!C463="BTB&amp;DHMT",1,0)</f>
        <v>0</v>
      </c>
      <c r="S1977" s="5">
        <f>IF('1_Du_lieu'!C463="ĐBSCL",1,0)</f>
        <v>0</v>
      </c>
      <c r="T1977" s="5">
        <f>IF('1_Du_lieu'!C463="TN",1,0)</f>
        <v>0</v>
      </c>
      <c r="U1977" s="5">
        <f>IF('1_Du_lieu'!C463="TDMNPB",1,0)</f>
        <v>0</v>
      </c>
    </row>
    <row r="1978" spans="1:21" x14ac:dyDescent="0.25">
      <c r="A1978" t="s">
        <v>109</v>
      </c>
      <c r="B1978">
        <v>2024</v>
      </c>
      <c r="C1978" s="7">
        <f>'1_Du_lieu'!V464</f>
        <v>2.8903717578961645</v>
      </c>
      <c r="D1978" s="9">
        <f>'1_Du_lieu'!W464</f>
        <v>4.4164280613912137</v>
      </c>
      <c r="E1978" s="9">
        <f>'1_Du_lieu'!L464</f>
        <v>4.484</v>
      </c>
      <c r="F1978" s="9">
        <f>'1_Du_lieu'!M464</f>
        <v>22.59</v>
      </c>
      <c r="G1978" s="9">
        <f>'1_Du_lieu'!N464</f>
        <v>32.299999999999997</v>
      </c>
      <c r="H1978" s="9">
        <f>'1_Du_lieu'!X464</f>
        <v>3.5761073893199447</v>
      </c>
      <c r="I1978" s="9">
        <f>'1_Du_lieu'!T464</f>
        <v>0.37599639043465183</v>
      </c>
      <c r="J1978" s="9">
        <f>'1_Du_lieu'!Y464</f>
        <v>9.1150511919513608</v>
      </c>
      <c r="K1978" s="9">
        <f>'1_Du_lieu'!O464</f>
        <v>21.1</v>
      </c>
      <c r="L1978" s="5">
        <f t="shared" si="228"/>
        <v>0</v>
      </c>
      <c r="M1978" s="5">
        <f t="shared" si="229"/>
        <v>0</v>
      </c>
      <c r="N1978" s="5">
        <f t="shared" si="230"/>
        <v>0</v>
      </c>
      <c r="O1978" s="5">
        <f t="shared" si="231"/>
        <v>0</v>
      </c>
      <c r="P1978" s="5">
        <f t="shared" si="232"/>
        <v>1</v>
      </c>
      <c r="Q1978" s="5">
        <f>IF('1_Du_lieu'!C464="ĐBSH",1,0)</f>
        <v>0</v>
      </c>
      <c r="R1978" s="5">
        <f>IF('1_Du_lieu'!C464="BTB&amp;DHMT",1,0)</f>
        <v>1</v>
      </c>
      <c r="S1978" s="5">
        <f>IF('1_Du_lieu'!C464="ĐBSCL",1,0)</f>
        <v>0</v>
      </c>
      <c r="T1978" s="5">
        <f>IF('1_Du_lieu'!C464="TN",1,0)</f>
        <v>0</v>
      </c>
      <c r="U1978" s="5">
        <f>IF('1_Du_lieu'!C464="TDMNPB",1,0)</f>
        <v>0</v>
      </c>
    </row>
    <row r="1979" spans="1:21" x14ac:dyDescent="0.25">
      <c r="A1979" t="s">
        <v>110</v>
      </c>
      <c r="B1979">
        <v>2024</v>
      </c>
      <c r="C1979" s="7">
        <f>'1_Du_lieu'!V465</f>
        <v>2.6390573296152584</v>
      </c>
      <c r="D1979" s="9">
        <f>'1_Du_lieu'!W465</f>
        <v>4.3744983682530902</v>
      </c>
      <c r="E1979" s="9">
        <f>'1_Du_lieu'!L465</f>
        <v>3.4889999999999999</v>
      </c>
      <c r="F1979" s="9">
        <f>'1_Du_lieu'!M465</f>
        <v>26.17</v>
      </c>
      <c r="G1979" s="9">
        <f>'1_Du_lieu'!N465</f>
        <v>25.6</v>
      </c>
      <c r="H1979" s="9">
        <f>'1_Du_lieu'!X465</f>
        <v>2.367937285247359</v>
      </c>
      <c r="I1979" s="9">
        <f>'1_Du_lieu'!T465</f>
        <v>1.1179429849077696</v>
      </c>
      <c r="J1979" s="9">
        <f>'1_Du_lieu'!Y465</f>
        <v>6.7923444274708089</v>
      </c>
      <c r="K1979" s="9">
        <f>'1_Du_lieu'!O465</f>
        <v>14.2</v>
      </c>
      <c r="L1979" s="5">
        <f t="shared" si="228"/>
        <v>0</v>
      </c>
      <c r="M1979" s="5">
        <f t="shared" si="229"/>
        <v>0</v>
      </c>
      <c r="N1979" s="5">
        <f t="shared" si="230"/>
        <v>0</v>
      </c>
      <c r="O1979" s="5">
        <f t="shared" si="231"/>
        <v>0</v>
      </c>
      <c r="P1979" s="5">
        <f t="shared" si="232"/>
        <v>1</v>
      </c>
      <c r="Q1979" s="5">
        <f>IF('1_Du_lieu'!C465="ĐBSH",1,0)</f>
        <v>0</v>
      </c>
      <c r="R1979" s="5">
        <f>IF('1_Du_lieu'!C465="BTB&amp;DHMT",1,0)</f>
        <v>0</v>
      </c>
      <c r="S1979" s="5">
        <f>IF('1_Du_lieu'!C465="ĐBSCL",1,0)</f>
        <v>0</v>
      </c>
      <c r="T1979" s="5">
        <f>IF('1_Du_lieu'!C465="TN",1,0)</f>
        <v>0</v>
      </c>
      <c r="U1979" s="5">
        <f>IF('1_Du_lieu'!C465="TDMNPB",1,0)</f>
        <v>1</v>
      </c>
    </row>
    <row r="1980" spans="1:21" x14ac:dyDescent="0.25">
      <c r="A1980" t="s">
        <v>111</v>
      </c>
      <c r="B1980">
        <v>2024</v>
      </c>
      <c r="C1980" s="7">
        <f>'1_Du_lieu'!V466</f>
        <v>3.2958368660043291</v>
      </c>
      <c r="D1980" s="9">
        <f>'1_Du_lieu'!W466</f>
        <v>4.7681390142662314</v>
      </c>
      <c r="E1980" s="9">
        <f>'1_Du_lieu'!L466</f>
        <v>8.2309999999999999</v>
      </c>
      <c r="F1980" s="9">
        <f>'1_Du_lieu'!M466</f>
        <v>17.09</v>
      </c>
      <c r="G1980" s="9">
        <f>'1_Du_lieu'!N466</f>
        <v>29.3</v>
      </c>
      <c r="H1980" s="9">
        <f>'1_Du_lieu'!X466</f>
        <v>3.3521150877319186</v>
      </c>
      <c r="I1980" s="9">
        <f>'1_Du_lieu'!T466</f>
        <v>1.8966694484485247</v>
      </c>
      <c r="J1980" s="9">
        <f>'1_Du_lieu'!Y466</f>
        <v>8.8265144389714987</v>
      </c>
      <c r="K1980" s="9">
        <f>'1_Du_lieu'!O466</f>
        <v>23.6</v>
      </c>
      <c r="L1980" s="5">
        <f t="shared" si="228"/>
        <v>0</v>
      </c>
      <c r="M1980" s="5">
        <f t="shared" si="229"/>
        <v>0</v>
      </c>
      <c r="N1980" s="5">
        <f t="shared" si="230"/>
        <v>0</v>
      </c>
      <c r="O1980" s="5">
        <f t="shared" si="231"/>
        <v>0</v>
      </c>
      <c r="P1980" s="5">
        <f t="shared" si="232"/>
        <v>1</v>
      </c>
      <c r="Q1980" s="5">
        <f>IF('1_Du_lieu'!C466="ĐBSH",1,0)</f>
        <v>1</v>
      </c>
      <c r="R1980" s="5">
        <f>IF('1_Du_lieu'!C466="BTB&amp;DHMT",1,0)</f>
        <v>0</v>
      </c>
      <c r="S1980" s="5">
        <f>IF('1_Du_lieu'!C466="ĐBSCL",1,0)</f>
        <v>0</v>
      </c>
      <c r="T1980" s="5">
        <f>IF('1_Du_lieu'!C466="TN",1,0)</f>
        <v>0</v>
      </c>
      <c r="U1980" s="5">
        <f>IF('1_Du_lieu'!C466="TDMNPB",1,0)</f>
        <v>0</v>
      </c>
    </row>
    <row r="1981" spans="1:21" x14ac:dyDescent="0.25">
      <c r="A1981" t="s">
        <v>112</v>
      </c>
      <c r="B1981">
        <v>2024</v>
      </c>
      <c r="C1981" s="7">
        <f>'1_Du_lieu'!V467</f>
        <v>3.044522437723423</v>
      </c>
      <c r="D1981" s="9">
        <f>'1_Du_lieu'!W467</f>
        <v>4.6653241088078383</v>
      </c>
      <c r="E1981" s="9">
        <f>'1_Du_lieu'!L467</f>
        <v>6.0410000000000004</v>
      </c>
      <c r="F1981" s="9">
        <f>'1_Du_lieu'!M467</f>
        <v>31.87</v>
      </c>
      <c r="G1981" s="9">
        <f>'1_Du_lieu'!N467</f>
        <v>29.4</v>
      </c>
      <c r="H1981" s="9">
        <f>'1_Du_lieu'!X467</f>
        <v>3.400809748829857</v>
      </c>
      <c r="I1981" s="9">
        <f>'1_Du_lieu'!T467</f>
        <v>0.45495905368516831</v>
      </c>
      <c r="J1981" s="9">
        <f>'1_Du_lieu'!Y467</f>
        <v>8.6407727281864286</v>
      </c>
      <c r="K1981" s="9">
        <f>'1_Du_lieu'!O467</f>
        <v>23.1</v>
      </c>
      <c r="L1981" s="5">
        <f t="shared" si="228"/>
        <v>0</v>
      </c>
      <c r="M1981" s="5">
        <f t="shared" si="229"/>
        <v>0</v>
      </c>
      <c r="N1981" s="5">
        <f t="shared" si="230"/>
        <v>0</v>
      </c>
      <c r="O1981" s="5">
        <f t="shared" si="231"/>
        <v>0</v>
      </c>
      <c r="P1981" s="5">
        <f t="shared" si="232"/>
        <v>1</v>
      </c>
      <c r="Q1981" s="5">
        <f>IF('1_Du_lieu'!C467="ĐBSH",1,0)</f>
        <v>1</v>
      </c>
      <c r="R1981" s="5">
        <f>IF('1_Du_lieu'!C467="BTB&amp;DHMT",1,0)</f>
        <v>0</v>
      </c>
      <c r="S1981" s="5">
        <f>IF('1_Du_lieu'!C467="ĐBSCL",1,0)</f>
        <v>0</v>
      </c>
      <c r="T1981" s="5">
        <f>IF('1_Du_lieu'!C467="TN",1,0)</f>
        <v>0</v>
      </c>
      <c r="U1981" s="5">
        <f>IF('1_Du_lieu'!C467="TDMNPB",1,0)</f>
        <v>0</v>
      </c>
    </row>
    <row r="1982" spans="1:21" x14ac:dyDescent="0.25">
      <c r="A1982" t="s">
        <v>113</v>
      </c>
      <c r="B1982">
        <v>2024</v>
      </c>
      <c r="C1982" s="7">
        <f>'1_Du_lieu'!V468</f>
        <v>3.5835189384561099</v>
      </c>
      <c r="D1982" s="9">
        <f>'1_Du_lieu'!W468</f>
        <v>5.3288465715828597</v>
      </c>
      <c r="E1982" s="9">
        <f>'1_Du_lieu'!L468</f>
        <v>10.497999999999999</v>
      </c>
      <c r="F1982" s="9">
        <f>'1_Du_lieu'!M468</f>
        <v>45.67</v>
      </c>
      <c r="G1982" s="9">
        <f>'1_Du_lieu'!N468</f>
        <v>38</v>
      </c>
      <c r="H1982" s="9">
        <f>'1_Du_lieu'!X468</f>
        <v>4.2098513587657651</v>
      </c>
      <c r="I1982" s="9">
        <f>'1_Du_lieu'!T468</f>
        <v>1.8357260531889856</v>
      </c>
      <c r="J1982" s="9">
        <f>'1_Du_lieu'!Y468</f>
        <v>9.6381343255674103</v>
      </c>
      <c r="K1982" s="9">
        <f>'1_Du_lieu'!O468</f>
        <v>26.1</v>
      </c>
      <c r="L1982" s="5">
        <f t="shared" si="228"/>
        <v>0</v>
      </c>
      <c r="M1982" s="5">
        <f t="shared" si="229"/>
        <v>0</v>
      </c>
      <c r="N1982" s="5">
        <f t="shared" si="230"/>
        <v>0</v>
      </c>
      <c r="O1982" s="5">
        <f t="shared" si="231"/>
        <v>0</v>
      </c>
      <c r="P1982" s="5">
        <f t="shared" si="232"/>
        <v>1</v>
      </c>
      <c r="Q1982" s="5">
        <f>IF('1_Du_lieu'!C468="ĐBSH",1,0)</f>
        <v>1</v>
      </c>
      <c r="R1982" s="5">
        <f>IF('1_Du_lieu'!C468="BTB&amp;DHMT",1,0)</f>
        <v>0</v>
      </c>
      <c r="S1982" s="5">
        <f>IF('1_Du_lieu'!C468="ĐBSCL",1,0)</f>
        <v>0</v>
      </c>
      <c r="T1982" s="5">
        <f>IF('1_Du_lieu'!C468="TN",1,0)</f>
        <v>0</v>
      </c>
      <c r="U1982" s="5">
        <f>IF('1_Du_lieu'!C468="TDMNPB",1,0)</f>
        <v>0</v>
      </c>
    </row>
    <row r="1983" spans="1:21" x14ac:dyDescent="0.25">
      <c r="A1983" t="s">
        <v>114</v>
      </c>
      <c r="B1983">
        <v>2024</v>
      </c>
      <c r="C1983" s="7">
        <f>'1_Du_lieu'!V469</f>
        <v>2.7080502011022101</v>
      </c>
      <c r="D1983" s="9">
        <f>'1_Du_lieu'!W469</f>
        <v>4.5020294270685781</v>
      </c>
      <c r="E1983" s="9">
        <f>'1_Du_lieu'!L469</f>
        <v>3.9809999999999999</v>
      </c>
      <c r="F1983" s="9">
        <f>'1_Du_lieu'!M469</f>
        <v>28.11</v>
      </c>
      <c r="G1983" s="9">
        <f>'1_Du_lieu'!N469</f>
        <v>14.1</v>
      </c>
      <c r="H1983" s="9">
        <f>'1_Du_lieu'!X469</f>
        <v>1.2939387164844527</v>
      </c>
      <c r="I1983" s="9">
        <f>'1_Du_lieu'!T469</f>
        <v>0.68493150684931503</v>
      </c>
      <c r="J1983" s="9">
        <f>'1_Du_lieu'!Y469</f>
        <v>6.9676266760195276</v>
      </c>
      <c r="K1983" s="9">
        <f>'1_Du_lieu'!O469</f>
        <v>21</v>
      </c>
      <c r="L1983" s="5">
        <f t="shared" si="228"/>
        <v>0</v>
      </c>
      <c r="M1983" s="5">
        <f t="shared" si="229"/>
        <v>0</v>
      </c>
      <c r="N1983" s="5">
        <f t="shared" si="230"/>
        <v>0</v>
      </c>
      <c r="O1983" s="5">
        <f t="shared" si="231"/>
        <v>0</v>
      </c>
      <c r="P1983" s="5">
        <f t="shared" si="232"/>
        <v>1</v>
      </c>
      <c r="Q1983" s="5">
        <f>IF('1_Du_lieu'!C469="ĐBSH",1,0)</f>
        <v>0</v>
      </c>
      <c r="R1983" s="5">
        <f>IF('1_Du_lieu'!C469="BTB&amp;DHMT",1,0)</f>
        <v>0</v>
      </c>
      <c r="S1983" s="5">
        <f>IF('1_Du_lieu'!C469="ĐBSCL",1,0)</f>
        <v>1</v>
      </c>
      <c r="T1983" s="5">
        <f>IF('1_Du_lieu'!C469="TN",1,0)</f>
        <v>0</v>
      </c>
      <c r="U1983" s="5">
        <f>IF('1_Du_lieu'!C469="TDMNPB",1,0)</f>
        <v>0</v>
      </c>
    </row>
    <row r="1984" spans="1:21" x14ac:dyDescent="0.25">
      <c r="A1984" t="s">
        <v>115</v>
      </c>
      <c r="B1984">
        <v>2024</v>
      </c>
      <c r="C1984" s="7">
        <f>'1_Du_lieu'!V470</f>
        <v>3.2188758248682006</v>
      </c>
      <c r="D1984" s="9">
        <f>'1_Du_lieu'!W470</f>
        <v>4.6472713620067267</v>
      </c>
      <c r="E1984" s="9">
        <f>'1_Du_lieu'!L470</f>
        <v>9.0359999999999996</v>
      </c>
      <c r="F1984" s="9">
        <f>'1_Du_lieu'!M470</f>
        <v>42.39</v>
      </c>
      <c r="G1984" s="9">
        <f>'1_Du_lieu'!N470</f>
        <v>26.2</v>
      </c>
      <c r="H1984" s="9">
        <f>'1_Du_lieu'!X470</f>
        <v>3.1546257150891464</v>
      </c>
      <c r="I1984" s="9">
        <f>'1_Du_lieu'!T470</f>
        <v>1.7332387930355315</v>
      </c>
      <c r="J1984" s="9">
        <f>'1_Du_lieu'!Y470</f>
        <v>8.1587738697921548</v>
      </c>
      <c r="K1984" s="9">
        <f>'1_Du_lieu'!O470</f>
        <v>24.4</v>
      </c>
      <c r="L1984" s="5">
        <f t="shared" si="228"/>
        <v>0</v>
      </c>
      <c r="M1984" s="5">
        <f t="shared" si="229"/>
        <v>0</v>
      </c>
      <c r="N1984" s="5">
        <f t="shared" si="230"/>
        <v>0</v>
      </c>
      <c r="O1984" s="5">
        <f t="shared" si="231"/>
        <v>0</v>
      </c>
      <c r="P1984" s="5">
        <f t="shared" si="232"/>
        <v>1</v>
      </c>
      <c r="Q1984" s="5">
        <f>IF('1_Du_lieu'!C470="ĐBSH",1,0)</f>
        <v>0</v>
      </c>
      <c r="R1984" s="5">
        <f>IF('1_Du_lieu'!C470="BTB&amp;DHMT",1,0)</f>
        <v>1</v>
      </c>
      <c r="S1984" s="5">
        <f>IF('1_Du_lieu'!C470="ĐBSCL",1,0)</f>
        <v>0</v>
      </c>
      <c r="T1984" s="5">
        <f>IF('1_Du_lieu'!C470="TN",1,0)</f>
        <v>0</v>
      </c>
      <c r="U1984" s="5">
        <f>IF('1_Du_lieu'!C470="TDMNPB",1,0)</f>
        <v>0</v>
      </c>
    </row>
    <row r="1985" spans="1:21" x14ac:dyDescent="0.25">
      <c r="A1985" t="s">
        <v>116</v>
      </c>
      <c r="B1985">
        <v>2024</v>
      </c>
      <c r="C1985" s="7">
        <f>'1_Du_lieu'!V471</f>
        <v>2.8332133440562162</v>
      </c>
      <c r="D1985" s="9">
        <f>'1_Du_lieu'!W471</f>
        <v>4.3956829611213672</v>
      </c>
      <c r="E1985" s="9">
        <f>'1_Du_lieu'!L471</f>
        <v>4.9249999999999998</v>
      </c>
      <c r="F1985" s="9">
        <f>'1_Du_lieu'!M471</f>
        <v>29.85</v>
      </c>
      <c r="G1985" s="9">
        <f>'1_Du_lieu'!N471</f>
        <v>17.399999999999999</v>
      </c>
      <c r="H1985" s="9">
        <f>'1_Du_lieu'!X471</f>
        <v>0.60361638494950653</v>
      </c>
      <c r="I1985" s="9">
        <f>'1_Du_lieu'!T471</f>
        <v>4.8112299767928901</v>
      </c>
      <c r="J1985" s="9">
        <f>'1_Du_lieu'!Y471</f>
        <v>7.914252278742441</v>
      </c>
      <c r="K1985" s="9">
        <f>'1_Du_lieu'!O471</f>
        <v>19.399999999999999</v>
      </c>
      <c r="L1985" s="5">
        <f t="shared" si="228"/>
        <v>0</v>
      </c>
      <c r="M1985" s="5">
        <f t="shared" si="229"/>
        <v>0</v>
      </c>
      <c r="N1985" s="5">
        <f t="shared" si="230"/>
        <v>0</v>
      </c>
      <c r="O1985" s="5">
        <f t="shared" si="231"/>
        <v>0</v>
      </c>
      <c r="P1985" s="5">
        <f t="shared" si="232"/>
        <v>1</v>
      </c>
      <c r="Q1985" s="5">
        <f>IF('1_Du_lieu'!C471="ĐBSH",1,0)</f>
        <v>0</v>
      </c>
      <c r="R1985" s="5">
        <f>IF('1_Du_lieu'!C471="BTB&amp;DHMT",1,0)</f>
        <v>0</v>
      </c>
      <c r="S1985" s="5">
        <f>IF('1_Du_lieu'!C471="ĐBSCL",1,0)</f>
        <v>1</v>
      </c>
      <c r="T1985" s="5">
        <f>IF('1_Du_lieu'!C471="TN",1,0)</f>
        <v>0</v>
      </c>
      <c r="U1985" s="5">
        <f>IF('1_Du_lieu'!C471="TDMNPB",1,0)</f>
        <v>0</v>
      </c>
    </row>
    <row r="1986" spans="1:21" x14ac:dyDescent="0.25">
      <c r="A1986" t="s">
        <v>117</v>
      </c>
      <c r="B1986">
        <v>2024</v>
      </c>
      <c r="C1986" s="7">
        <f>'1_Du_lieu'!V472</f>
        <v>2.5649493574615367</v>
      </c>
      <c r="D1986" s="9">
        <f>'1_Du_lieu'!W472</f>
        <v>4.2150861799182291</v>
      </c>
      <c r="E1986" s="9">
        <f>'1_Du_lieu'!L472</f>
        <v>3.6059999999999999</v>
      </c>
      <c r="F1986" s="9">
        <f>'1_Du_lieu'!M472</f>
        <v>32.369999999999997</v>
      </c>
      <c r="G1986" s="9">
        <f>'1_Du_lieu'!N472</f>
        <v>18.7</v>
      </c>
      <c r="H1986" s="9">
        <f>'1_Du_lieu'!X472</f>
        <v>2.7554520297049514</v>
      </c>
      <c r="I1986" s="9">
        <f>'1_Du_lieu'!T472</f>
        <v>0.83084081090063144</v>
      </c>
      <c r="J1986" s="9">
        <f>'1_Du_lieu'!Y472</f>
        <v>6.0051208735554678</v>
      </c>
      <c r="K1986" s="9">
        <f>'1_Du_lieu'!O472</f>
        <v>21.7</v>
      </c>
      <c r="L1986" s="5">
        <f t="shared" si="228"/>
        <v>0</v>
      </c>
      <c r="M1986" s="5">
        <f t="shared" si="229"/>
        <v>0</v>
      </c>
      <c r="N1986" s="5">
        <f t="shared" si="230"/>
        <v>0</v>
      </c>
      <c r="O1986" s="5">
        <f t="shared" si="231"/>
        <v>0</v>
      </c>
      <c r="P1986" s="5">
        <f t="shared" si="232"/>
        <v>1</v>
      </c>
      <c r="Q1986" s="5">
        <f>IF('1_Du_lieu'!C472="ĐBSH",1,0)</f>
        <v>0</v>
      </c>
      <c r="R1986" s="5">
        <f>IF('1_Du_lieu'!C472="BTB&amp;DHMT",1,0)</f>
        <v>0</v>
      </c>
      <c r="S1986" s="5">
        <f>IF('1_Du_lieu'!C472="ĐBSCL",1,0)</f>
        <v>0</v>
      </c>
      <c r="T1986" s="5">
        <f>IF('1_Du_lieu'!C472="TN",1,0)</f>
        <v>1</v>
      </c>
      <c r="U1986" s="5">
        <f>IF('1_Du_lieu'!C472="TDMNPB",1,0)</f>
        <v>0</v>
      </c>
    </row>
    <row r="1987" spans="1:21" x14ac:dyDescent="0.25">
      <c r="A1987" t="s">
        <v>119</v>
      </c>
      <c r="B1987">
        <v>2024</v>
      </c>
      <c r="C1987" s="7">
        <f>'1_Du_lieu'!V474</f>
        <v>3.0910424533583161</v>
      </c>
      <c r="D1987" s="9">
        <f>'1_Du_lieu'!W474</f>
        <v>4.6395716127054234</v>
      </c>
      <c r="E1987" s="9">
        <f>'1_Du_lieu'!L474</f>
        <v>7.73</v>
      </c>
      <c r="F1987" s="9">
        <f>'1_Du_lieu'!M474</f>
        <v>18.61</v>
      </c>
      <c r="G1987" s="9">
        <f>'1_Du_lieu'!N474</f>
        <v>17.2</v>
      </c>
      <c r="H1987" s="9">
        <f>'1_Du_lieu'!X474</f>
        <v>1.6112242672103196</v>
      </c>
      <c r="I1987" s="9">
        <f>'1_Du_lieu'!T474</f>
        <v>0.45552898303154543</v>
      </c>
      <c r="J1987" s="9">
        <f>'1_Du_lieu'!Y474</f>
        <v>9.0020115387999873</v>
      </c>
      <c r="K1987" s="9">
        <f>'1_Du_lieu'!O474</f>
        <v>19</v>
      </c>
      <c r="L1987" s="5">
        <f t="shared" si="228"/>
        <v>0</v>
      </c>
      <c r="M1987" s="5">
        <f t="shared" si="229"/>
        <v>0</v>
      </c>
      <c r="N1987" s="5">
        <f t="shared" si="230"/>
        <v>0</v>
      </c>
      <c r="O1987" s="5">
        <f t="shared" si="231"/>
        <v>0</v>
      </c>
      <c r="P1987" s="5">
        <f t="shared" si="232"/>
        <v>1</v>
      </c>
      <c r="Q1987" s="5">
        <f>IF('1_Du_lieu'!C474="ĐBSH",1,0)</f>
        <v>0</v>
      </c>
      <c r="R1987" s="5">
        <f>IF('1_Du_lieu'!C474="BTB&amp;DHMT",1,0)</f>
        <v>0</v>
      </c>
      <c r="S1987" s="5">
        <f>IF('1_Du_lieu'!C474="ĐBSCL",1,0)</f>
        <v>1</v>
      </c>
      <c r="T1987" s="5">
        <f>IF('1_Du_lieu'!C474="TN",1,0)</f>
        <v>0</v>
      </c>
      <c r="U1987" s="5">
        <f>IF('1_Du_lieu'!C474="TDMNPB",1,0)</f>
        <v>0</v>
      </c>
    </row>
    <row r="1988" spans="1:21" x14ac:dyDescent="0.25">
      <c r="A1988" t="s">
        <v>120</v>
      </c>
      <c r="B1988">
        <v>2024</v>
      </c>
      <c r="C1988" s="7">
        <f>'1_Du_lieu'!V475</f>
        <v>2.9957322735539909</v>
      </c>
      <c r="D1988" s="9">
        <f>'1_Du_lieu'!W475</f>
        <v>4.5325994931532563</v>
      </c>
      <c r="E1988" s="9">
        <f>'1_Du_lieu'!L475</f>
        <v>4.7409999999999997</v>
      </c>
      <c r="F1988" s="9">
        <f>'1_Du_lieu'!M475</f>
        <v>27.14</v>
      </c>
      <c r="G1988" s="9">
        <f>'1_Du_lieu'!N475</f>
        <v>24</v>
      </c>
      <c r="H1988" s="9">
        <f>'1_Du_lieu'!X475</f>
        <v>2.3943545508393007</v>
      </c>
      <c r="I1988" s="9">
        <f>'1_Du_lieu'!T475</f>
        <v>1.1360767482958847</v>
      </c>
      <c r="J1988" s="9">
        <f>'1_Du_lieu'!Y475</f>
        <v>6.7199788715052184</v>
      </c>
      <c r="K1988" s="9">
        <f>'1_Du_lieu'!O475</f>
        <v>14.1</v>
      </c>
      <c r="L1988" s="5">
        <f t="shared" si="228"/>
        <v>0</v>
      </c>
      <c r="M1988" s="5">
        <f t="shared" si="229"/>
        <v>0</v>
      </c>
      <c r="N1988" s="5">
        <f t="shared" si="230"/>
        <v>0</v>
      </c>
      <c r="O1988" s="5">
        <f t="shared" si="231"/>
        <v>0</v>
      </c>
      <c r="P1988" s="5">
        <f t="shared" si="232"/>
        <v>1</v>
      </c>
      <c r="Q1988" s="5">
        <f>IF('1_Du_lieu'!C475="ĐBSH",1,0)</f>
        <v>0</v>
      </c>
      <c r="R1988" s="5">
        <f>IF('1_Du_lieu'!C475="BTB&amp;DHMT",1,0)</f>
        <v>0</v>
      </c>
      <c r="S1988" s="5">
        <f>IF('1_Du_lieu'!C475="ĐBSCL",1,0)</f>
        <v>0</v>
      </c>
      <c r="T1988" s="5">
        <f>IF('1_Du_lieu'!C475="TN",1,0)</f>
        <v>0</v>
      </c>
      <c r="U1988" s="5">
        <f>IF('1_Du_lieu'!C475="TDMNPB",1,0)</f>
        <v>1</v>
      </c>
    </row>
    <row r="1989" spans="1:21" x14ac:dyDescent="0.25">
      <c r="A1989" t="s">
        <v>121</v>
      </c>
      <c r="B1989">
        <v>2024</v>
      </c>
      <c r="C1989" s="7">
        <f>'1_Du_lieu'!V476</f>
        <v>3.2580965380214821</v>
      </c>
      <c r="D1989" s="9">
        <f>'1_Du_lieu'!W476</f>
        <v>4.604169685654508</v>
      </c>
      <c r="E1989" s="9">
        <f>'1_Du_lieu'!L476</f>
        <v>5.9939999999999998</v>
      </c>
      <c r="F1989" s="9">
        <f>'1_Du_lieu'!M476</f>
        <v>39.659999999999997</v>
      </c>
      <c r="G1989" s="9">
        <f>'1_Du_lieu'!N476</f>
        <v>23</v>
      </c>
      <c r="H1989" s="9">
        <f>'1_Du_lieu'!X476</f>
        <v>3.0564112921639643</v>
      </c>
      <c r="I1989" s="9">
        <f>'1_Du_lieu'!T476</f>
        <v>0.44036697247706424</v>
      </c>
      <c r="J1989" s="9">
        <f>'1_Du_lieu'!Y476</f>
        <v>6.0100409326809174</v>
      </c>
      <c r="K1989" s="9">
        <f>'1_Du_lieu'!O476</f>
        <v>30.1</v>
      </c>
      <c r="L1989" s="5">
        <f t="shared" si="228"/>
        <v>0</v>
      </c>
      <c r="M1989" s="5">
        <f t="shared" si="229"/>
        <v>0</v>
      </c>
      <c r="N1989" s="5">
        <f t="shared" si="230"/>
        <v>0</v>
      </c>
      <c r="O1989" s="5">
        <f t="shared" si="231"/>
        <v>0</v>
      </c>
      <c r="P1989" s="5">
        <f t="shared" si="232"/>
        <v>1</v>
      </c>
      <c r="Q1989" s="5">
        <f>IF('1_Du_lieu'!C476="ĐBSH",1,0)</f>
        <v>0</v>
      </c>
      <c r="R1989" s="5">
        <f>IF('1_Du_lieu'!C476="BTB&amp;DHMT",1,0)</f>
        <v>0</v>
      </c>
      <c r="S1989" s="5">
        <f>IF('1_Du_lieu'!C476="ĐBSCL",1,0)</f>
        <v>0</v>
      </c>
      <c r="T1989" s="5">
        <f>IF('1_Du_lieu'!C476="TN",1,0)</f>
        <v>1</v>
      </c>
      <c r="U1989" s="5">
        <f>IF('1_Du_lieu'!C476="TDMNPB",1,0)</f>
        <v>0</v>
      </c>
    </row>
    <row r="1990" spans="1:21" x14ac:dyDescent="0.25">
      <c r="A1990" t="s">
        <v>122</v>
      </c>
      <c r="B1990">
        <v>2024</v>
      </c>
      <c r="C1990" s="7">
        <f>'1_Du_lieu'!V477</f>
        <v>2.5649493574615367</v>
      </c>
      <c r="D1990" s="9">
        <f>'1_Du_lieu'!W477</f>
        <v>4.133565275375382</v>
      </c>
      <c r="E1990" s="9">
        <f>'1_Du_lieu'!L477</f>
        <v>3.44</v>
      </c>
      <c r="F1990" s="9">
        <f>'1_Du_lieu'!M477</f>
        <v>23.62</v>
      </c>
      <c r="G1990" s="9">
        <f>'1_Du_lieu'!N477</f>
        <v>29</v>
      </c>
      <c r="H1990" s="9">
        <f>'1_Du_lieu'!X477</f>
        <v>2.2984734576914283</v>
      </c>
      <c r="I1990" s="9">
        <f>'1_Du_lieu'!T477</f>
        <v>0.98280098280098283</v>
      </c>
      <c r="J1990" s="9">
        <f>'1_Du_lieu'!Y477</f>
        <v>6.4515756563294717</v>
      </c>
      <c r="K1990" s="9">
        <f>'1_Du_lieu'!O477</f>
        <v>12.1</v>
      </c>
      <c r="L1990" s="5">
        <f t="shared" si="228"/>
        <v>0</v>
      </c>
      <c r="M1990" s="5">
        <f t="shared" si="229"/>
        <v>0</v>
      </c>
      <c r="N1990" s="5">
        <f t="shared" si="230"/>
        <v>0</v>
      </c>
      <c r="O1990" s="5">
        <f t="shared" si="231"/>
        <v>0</v>
      </c>
      <c r="P1990" s="5">
        <f t="shared" si="232"/>
        <v>1</v>
      </c>
      <c r="Q1990" s="5">
        <f>IF('1_Du_lieu'!C477="ĐBSH",1,0)</f>
        <v>0</v>
      </c>
      <c r="R1990" s="5">
        <f>IF('1_Du_lieu'!C477="BTB&amp;DHMT",1,0)</f>
        <v>0</v>
      </c>
      <c r="S1990" s="5">
        <f>IF('1_Du_lieu'!C477="ĐBSCL",1,0)</f>
        <v>0</v>
      </c>
      <c r="T1990" s="5">
        <f>IF('1_Du_lieu'!C477="TN",1,0)</f>
        <v>0</v>
      </c>
      <c r="U1990" s="5">
        <f>IF('1_Du_lieu'!C477="TDMNPB",1,0)</f>
        <v>1</v>
      </c>
    </row>
    <row r="1991" spans="1:21" x14ac:dyDescent="0.25">
      <c r="A1991" t="s">
        <v>123</v>
      </c>
      <c r="B1991">
        <v>2024</v>
      </c>
      <c r="C1991" s="7">
        <f>'1_Du_lieu'!V478</f>
        <v>3.2580965380214821</v>
      </c>
      <c r="D1991" s="9">
        <f>'1_Du_lieu'!W478</f>
        <v>4.0724397268340509</v>
      </c>
      <c r="E1991" s="9">
        <f>'1_Du_lieu'!L478</f>
        <v>3.9430000000000001</v>
      </c>
      <c r="F1991" s="9">
        <f>'1_Du_lieu'!M478</f>
        <v>20.48</v>
      </c>
      <c r="G1991" s="9">
        <f>'1_Du_lieu'!N478</f>
        <v>23.8</v>
      </c>
      <c r="H1991" s="9">
        <f>'1_Du_lieu'!X478</f>
        <v>2.3705870819969586</v>
      </c>
      <c r="I1991" s="9">
        <f>'1_Du_lieu'!T478</f>
        <v>1.1614401858304297</v>
      </c>
      <c r="J1991" s="9">
        <f>'1_Du_lieu'!Y478</f>
        <v>7.7445264996249579</v>
      </c>
      <c r="K1991" s="9">
        <f>'1_Du_lieu'!O478</f>
        <v>14.8</v>
      </c>
      <c r="L1991" s="5">
        <f t="shared" si="228"/>
        <v>0</v>
      </c>
      <c r="M1991" s="5">
        <f t="shared" si="229"/>
        <v>0</v>
      </c>
      <c r="N1991" s="5">
        <f t="shared" si="230"/>
        <v>0</v>
      </c>
      <c r="O1991" s="5">
        <f t="shared" si="231"/>
        <v>0</v>
      </c>
      <c r="P1991" s="5">
        <f t="shared" si="232"/>
        <v>1</v>
      </c>
      <c r="Q1991" s="5">
        <f>IF('1_Du_lieu'!C478="ĐBSH",1,0)</f>
        <v>1</v>
      </c>
      <c r="R1991" s="5">
        <f>IF('1_Du_lieu'!C478="BTB&amp;DHMT",1,0)</f>
        <v>0</v>
      </c>
      <c r="S1991" s="5">
        <f>IF('1_Du_lieu'!C478="ĐBSCL",1,0)</f>
        <v>0</v>
      </c>
      <c r="T1991" s="5">
        <f>IF('1_Du_lieu'!C478="TN",1,0)</f>
        <v>0</v>
      </c>
      <c r="U1991" s="5">
        <f>IF('1_Du_lieu'!C478="TDMNPB",1,0)</f>
        <v>0</v>
      </c>
    </row>
    <row r="1992" spans="1:21" x14ac:dyDescent="0.25">
      <c r="A1992" t="s">
        <v>124</v>
      </c>
      <c r="B1992">
        <v>2024</v>
      </c>
      <c r="C1992" s="7">
        <f>'1_Du_lieu'!V479</f>
        <v>3.0910424533583161</v>
      </c>
      <c r="D1992" s="9">
        <f>'1_Du_lieu'!W479</f>
        <v>4.1059436980654525</v>
      </c>
      <c r="E1992" s="9">
        <f>'1_Du_lieu'!L479</f>
        <v>4.1280000000000001</v>
      </c>
      <c r="F1992" s="9">
        <f>'1_Du_lieu'!M479</f>
        <v>15.72</v>
      </c>
      <c r="G1992" s="9">
        <f>'1_Du_lieu'!N479</f>
        <v>26.5</v>
      </c>
      <c r="H1992" s="9">
        <f>'1_Du_lieu'!X479</f>
        <v>3.9513035308374196</v>
      </c>
      <c r="I1992" s="9">
        <f>'1_Du_lieu'!T479</f>
        <v>3.5423206520173944</v>
      </c>
      <c r="J1992" s="9">
        <f>'1_Du_lieu'!Y479</f>
        <v>7.4016585235521788</v>
      </c>
      <c r="K1992" s="9">
        <f>'1_Du_lieu'!O479</f>
        <v>17.8</v>
      </c>
      <c r="L1992" s="5">
        <f t="shared" si="228"/>
        <v>0</v>
      </c>
      <c r="M1992" s="5">
        <f t="shared" si="229"/>
        <v>0</v>
      </c>
      <c r="N1992" s="5">
        <f t="shared" si="230"/>
        <v>0</v>
      </c>
      <c r="O1992" s="5">
        <f t="shared" si="231"/>
        <v>0</v>
      </c>
      <c r="P1992" s="5">
        <f t="shared" si="232"/>
        <v>1</v>
      </c>
      <c r="Q1992" s="5">
        <f>IF('1_Du_lieu'!C479="ĐBSH",1,0)</f>
        <v>0</v>
      </c>
      <c r="R1992" s="5">
        <f>IF('1_Du_lieu'!C479="BTB&amp;DHMT",1,0)</f>
        <v>1</v>
      </c>
      <c r="S1992" s="5">
        <f>IF('1_Du_lieu'!C479="ĐBSCL",1,0)</f>
        <v>0</v>
      </c>
      <c r="T1992" s="5">
        <f>IF('1_Du_lieu'!C479="TN",1,0)</f>
        <v>0</v>
      </c>
      <c r="U1992" s="5">
        <f>IF('1_Du_lieu'!C479="TDMNPB",1,0)</f>
        <v>0</v>
      </c>
    </row>
    <row r="1993" spans="1:21" x14ac:dyDescent="0.25">
      <c r="A1993" t="s">
        <v>125</v>
      </c>
      <c r="B1993">
        <v>2024</v>
      </c>
      <c r="C1993" s="7">
        <f>'1_Du_lieu'!V480</f>
        <v>3.1780538303479458</v>
      </c>
      <c r="D1993" s="9">
        <f>'1_Du_lieu'!W480</f>
        <v>4.5152454784601046</v>
      </c>
      <c r="E1993" s="9">
        <f>'1_Du_lieu'!L480</f>
        <v>5.6769999999999996</v>
      </c>
      <c r="F1993" s="9">
        <f>'1_Du_lieu'!M480</f>
        <v>21.81</v>
      </c>
      <c r="G1993" s="9">
        <f>'1_Du_lieu'!N480</f>
        <v>33.9</v>
      </c>
      <c r="H1993" s="9">
        <f>'1_Du_lieu'!X480</f>
        <v>4.1157324997764873</v>
      </c>
      <c r="I1993" s="9">
        <f>'1_Du_lieu'!T480</f>
        <v>3.3970688149082795</v>
      </c>
      <c r="J1993" s="9">
        <f>'1_Du_lieu'!Y480</f>
        <v>7.4975953896761531</v>
      </c>
      <c r="K1993" s="9">
        <f>'1_Du_lieu'!O480</f>
        <v>26</v>
      </c>
      <c r="L1993" s="5">
        <f t="shared" si="228"/>
        <v>0</v>
      </c>
      <c r="M1993" s="5">
        <f t="shared" si="229"/>
        <v>0</v>
      </c>
      <c r="N1993" s="5">
        <f t="shared" si="230"/>
        <v>0</v>
      </c>
      <c r="O1993" s="5">
        <f t="shared" si="231"/>
        <v>0</v>
      </c>
      <c r="P1993" s="5">
        <f t="shared" si="232"/>
        <v>1</v>
      </c>
      <c r="Q1993" s="5">
        <f>IF('1_Du_lieu'!C480="ĐBSH",1,0)</f>
        <v>1</v>
      </c>
      <c r="R1993" s="5">
        <f>IF('1_Du_lieu'!C480="BTB&amp;DHMT",1,0)</f>
        <v>0</v>
      </c>
      <c r="S1993" s="5">
        <f>IF('1_Du_lieu'!C480="ĐBSCL",1,0)</f>
        <v>0</v>
      </c>
      <c r="T1993" s="5">
        <f>IF('1_Du_lieu'!C480="TN",1,0)</f>
        <v>0</v>
      </c>
      <c r="U1993" s="5">
        <f>IF('1_Du_lieu'!C480="TDMNPB",1,0)</f>
        <v>0</v>
      </c>
    </row>
    <row r="1994" spans="1:21" x14ac:dyDescent="0.25">
      <c r="A1994" t="s">
        <v>126</v>
      </c>
      <c r="B1994">
        <v>2024</v>
      </c>
      <c r="C1994" s="7">
        <f>'1_Du_lieu'!V481</f>
        <v>2.8332133440562162</v>
      </c>
      <c r="D1994" s="9">
        <f>'1_Du_lieu'!W481</f>
        <v>4.5507140001920323</v>
      </c>
      <c r="E1994" s="9">
        <f>'1_Du_lieu'!L481</f>
        <v>5.2469999999999999</v>
      </c>
      <c r="F1994" s="9">
        <f>'1_Du_lieu'!M481</f>
        <v>36.18</v>
      </c>
      <c r="G1994" s="9">
        <f>'1_Du_lieu'!N481</f>
        <v>18.600000000000001</v>
      </c>
      <c r="H1994" s="9">
        <f>'1_Du_lieu'!X481</f>
        <v>2.7565786736801647</v>
      </c>
      <c r="I1994" s="9">
        <f>'1_Du_lieu'!T481</f>
        <v>1.3056960992329034</v>
      </c>
      <c r="J1994" s="9">
        <f>'1_Du_lieu'!Y481</f>
        <v>8.379033964007025</v>
      </c>
      <c r="K1994" s="9">
        <f>'1_Du_lieu'!O481</f>
        <v>14.3</v>
      </c>
      <c r="L1994" s="5">
        <f t="shared" si="228"/>
        <v>0</v>
      </c>
      <c r="M1994" s="5">
        <f t="shared" si="229"/>
        <v>0</v>
      </c>
      <c r="N1994" s="5">
        <f t="shared" si="230"/>
        <v>0</v>
      </c>
      <c r="O1994" s="5">
        <f t="shared" si="231"/>
        <v>0</v>
      </c>
      <c r="P1994" s="5">
        <f t="shared" si="232"/>
        <v>1</v>
      </c>
      <c r="Q1994" s="5">
        <f>IF('1_Du_lieu'!C481="ĐBSH",1,0)</f>
        <v>0</v>
      </c>
      <c r="R1994" s="5">
        <f>IF('1_Du_lieu'!C481="BTB&amp;DHMT",1,0)</f>
        <v>1</v>
      </c>
      <c r="S1994" s="5">
        <f>IF('1_Du_lieu'!C481="ĐBSCL",1,0)</f>
        <v>0</v>
      </c>
      <c r="T1994" s="5">
        <f>IF('1_Du_lieu'!C481="TN",1,0)</f>
        <v>0</v>
      </c>
      <c r="U1994" s="5">
        <f>IF('1_Du_lieu'!C481="TDMNPB",1,0)</f>
        <v>0</v>
      </c>
    </row>
    <row r="1995" spans="1:21" x14ac:dyDescent="0.25">
      <c r="A1995" t="s">
        <v>127</v>
      </c>
      <c r="B1995">
        <v>2024</v>
      </c>
      <c r="C1995" s="7">
        <f>'1_Du_lieu'!V482</f>
        <v>3.044522437723423</v>
      </c>
      <c r="D1995" s="9">
        <f>'1_Du_lieu'!W482</f>
        <v>4.2918283667557331</v>
      </c>
      <c r="E1995" s="9">
        <f>'1_Du_lieu'!L482</f>
        <v>4.4370000000000003</v>
      </c>
      <c r="F1995" s="9">
        <f>'1_Du_lieu'!M482</f>
        <v>19.52</v>
      </c>
      <c r="G1995" s="9">
        <f>'1_Du_lieu'!N482</f>
        <v>35.200000000000003</v>
      </c>
      <c r="H1995" s="9">
        <f>'1_Du_lieu'!X482</f>
        <v>3.1923093156516198</v>
      </c>
      <c r="I1995" s="9">
        <f>'1_Du_lieu'!T482</f>
        <v>1.230649653474966</v>
      </c>
      <c r="J1995" s="9">
        <f>'1_Du_lieu'!Y482</f>
        <v>7.7511311727887735</v>
      </c>
      <c r="K1995" s="9">
        <f>'1_Du_lieu'!O482</f>
        <v>29.3</v>
      </c>
      <c r="L1995" s="5">
        <f t="shared" si="228"/>
        <v>0</v>
      </c>
      <c r="M1995" s="5">
        <f t="shared" si="229"/>
        <v>0</v>
      </c>
      <c r="N1995" s="5">
        <f t="shared" si="230"/>
        <v>0</v>
      </c>
      <c r="O1995" s="5">
        <f t="shared" si="231"/>
        <v>0</v>
      </c>
      <c r="P1995" s="5">
        <f t="shared" si="232"/>
        <v>1</v>
      </c>
      <c r="Q1995" s="5">
        <f>IF('1_Du_lieu'!C482="ĐBSH",1,0)</f>
        <v>0</v>
      </c>
      <c r="R1995" s="5">
        <f>IF('1_Du_lieu'!C482="BTB&amp;DHMT",1,0)</f>
        <v>0</v>
      </c>
      <c r="S1995" s="5">
        <f>IF('1_Du_lieu'!C482="ĐBSCL",1,0)</f>
        <v>0</v>
      </c>
      <c r="T1995" s="5">
        <f>IF('1_Du_lieu'!C482="TN",1,0)</f>
        <v>0</v>
      </c>
      <c r="U1995" s="5">
        <f>IF('1_Du_lieu'!C482="TDMNPB",1,0)</f>
        <v>1</v>
      </c>
    </row>
    <row r="1996" spans="1:21" x14ac:dyDescent="0.25">
      <c r="A1996" t="s">
        <v>128</v>
      </c>
      <c r="B1996">
        <v>2024</v>
      </c>
      <c r="C1996" s="7">
        <f>'1_Du_lieu'!V483</f>
        <v>2.7725887222397811</v>
      </c>
      <c r="D1996" s="9">
        <f>'1_Du_lieu'!W483</f>
        <v>4.2224445648494164</v>
      </c>
      <c r="E1996" s="9">
        <f>'1_Du_lieu'!L483</f>
        <v>3.9340000000000002</v>
      </c>
      <c r="F1996" s="9">
        <f>'1_Du_lieu'!M483</f>
        <v>33</v>
      </c>
      <c r="G1996" s="9">
        <f>'1_Du_lieu'!N483</f>
        <v>23.9</v>
      </c>
      <c r="H1996" s="9">
        <f>'1_Du_lieu'!X483</f>
        <v>2.6120265570220109</v>
      </c>
      <c r="I1996" s="9">
        <f>'1_Du_lieu'!T483</f>
        <v>0.45187528242205149</v>
      </c>
      <c r="J1996" s="9">
        <f>'1_Du_lieu'!Y483</f>
        <v>7.6383909039530744</v>
      </c>
      <c r="K1996" s="9">
        <f>'1_Du_lieu'!O483</f>
        <v>19.8</v>
      </c>
      <c r="L1996" s="5">
        <f t="shared" si="228"/>
        <v>0</v>
      </c>
      <c r="M1996" s="5">
        <f t="shared" si="229"/>
        <v>0</v>
      </c>
      <c r="N1996" s="5">
        <f t="shared" si="230"/>
        <v>0</v>
      </c>
      <c r="O1996" s="5">
        <f t="shared" si="231"/>
        <v>0</v>
      </c>
      <c r="P1996" s="5">
        <f t="shared" si="232"/>
        <v>1</v>
      </c>
      <c r="Q1996" s="5">
        <f>IF('1_Du_lieu'!C483="ĐBSH",1,0)</f>
        <v>0</v>
      </c>
      <c r="R1996" s="5">
        <f>IF('1_Du_lieu'!C483="BTB&amp;DHMT",1,0)</f>
        <v>1</v>
      </c>
      <c r="S1996" s="5">
        <f>IF('1_Du_lieu'!C483="ĐBSCL",1,0)</f>
        <v>0</v>
      </c>
      <c r="T1996" s="5">
        <f>IF('1_Du_lieu'!C483="TN",1,0)</f>
        <v>0</v>
      </c>
      <c r="U1996" s="5">
        <f>IF('1_Du_lieu'!C483="TDMNPB",1,0)</f>
        <v>0</v>
      </c>
    </row>
    <row r="1997" spans="1:21" x14ac:dyDescent="0.25">
      <c r="A1997" t="s">
        <v>129</v>
      </c>
      <c r="B1997">
        <v>2024</v>
      </c>
      <c r="C1997" s="7">
        <f>'1_Du_lieu'!V484</f>
        <v>2.8332133440562162</v>
      </c>
      <c r="D1997" s="9">
        <f>'1_Du_lieu'!W484</f>
        <v>4.169761201506855</v>
      </c>
      <c r="E1997" s="9">
        <f>'1_Du_lieu'!L484</f>
        <v>5.6120000000000001</v>
      </c>
      <c r="F1997" s="9">
        <f>'1_Du_lieu'!M484</f>
        <v>23.5</v>
      </c>
      <c r="G1997" s="9">
        <f>'1_Du_lieu'!N484</f>
        <v>28.4</v>
      </c>
      <c r="H1997" s="9">
        <f>'1_Du_lieu'!X484</f>
        <v>3.5835880200760712</v>
      </c>
      <c r="I1997" s="9">
        <f>'1_Du_lieu'!T484</f>
        <v>0.97318339100346019</v>
      </c>
      <c r="J1997" s="9">
        <f>'1_Du_lieu'!Y484</f>
        <v>7.0968041565255184</v>
      </c>
      <c r="K1997" s="9">
        <f>'1_Du_lieu'!O484</f>
        <v>15.4</v>
      </c>
      <c r="L1997" s="5">
        <f t="shared" si="228"/>
        <v>0</v>
      </c>
      <c r="M1997" s="5">
        <f t="shared" si="229"/>
        <v>0</v>
      </c>
      <c r="N1997" s="5">
        <f t="shared" si="230"/>
        <v>0</v>
      </c>
      <c r="O1997" s="5">
        <f t="shared" si="231"/>
        <v>0</v>
      </c>
      <c r="P1997" s="5">
        <f t="shared" si="232"/>
        <v>1</v>
      </c>
      <c r="Q1997" s="5">
        <f>IF('1_Du_lieu'!C484="ĐBSH",1,0)</f>
        <v>0</v>
      </c>
      <c r="R1997" s="5">
        <f>IF('1_Du_lieu'!C484="BTB&amp;DHMT",1,0)</f>
        <v>1</v>
      </c>
      <c r="S1997" s="5">
        <f>IF('1_Du_lieu'!C484="ĐBSCL",1,0)</f>
        <v>0</v>
      </c>
      <c r="T1997" s="5">
        <f>IF('1_Du_lieu'!C484="TN",1,0)</f>
        <v>0</v>
      </c>
      <c r="U1997" s="5">
        <f>IF('1_Du_lieu'!C484="TDMNPB",1,0)</f>
        <v>0</v>
      </c>
    </row>
    <row r="1998" spans="1:21" x14ac:dyDescent="0.25">
      <c r="A1998" t="s">
        <v>130</v>
      </c>
      <c r="B1998">
        <v>2024</v>
      </c>
      <c r="C1998" s="7">
        <f>'1_Du_lieu'!V485</f>
        <v>2.9957322735539909</v>
      </c>
      <c r="D1998" s="9">
        <f>'1_Du_lieu'!W485</f>
        <v>4.4200447018614026</v>
      </c>
      <c r="E1998" s="9">
        <f>'1_Du_lieu'!L485</f>
        <v>5.468</v>
      </c>
      <c r="F1998" s="9">
        <f>'1_Du_lieu'!M485</f>
        <v>30.75</v>
      </c>
      <c r="G1998" s="9">
        <f>'1_Du_lieu'!N485</f>
        <v>28.5</v>
      </c>
      <c r="H1998" s="9">
        <f>'1_Du_lieu'!X485</f>
        <v>2.6971526851914871</v>
      </c>
      <c r="I1998" s="9">
        <f>'1_Du_lieu'!T485</f>
        <v>0.19431310318025777</v>
      </c>
      <c r="J1998" s="9">
        <f>'1_Du_lieu'!Y485</f>
        <v>8.3375879421165102</v>
      </c>
      <c r="K1998" s="9">
        <f>'1_Du_lieu'!O485</f>
        <v>18</v>
      </c>
      <c r="L1998" s="5">
        <f t="shared" si="228"/>
        <v>0</v>
      </c>
      <c r="M1998" s="5">
        <f t="shared" si="229"/>
        <v>0</v>
      </c>
      <c r="N1998" s="5">
        <f t="shared" si="230"/>
        <v>0</v>
      </c>
      <c r="O1998" s="5">
        <f t="shared" si="231"/>
        <v>0</v>
      </c>
      <c r="P1998" s="5">
        <f t="shared" si="232"/>
        <v>1</v>
      </c>
      <c r="Q1998" s="5">
        <f>IF('1_Du_lieu'!C485="ĐBSH",1,0)</f>
        <v>0</v>
      </c>
      <c r="R1998" s="5">
        <f>IF('1_Du_lieu'!C485="BTB&amp;DHMT",1,0)</f>
        <v>1</v>
      </c>
      <c r="S1998" s="5">
        <f>IF('1_Du_lieu'!C485="ĐBSCL",1,0)</f>
        <v>0</v>
      </c>
      <c r="T1998" s="5">
        <f>IF('1_Du_lieu'!C485="TN",1,0)</f>
        <v>0</v>
      </c>
      <c r="U1998" s="5">
        <f>IF('1_Du_lieu'!C485="TDMNPB",1,0)</f>
        <v>0</v>
      </c>
    </row>
    <row r="1999" spans="1:21" x14ac:dyDescent="0.25">
      <c r="A1999" t="s">
        <v>131</v>
      </c>
      <c r="B1999">
        <v>2024</v>
      </c>
      <c r="C1999" s="7">
        <f>'1_Du_lieu'!V486</f>
        <v>2.8332133440562162</v>
      </c>
      <c r="D1999" s="9">
        <f>'1_Du_lieu'!W486</f>
        <v>4.6472713620067267</v>
      </c>
      <c r="E1999" s="9">
        <f>'1_Du_lieu'!L486</f>
        <v>4.4930000000000003</v>
      </c>
      <c r="F1999" s="9">
        <f>'1_Du_lieu'!M486</f>
        <v>22.3</v>
      </c>
      <c r="G1999" s="9">
        <f>'1_Du_lieu'!N486</f>
        <v>27.4</v>
      </c>
      <c r="H1999" s="9">
        <f>'1_Du_lieu'!X486</f>
        <v>2.6075957169644401</v>
      </c>
      <c r="I1999" s="9">
        <f>'1_Du_lieu'!T486</f>
        <v>0.79371378680847671</v>
      </c>
      <c r="J1999" s="9">
        <f>'1_Du_lieu'!Y486</f>
        <v>7.5643422042302797</v>
      </c>
      <c r="K1999" s="9">
        <f>'1_Du_lieu'!O486</f>
        <v>21.9</v>
      </c>
      <c r="L1999" s="5">
        <f t="shared" si="228"/>
        <v>0</v>
      </c>
      <c r="M1999" s="5">
        <f t="shared" si="229"/>
        <v>0</v>
      </c>
      <c r="N1999" s="5">
        <f t="shared" si="230"/>
        <v>0</v>
      </c>
      <c r="O1999" s="5">
        <f t="shared" si="231"/>
        <v>0</v>
      </c>
      <c r="P1999" s="5">
        <f t="shared" si="232"/>
        <v>1</v>
      </c>
      <c r="Q1999" s="5">
        <f>IF('1_Du_lieu'!C486="ĐBSH",1,0)</f>
        <v>0</v>
      </c>
      <c r="R1999" s="5">
        <f>IF('1_Du_lieu'!C486="BTB&amp;DHMT",1,0)</f>
        <v>1</v>
      </c>
      <c r="S1999" s="5">
        <f>IF('1_Du_lieu'!C486="ĐBSCL",1,0)</f>
        <v>0</v>
      </c>
      <c r="T1999" s="5">
        <f>IF('1_Du_lieu'!C486="TN",1,0)</f>
        <v>0</v>
      </c>
      <c r="U1999" s="5">
        <f>IF('1_Du_lieu'!C486="TDMNPB",1,0)</f>
        <v>0</v>
      </c>
    </row>
    <row r="2000" spans="1:21" x14ac:dyDescent="0.25">
      <c r="A2000" t="s">
        <v>132</v>
      </c>
      <c r="B2000">
        <v>2024</v>
      </c>
      <c r="C2000" s="7">
        <f>'1_Du_lieu'!V487</f>
        <v>3.2580965380214821</v>
      </c>
      <c r="D2000" s="9">
        <f>'1_Du_lieu'!W487</f>
        <v>5.4557483744968653</v>
      </c>
      <c r="E2000" s="9">
        <f>'1_Du_lieu'!L487</f>
        <v>7.7060000000000004</v>
      </c>
      <c r="F2000" s="9">
        <f>'1_Du_lieu'!M487</f>
        <v>69.34</v>
      </c>
      <c r="G2000" s="9">
        <f>'1_Du_lieu'!N487</f>
        <v>42.4</v>
      </c>
      <c r="H2000" s="9">
        <f>'1_Du_lieu'!X487</f>
        <v>4.2224025653807038</v>
      </c>
      <c r="I2000" s="9">
        <f>'1_Du_lieu'!T487</f>
        <v>2.3630504833512354</v>
      </c>
      <c r="J2000" s="9">
        <f>'1_Du_lieu'!Y487</f>
        <v>9.3590275827711498</v>
      </c>
      <c r="K2000" s="9">
        <f>'1_Du_lieu'!O487</f>
        <v>6.7</v>
      </c>
      <c r="L2000" s="5">
        <f t="shared" si="228"/>
        <v>0</v>
      </c>
      <c r="M2000" s="5">
        <f t="shared" si="229"/>
        <v>0</v>
      </c>
      <c r="N2000" s="5">
        <f t="shared" si="230"/>
        <v>0</v>
      </c>
      <c r="O2000" s="5">
        <f t="shared" si="231"/>
        <v>0</v>
      </c>
      <c r="P2000" s="5">
        <f t="shared" si="232"/>
        <v>1</v>
      </c>
      <c r="Q2000" s="5">
        <f>IF('1_Du_lieu'!C487="ĐBSH",1,0)</f>
        <v>1</v>
      </c>
      <c r="R2000" s="5">
        <f>IF('1_Du_lieu'!C487="BTB&amp;DHMT",1,0)</f>
        <v>0</v>
      </c>
      <c r="S2000" s="5">
        <f>IF('1_Du_lieu'!C487="ĐBSCL",1,0)</f>
        <v>0</v>
      </c>
      <c r="T2000" s="5">
        <f>IF('1_Du_lieu'!C487="TN",1,0)</f>
        <v>0</v>
      </c>
      <c r="U2000" s="5">
        <f>IF('1_Du_lieu'!C487="TDMNPB",1,0)</f>
        <v>0</v>
      </c>
    </row>
    <row r="2001" spans="1:21" x14ac:dyDescent="0.25">
      <c r="A2001" t="s">
        <v>133</v>
      </c>
      <c r="B2001">
        <v>2024</v>
      </c>
      <c r="C2001" s="7">
        <f>'1_Du_lieu'!V488</f>
        <v>2.8332133440562162</v>
      </c>
      <c r="D2001" s="9">
        <f>'1_Du_lieu'!W488</f>
        <v>4.3438054218536841</v>
      </c>
      <c r="E2001" s="9">
        <f>'1_Du_lieu'!L488</f>
        <v>5.0620000000000003</v>
      </c>
      <c r="F2001" s="9">
        <f>'1_Du_lieu'!M488</f>
        <v>32.770000000000003</v>
      </c>
      <c r="G2001" s="9">
        <f>'1_Du_lieu'!N488</f>
        <v>30</v>
      </c>
      <c r="H2001" s="9">
        <f>'1_Du_lieu'!X488</f>
        <v>3.0647949241597212</v>
      </c>
      <c r="I2001" s="9">
        <f>'1_Du_lieu'!T488</f>
        <v>6.2196601941747565</v>
      </c>
      <c r="J2001" s="9">
        <f>'1_Du_lieu'!Y488</f>
        <v>8.2894641427603997</v>
      </c>
      <c r="K2001" s="9">
        <f>'1_Du_lieu'!O488</f>
        <v>24.5</v>
      </c>
      <c r="L2001" s="5">
        <f t="shared" si="228"/>
        <v>0</v>
      </c>
      <c r="M2001" s="5">
        <f t="shared" si="229"/>
        <v>0</v>
      </c>
      <c r="N2001" s="5">
        <f t="shared" si="230"/>
        <v>0</v>
      </c>
      <c r="O2001" s="5">
        <f t="shared" si="231"/>
        <v>0</v>
      </c>
      <c r="P2001" s="5">
        <f t="shared" si="232"/>
        <v>1</v>
      </c>
      <c r="Q2001" s="5">
        <f>IF('1_Du_lieu'!C488="ĐBSH",1,0)</f>
        <v>0</v>
      </c>
      <c r="R2001" s="5">
        <f>IF('1_Du_lieu'!C488="BTB&amp;DHMT",1,0)</f>
        <v>1</v>
      </c>
      <c r="S2001" s="5">
        <f>IF('1_Du_lieu'!C488="ĐBSCL",1,0)</f>
        <v>0</v>
      </c>
      <c r="T2001" s="5">
        <f>IF('1_Du_lieu'!C488="TN",1,0)</f>
        <v>0</v>
      </c>
      <c r="U2001" s="5">
        <f>IF('1_Du_lieu'!C488="TDMNPB",1,0)</f>
        <v>0</v>
      </c>
    </row>
    <row r="2002" spans="1:21" x14ac:dyDescent="0.25">
      <c r="A2002" t="s">
        <v>134</v>
      </c>
      <c r="B2002">
        <v>2024</v>
      </c>
      <c r="C2002" s="7">
        <f>'1_Du_lieu'!V489</f>
        <v>2.6390573296152584</v>
      </c>
      <c r="D2002" s="9">
        <f>'1_Du_lieu'!W489</f>
        <v>4.1835756959500436</v>
      </c>
      <c r="E2002" s="9">
        <f>'1_Du_lieu'!L489</f>
        <v>2.452</v>
      </c>
      <c r="F2002" s="9">
        <f>'1_Du_lieu'!M489</f>
        <v>34.11</v>
      </c>
      <c r="G2002" s="9">
        <f>'1_Du_lieu'!N489</f>
        <v>12.9</v>
      </c>
      <c r="H2002" s="9">
        <f>'1_Du_lieu'!X489</f>
        <v>1.9109703593385061</v>
      </c>
      <c r="I2002" s="9">
        <f>'1_Du_lieu'!T489</f>
        <v>3.8994441217954035</v>
      </c>
      <c r="J2002" s="9">
        <f>'1_Du_lieu'!Y489</f>
        <v>5.9215784196438159</v>
      </c>
      <c r="K2002" s="9">
        <f>'1_Du_lieu'!O489</f>
        <v>10.5</v>
      </c>
      <c r="L2002" s="5">
        <f t="shared" si="228"/>
        <v>0</v>
      </c>
      <c r="M2002" s="5">
        <f t="shared" si="229"/>
        <v>0</v>
      </c>
      <c r="N2002" s="5">
        <f t="shared" si="230"/>
        <v>0</v>
      </c>
      <c r="O2002" s="5">
        <f t="shared" si="231"/>
        <v>0</v>
      </c>
      <c r="P2002" s="5">
        <f t="shared" si="232"/>
        <v>1</v>
      </c>
      <c r="Q2002" s="5">
        <f>IF('1_Du_lieu'!C489="ĐBSH",1,0)</f>
        <v>0</v>
      </c>
      <c r="R2002" s="5">
        <f>IF('1_Du_lieu'!C489="BTB&amp;DHMT",1,0)</f>
        <v>0</v>
      </c>
      <c r="S2002" s="5">
        <f>IF('1_Du_lieu'!C489="ĐBSCL",1,0)</f>
        <v>1</v>
      </c>
      <c r="T2002" s="5">
        <f>IF('1_Du_lieu'!C489="TN",1,0)</f>
        <v>0</v>
      </c>
      <c r="U2002" s="5">
        <f>IF('1_Du_lieu'!C489="TDMNPB",1,0)</f>
        <v>0</v>
      </c>
    </row>
    <row r="2003" spans="1:21" x14ac:dyDescent="0.25">
      <c r="A2003" t="s">
        <v>136</v>
      </c>
      <c r="B2003">
        <v>2024</v>
      </c>
      <c r="C2003" s="7">
        <f>'1_Du_lieu'!V491</f>
        <v>4.4659081186545837</v>
      </c>
      <c r="D2003" s="9">
        <f>'1_Du_lieu'!W491</f>
        <v>5.2187328872051939</v>
      </c>
      <c r="E2003" s="9">
        <f>'1_Du_lieu'!L491</f>
        <v>28.277999999999999</v>
      </c>
      <c r="F2003" s="9">
        <f>'1_Du_lieu'!M491</f>
        <v>77.84</v>
      </c>
      <c r="G2003" s="9">
        <f>'1_Du_lieu'!N491</f>
        <v>37.5</v>
      </c>
      <c r="H2003" s="9">
        <f>'1_Du_lieu'!X491</f>
        <v>2.7320389062615984</v>
      </c>
      <c r="I2003" s="9">
        <f>'1_Du_lieu'!T491</f>
        <v>3.4054235299048572</v>
      </c>
      <c r="J2003" s="9">
        <f>'1_Du_lieu'!Y491</f>
        <v>8.728846987571476</v>
      </c>
      <c r="K2003" s="9">
        <f>'1_Du_lieu'!O491</f>
        <v>40.4</v>
      </c>
      <c r="L2003" s="5">
        <f t="shared" si="228"/>
        <v>0</v>
      </c>
      <c r="M2003" s="5">
        <f t="shared" si="229"/>
        <v>0</v>
      </c>
      <c r="N2003" s="5">
        <f t="shared" si="230"/>
        <v>0</v>
      </c>
      <c r="O2003" s="5">
        <f t="shared" si="231"/>
        <v>0</v>
      </c>
      <c r="P2003" s="5">
        <f t="shared" si="232"/>
        <v>1</v>
      </c>
      <c r="Q2003" s="5">
        <f>IF('1_Du_lieu'!C491="ĐBSH",1,0)</f>
        <v>0</v>
      </c>
      <c r="R2003" s="5">
        <f>IF('1_Du_lieu'!C491="BTB&amp;DHMT",1,0)</f>
        <v>0</v>
      </c>
      <c r="S2003" s="5">
        <f>IF('1_Du_lieu'!C491="ĐBSCL",1,0)</f>
        <v>0</v>
      </c>
      <c r="T2003" s="5">
        <f>IF('1_Du_lieu'!C491="TN",1,0)</f>
        <v>0</v>
      </c>
      <c r="U2003" s="5">
        <f>IF('1_Du_lieu'!C491="TDMNPB",1,0)</f>
        <v>0</v>
      </c>
    </row>
    <row r="2004" spans="1:21" x14ac:dyDescent="0.25">
      <c r="A2004" t="s">
        <v>137</v>
      </c>
      <c r="B2004">
        <v>2024</v>
      </c>
      <c r="C2004" s="7">
        <f>'1_Du_lieu'!V492</f>
        <v>3.1354942159291497</v>
      </c>
      <c r="D2004" s="9">
        <f>'1_Du_lieu'!W492</f>
        <v>4.3981460165537651</v>
      </c>
      <c r="E2004" s="9">
        <f>'1_Du_lieu'!L492</f>
        <v>4.4729999999999999</v>
      </c>
      <c r="F2004" s="9">
        <f>'1_Du_lieu'!M492</f>
        <v>28.11</v>
      </c>
      <c r="G2004" s="9">
        <f>'1_Du_lieu'!N492</f>
        <v>27.9</v>
      </c>
      <c r="H2004" s="9">
        <f>'1_Du_lieu'!X492</f>
        <v>3.0315516050419387</v>
      </c>
      <c r="I2004" s="9">
        <f>'1_Du_lieu'!T492</f>
        <v>0.77041602465331283</v>
      </c>
      <c r="J2004" s="9">
        <f>'1_Du_lieu'!Y492</f>
        <v>8.3268313983763704</v>
      </c>
      <c r="K2004" s="9">
        <f>'1_Du_lieu'!O492</f>
        <v>14.8</v>
      </c>
      <c r="L2004" s="5">
        <f t="shared" si="228"/>
        <v>0</v>
      </c>
      <c r="M2004" s="5">
        <f t="shared" si="229"/>
        <v>0</v>
      </c>
      <c r="N2004" s="5">
        <f t="shared" si="230"/>
        <v>0</v>
      </c>
      <c r="O2004" s="5">
        <f t="shared" si="231"/>
        <v>0</v>
      </c>
      <c r="P2004" s="5">
        <f t="shared" si="232"/>
        <v>1</v>
      </c>
      <c r="Q2004" s="5">
        <f>IF('1_Du_lieu'!C492="ĐBSH",1,0)</f>
        <v>0</v>
      </c>
      <c r="R2004" s="5">
        <f>IF('1_Du_lieu'!C492="BTB&amp;DHMT",1,0)</f>
        <v>1</v>
      </c>
      <c r="S2004" s="5">
        <f>IF('1_Du_lieu'!C492="ĐBSCL",1,0)</f>
        <v>0</v>
      </c>
      <c r="T2004" s="5">
        <f>IF('1_Du_lieu'!C492="TN",1,0)</f>
        <v>0</v>
      </c>
      <c r="U2004" s="5">
        <f>IF('1_Du_lieu'!C492="TDMNPB",1,0)</f>
        <v>0</v>
      </c>
    </row>
    <row r="2005" spans="1:21" x14ac:dyDescent="0.25">
      <c r="A2005" t="s">
        <v>138</v>
      </c>
      <c r="B2005">
        <v>2024</v>
      </c>
      <c r="C2005" s="7">
        <f>'1_Du_lieu'!V493</f>
        <v>3.0910424533583161</v>
      </c>
      <c r="D2005" s="9">
        <f>'1_Du_lieu'!W493</f>
        <v>4.2326561780196128</v>
      </c>
      <c r="E2005" s="9">
        <f>'1_Du_lieu'!L493</f>
        <v>3.673</v>
      </c>
      <c r="F2005" s="9">
        <f>'1_Du_lieu'!M493</f>
        <v>11.88</v>
      </c>
      <c r="G2005" s="9">
        <f>'1_Du_lieu'!N493</f>
        <v>23.9</v>
      </c>
      <c r="H2005" s="9">
        <f>'1_Du_lieu'!X493</f>
        <v>2.0788859493644658</v>
      </c>
      <c r="I2005" s="9">
        <f>'1_Du_lieu'!T493</f>
        <v>0.89928057553956831</v>
      </c>
      <c r="J2005" s="9">
        <f>'1_Du_lieu'!Y493</f>
        <v>8.0432457957366807</v>
      </c>
      <c r="K2005" s="9">
        <f>'1_Du_lieu'!O493</f>
        <v>20.3</v>
      </c>
      <c r="L2005" s="5">
        <f t="shared" si="228"/>
        <v>0</v>
      </c>
      <c r="M2005" s="5">
        <f t="shared" si="229"/>
        <v>0</v>
      </c>
      <c r="N2005" s="5">
        <f t="shared" si="230"/>
        <v>0</v>
      </c>
      <c r="O2005" s="5">
        <f t="shared" si="231"/>
        <v>0</v>
      </c>
      <c r="P2005" s="5">
        <f t="shared" si="232"/>
        <v>1</v>
      </c>
      <c r="Q2005" s="5">
        <f>IF('1_Du_lieu'!C493="ĐBSH",1,0)</f>
        <v>1</v>
      </c>
      <c r="R2005" s="5">
        <f>IF('1_Du_lieu'!C493="BTB&amp;DHMT",1,0)</f>
        <v>0</v>
      </c>
      <c r="S2005" s="5">
        <f>IF('1_Du_lieu'!C493="ĐBSCL",1,0)</f>
        <v>0</v>
      </c>
      <c r="T2005" s="5">
        <f>IF('1_Du_lieu'!C493="TN",1,0)</f>
        <v>0</v>
      </c>
      <c r="U2005" s="5">
        <f>IF('1_Du_lieu'!C493="TDMNPB",1,0)</f>
        <v>0</v>
      </c>
    </row>
    <row r="2006" spans="1:21" x14ac:dyDescent="0.25">
      <c r="A2006" t="s">
        <v>139</v>
      </c>
      <c r="B2006">
        <v>2024</v>
      </c>
      <c r="C2006" s="7">
        <f>'1_Du_lieu'!V494</f>
        <v>2.9957322735539909</v>
      </c>
      <c r="D2006" s="9">
        <f>'1_Du_lieu'!W494</f>
        <v>4.7405748229942946</v>
      </c>
      <c r="E2006" s="9">
        <f>'1_Du_lieu'!L494</f>
        <v>4.4560000000000004</v>
      </c>
      <c r="F2006" s="9">
        <f>'1_Du_lieu'!M494</f>
        <v>40.729999999999997</v>
      </c>
      <c r="G2006" s="9">
        <f>'1_Du_lieu'!N494</f>
        <v>38.1</v>
      </c>
      <c r="H2006" s="9">
        <f>'1_Du_lieu'!X494</f>
        <v>3.7905172932687372</v>
      </c>
      <c r="I2006" s="9">
        <f>'1_Du_lieu'!T494</f>
        <v>1.1719894520949312</v>
      </c>
      <c r="J2006" s="9">
        <f>'1_Du_lieu'!Y494</f>
        <v>8.9982974797328783</v>
      </c>
      <c r="K2006" s="9">
        <f>'1_Du_lieu'!O494</f>
        <v>17.7</v>
      </c>
      <c r="L2006" s="5">
        <f t="shared" si="228"/>
        <v>0</v>
      </c>
      <c r="M2006" s="5">
        <f t="shared" si="229"/>
        <v>0</v>
      </c>
      <c r="N2006" s="5">
        <f t="shared" si="230"/>
        <v>0</v>
      </c>
      <c r="O2006" s="5">
        <f t="shared" si="231"/>
        <v>0</v>
      </c>
      <c r="P2006" s="5">
        <f t="shared" si="232"/>
        <v>1</v>
      </c>
      <c r="Q2006" s="5">
        <f>IF('1_Du_lieu'!C494="ĐBSH",1,0)</f>
        <v>0</v>
      </c>
      <c r="R2006" s="5">
        <f>IF('1_Du_lieu'!C494="BTB&amp;DHMT",1,0)</f>
        <v>0</v>
      </c>
      <c r="S2006" s="5">
        <f>IF('1_Du_lieu'!C494="ĐBSCL",1,0)</f>
        <v>0</v>
      </c>
      <c r="T2006" s="5">
        <f>IF('1_Du_lieu'!C494="TN",1,0)</f>
        <v>0</v>
      </c>
      <c r="U2006" s="5">
        <f>IF('1_Du_lieu'!C494="TDMNPB",1,0)</f>
        <v>1</v>
      </c>
    </row>
    <row r="2007" spans="1:21" x14ac:dyDescent="0.25">
      <c r="A2007" t="s">
        <v>141</v>
      </c>
      <c r="B2007">
        <v>2024</v>
      </c>
      <c r="C2007" s="7">
        <f>'1_Du_lieu'!V496</f>
        <v>2.8332133440562162</v>
      </c>
      <c r="D2007" s="9">
        <f>'1_Du_lieu'!W496</f>
        <v>4.3412046401536264</v>
      </c>
      <c r="E2007" s="9">
        <f>'1_Du_lieu'!L496</f>
        <v>3.3769999999999998</v>
      </c>
      <c r="F2007" s="9">
        <f>'1_Du_lieu'!M496</f>
        <v>16.850000000000001</v>
      </c>
      <c r="G2007" s="9">
        <f>'1_Du_lieu'!N496</f>
        <v>15.3</v>
      </c>
      <c r="H2007" s="9">
        <f>'1_Du_lieu'!X496</f>
        <v>0.72374167202848938</v>
      </c>
      <c r="I2007" s="9">
        <f>'1_Du_lieu'!T496</f>
        <v>0.890818996715105</v>
      </c>
      <c r="J2007" s="9">
        <f>'1_Du_lieu'!Y496</f>
        <v>7.4226725206513811</v>
      </c>
      <c r="K2007" s="9">
        <f>'1_Du_lieu'!O496</f>
        <v>18.7</v>
      </c>
      <c r="L2007" s="5">
        <f t="shared" si="228"/>
        <v>0</v>
      </c>
      <c r="M2007" s="5">
        <f t="shared" si="229"/>
        <v>0</v>
      </c>
      <c r="N2007" s="5">
        <f t="shared" si="230"/>
        <v>0</v>
      </c>
      <c r="O2007" s="5">
        <f t="shared" si="231"/>
        <v>0</v>
      </c>
      <c r="P2007" s="5">
        <f t="shared" si="232"/>
        <v>1</v>
      </c>
      <c r="Q2007" s="5">
        <f>IF('1_Du_lieu'!C496="ĐBSH",1,0)</f>
        <v>0</v>
      </c>
      <c r="R2007" s="5">
        <f>IF('1_Du_lieu'!C496="BTB&amp;DHMT",1,0)</f>
        <v>0</v>
      </c>
      <c r="S2007" s="5">
        <f>IF('1_Du_lieu'!C496="ĐBSCL",1,0)</f>
        <v>1</v>
      </c>
      <c r="T2007" s="5">
        <f>IF('1_Du_lieu'!C496="TN",1,0)</f>
        <v>0</v>
      </c>
      <c r="U2007" s="5">
        <f>IF('1_Du_lieu'!C496="TDMNPB",1,0)</f>
        <v>0</v>
      </c>
    </row>
    <row r="2008" spans="1:21" x14ac:dyDescent="0.25">
      <c r="A2008" t="s">
        <v>142</v>
      </c>
      <c r="B2008">
        <v>2024</v>
      </c>
      <c r="C2008" s="7">
        <f>'1_Du_lieu'!V497</f>
        <v>2.6390573296152584</v>
      </c>
      <c r="D2008" s="9">
        <f>'1_Du_lieu'!W497</f>
        <v>4.5538768916005408</v>
      </c>
      <c r="E2008" s="9">
        <f>'1_Du_lieu'!L497</f>
        <v>2.7360000000000002</v>
      </c>
      <c r="F2008" s="9">
        <f>'1_Du_lieu'!M497</f>
        <v>18.46</v>
      </c>
      <c r="G2008" s="9">
        <f>'1_Du_lieu'!N497</f>
        <v>17.399999999999999</v>
      </c>
      <c r="H2008" s="9">
        <f>'1_Du_lieu'!X497</f>
        <v>2.1194779948103237</v>
      </c>
      <c r="I2008" s="9">
        <f>'1_Du_lieu'!T497</f>
        <v>0.8789920890711983</v>
      </c>
      <c r="J2008" s="9">
        <f>'1_Du_lieu'!Y497</f>
        <v>8.0470295493691371</v>
      </c>
      <c r="K2008" s="9">
        <f>'1_Du_lieu'!O497</f>
        <v>4.3</v>
      </c>
      <c r="L2008" s="5">
        <f t="shared" ref="L2008:L2018" si="233">IF(B2008=2020,1,0)</f>
        <v>0</v>
      </c>
      <c r="M2008" s="5">
        <f t="shared" ref="M2008:M2018" si="234">IF(B2008=2021,1,0)</f>
        <v>0</v>
      </c>
      <c r="N2008" s="5">
        <f t="shared" ref="N2008:N2018" si="235">IF(B2008=2022,1,0)</f>
        <v>0</v>
      </c>
      <c r="O2008" s="5">
        <f t="shared" ref="O2008:O2018" si="236">IF(B2008=2023,1,0)</f>
        <v>0</v>
      </c>
      <c r="P2008" s="5">
        <f t="shared" ref="P2008:P2018" si="237">IF(B2008=2024,1,0)</f>
        <v>1</v>
      </c>
      <c r="Q2008" s="5">
        <f>IF('1_Du_lieu'!C497="ĐBSH",1,0)</f>
        <v>0</v>
      </c>
      <c r="R2008" s="5">
        <f>IF('1_Du_lieu'!C497="BTB&amp;DHMT",1,0)</f>
        <v>0</v>
      </c>
      <c r="S2008" s="5">
        <f>IF('1_Du_lieu'!C497="ĐBSCL",1,0)</f>
        <v>1</v>
      </c>
      <c r="T2008" s="5">
        <f>IF('1_Du_lieu'!C497="TN",1,0)</f>
        <v>0</v>
      </c>
      <c r="U2008" s="5">
        <f>IF('1_Du_lieu'!C497="TDMNPB",1,0)</f>
        <v>0</v>
      </c>
    </row>
    <row r="2009" spans="1:21" x14ac:dyDescent="0.25">
      <c r="A2009" t="s">
        <v>143</v>
      </c>
      <c r="B2009">
        <v>2024</v>
      </c>
      <c r="C2009" s="7">
        <f>'1_Du_lieu'!V498</f>
        <v>2.5649493574615367</v>
      </c>
      <c r="D2009" s="9">
        <f>'1_Du_lieu'!W498</f>
        <v>4.0943445622221004</v>
      </c>
      <c r="E2009" s="9">
        <f>'1_Du_lieu'!L498</f>
        <v>2.3330000000000002</v>
      </c>
      <c r="F2009" s="9">
        <f>'1_Du_lieu'!M498</f>
        <v>19.41</v>
      </c>
      <c r="G2009" s="9">
        <f>'1_Du_lieu'!N498</f>
        <v>22.5</v>
      </c>
      <c r="H2009" s="9">
        <f>'1_Du_lieu'!X498</f>
        <v>3.5099812641148551</v>
      </c>
      <c r="I2009" s="9">
        <f>'1_Du_lieu'!T498</f>
        <v>0.7314397171766428</v>
      </c>
      <c r="J2009" s="9">
        <f>'1_Du_lieu'!Y498</f>
        <v>5.7071102647488754</v>
      </c>
      <c r="K2009" s="9">
        <f>'1_Du_lieu'!O498</f>
        <v>16</v>
      </c>
      <c r="L2009" s="5">
        <f t="shared" si="233"/>
        <v>0</v>
      </c>
      <c r="M2009" s="5">
        <f t="shared" si="234"/>
        <v>0</v>
      </c>
      <c r="N2009" s="5">
        <f t="shared" si="235"/>
        <v>0</v>
      </c>
      <c r="O2009" s="5">
        <f t="shared" si="236"/>
        <v>0</v>
      </c>
      <c r="P2009" s="5">
        <f t="shared" si="237"/>
        <v>1</v>
      </c>
      <c r="Q2009" s="5">
        <f>IF('1_Du_lieu'!C498="ĐBSH",1,0)</f>
        <v>0</v>
      </c>
      <c r="R2009" s="5">
        <f>IF('1_Du_lieu'!C498="BTB&amp;DHMT",1,0)</f>
        <v>0</v>
      </c>
      <c r="S2009" s="5">
        <f>IF('1_Du_lieu'!C498="ĐBSCL",1,0)</f>
        <v>0</v>
      </c>
      <c r="T2009" s="5">
        <f>IF('1_Du_lieu'!C498="TN",1,0)</f>
        <v>0</v>
      </c>
      <c r="U2009" s="5">
        <f>IF('1_Du_lieu'!C498="TDMNPB",1,0)</f>
        <v>1</v>
      </c>
    </row>
    <row r="2010" spans="1:21" x14ac:dyDescent="0.25">
      <c r="A2010" t="s">
        <v>144</v>
      </c>
      <c r="B2010">
        <v>2024</v>
      </c>
      <c r="C2010" s="7">
        <f>'1_Du_lieu'!V499</f>
        <v>2.9444389791664403</v>
      </c>
      <c r="D2010" s="9">
        <f>'1_Du_lieu'!W499</f>
        <v>4.6405373298253823</v>
      </c>
      <c r="E2010" s="9">
        <f>'1_Du_lieu'!L499</f>
        <v>4.3609999999999998</v>
      </c>
      <c r="F2010" s="9">
        <f>'1_Du_lieu'!M499</f>
        <v>32.57</v>
      </c>
      <c r="G2010" s="9">
        <f>'1_Du_lieu'!N499</f>
        <v>20.100000000000001</v>
      </c>
      <c r="H2010" s="9">
        <f>'1_Du_lieu'!X499</f>
        <v>2.833042160172516</v>
      </c>
      <c r="I2010" s="9">
        <f>'1_Du_lieu'!T499</f>
        <v>1.1639507815098105</v>
      </c>
      <c r="J2010" s="9">
        <f>'1_Du_lieu'!Y499</f>
        <v>9.0344620131290867</v>
      </c>
      <c r="K2010" s="9">
        <f>'1_Du_lieu'!O499</f>
        <v>13.8</v>
      </c>
      <c r="L2010" s="5">
        <f t="shared" si="233"/>
        <v>0</v>
      </c>
      <c r="M2010" s="5">
        <f t="shared" si="234"/>
        <v>0</v>
      </c>
      <c r="N2010" s="5">
        <f t="shared" si="235"/>
        <v>0</v>
      </c>
      <c r="O2010" s="5">
        <f t="shared" si="236"/>
        <v>0</v>
      </c>
      <c r="P2010" s="5">
        <f t="shared" si="237"/>
        <v>1</v>
      </c>
      <c r="Q2010" s="5">
        <f>IF('1_Du_lieu'!C499="ĐBSH",1,0)</f>
        <v>0</v>
      </c>
      <c r="R2010" s="5">
        <f>IF('1_Du_lieu'!C499="BTB&amp;DHMT",1,0)</f>
        <v>0</v>
      </c>
      <c r="S2010" s="5">
        <f>IF('1_Du_lieu'!C499="ĐBSCL",1,0)</f>
        <v>0</v>
      </c>
      <c r="T2010" s="5">
        <f>IF('1_Du_lieu'!C499="TN",1,0)</f>
        <v>0</v>
      </c>
      <c r="U2010" s="5">
        <f>IF('1_Du_lieu'!C499="TDMNPB",1,0)</f>
        <v>0</v>
      </c>
    </row>
    <row r="2011" spans="1:21" x14ac:dyDescent="0.25">
      <c r="A2011" t="s">
        <v>145</v>
      </c>
      <c r="B2011">
        <v>2024</v>
      </c>
      <c r="C2011" s="7">
        <f>'1_Du_lieu'!V500</f>
        <v>2.6390573296152584</v>
      </c>
      <c r="D2011" s="9">
        <f>'1_Du_lieu'!W500</f>
        <v>4.3932138240644463</v>
      </c>
      <c r="E2011" s="9">
        <f>'1_Du_lieu'!L500</f>
        <v>3.0339999999999998</v>
      </c>
      <c r="F2011" s="9">
        <f>'1_Du_lieu'!M500</f>
        <v>22.92</v>
      </c>
      <c r="G2011" s="9">
        <f>'1_Du_lieu'!N500</f>
        <v>17.100000000000001</v>
      </c>
      <c r="H2011" s="9">
        <f>'1_Du_lieu'!X500</f>
        <v>0.73663024134596156</v>
      </c>
      <c r="I2011" s="9">
        <f>'1_Du_lieu'!T500</f>
        <v>0.67482888267617858</v>
      </c>
      <c r="J2011" s="9">
        <f>'1_Du_lieu'!Y500</f>
        <v>6.9775611532260999</v>
      </c>
      <c r="K2011" s="9">
        <f>'1_Du_lieu'!O500</f>
        <v>16.600000000000001</v>
      </c>
      <c r="L2011" s="5">
        <f t="shared" si="233"/>
        <v>0</v>
      </c>
      <c r="M2011" s="5">
        <f t="shared" si="234"/>
        <v>0</v>
      </c>
      <c r="N2011" s="5">
        <f t="shared" si="235"/>
        <v>0</v>
      </c>
      <c r="O2011" s="5">
        <f t="shared" si="236"/>
        <v>0</v>
      </c>
      <c r="P2011" s="5">
        <f t="shared" si="237"/>
        <v>1</v>
      </c>
      <c r="Q2011" s="5">
        <f>IF('1_Du_lieu'!C500="ĐBSH",1,0)</f>
        <v>0</v>
      </c>
      <c r="R2011" s="5">
        <f>IF('1_Du_lieu'!C500="BTB&amp;DHMT",1,0)</f>
        <v>0</v>
      </c>
      <c r="S2011" s="5">
        <f>IF('1_Du_lieu'!C500="ĐBSCL",1,0)</f>
        <v>1</v>
      </c>
      <c r="T2011" s="5">
        <f>IF('1_Du_lieu'!C500="TN",1,0)</f>
        <v>0</v>
      </c>
      <c r="U2011" s="5">
        <f>IF('1_Du_lieu'!C500="TDMNPB",1,0)</f>
        <v>0</v>
      </c>
    </row>
    <row r="2012" spans="1:21" x14ac:dyDescent="0.25">
      <c r="A2012" t="s">
        <v>146</v>
      </c>
      <c r="B2012">
        <v>2024</v>
      </c>
      <c r="C2012" s="7">
        <f>'1_Du_lieu'!V501</f>
        <v>3.1780538303479458</v>
      </c>
      <c r="D2012" s="9">
        <f>'1_Du_lieu'!W501</f>
        <v>4.9494688588587685</v>
      </c>
      <c r="E2012" s="9">
        <f>'1_Du_lieu'!L501</f>
        <v>8.3569999999999993</v>
      </c>
      <c r="F2012" s="9">
        <f>'1_Du_lieu'!M501</f>
        <v>34</v>
      </c>
      <c r="G2012" s="9">
        <f>'1_Du_lieu'!N501</f>
        <v>37.299999999999997</v>
      </c>
      <c r="H2012" s="9">
        <f>'1_Du_lieu'!X501</f>
        <v>3.1825494093573443</v>
      </c>
      <c r="I2012" s="9">
        <f>'1_Du_lieu'!T501</f>
        <v>0.73451399657226801</v>
      </c>
      <c r="J2012" s="9">
        <f>'1_Du_lieu'!Y501</f>
        <v>8.7034901690763391</v>
      </c>
      <c r="K2012" s="9">
        <f>'1_Du_lieu'!O501</f>
        <v>37.200000000000003</v>
      </c>
      <c r="L2012" s="5">
        <f t="shared" si="233"/>
        <v>0</v>
      </c>
      <c r="M2012" s="5">
        <f t="shared" si="234"/>
        <v>0</v>
      </c>
      <c r="N2012" s="5">
        <f t="shared" si="235"/>
        <v>0</v>
      </c>
      <c r="O2012" s="5">
        <f t="shared" si="236"/>
        <v>0</v>
      </c>
      <c r="P2012" s="5">
        <f t="shared" si="237"/>
        <v>1</v>
      </c>
      <c r="Q2012" s="5">
        <f>IF('1_Du_lieu'!C501="ĐBSH",1,0)</f>
        <v>1</v>
      </c>
      <c r="R2012" s="5">
        <f>IF('1_Du_lieu'!C501="BTB&amp;DHMT",1,0)</f>
        <v>0</v>
      </c>
      <c r="S2012" s="5">
        <f>IF('1_Du_lieu'!C501="ĐBSCL",1,0)</f>
        <v>0</v>
      </c>
      <c r="T2012" s="5">
        <f>IF('1_Du_lieu'!C501="TN",1,0)</f>
        <v>0</v>
      </c>
      <c r="U2012" s="5">
        <f>IF('1_Du_lieu'!C501="TDMNPB",1,0)</f>
        <v>0</v>
      </c>
    </row>
    <row r="2013" spans="1:21" x14ac:dyDescent="0.25">
      <c r="A2013" t="s">
        <v>147</v>
      </c>
      <c r="B2013">
        <v>2024</v>
      </c>
      <c r="C2013" s="7">
        <f>'1_Du_lieu'!V502</f>
        <v>2.6390573296152584</v>
      </c>
      <c r="D2013" s="9">
        <f>'1_Du_lieu'!W502</f>
        <v>4.0127729085282891</v>
      </c>
      <c r="E2013" s="9">
        <f>'1_Du_lieu'!L502</f>
        <v>2.66</v>
      </c>
      <c r="F2013" s="9">
        <f>'1_Du_lieu'!M502</f>
        <v>20.97</v>
      </c>
      <c r="G2013" s="9">
        <f>'1_Du_lieu'!N502</f>
        <v>24.2</v>
      </c>
      <c r="H2013" s="9">
        <f>'1_Du_lieu'!X502</f>
        <v>2.9885687777542134</v>
      </c>
      <c r="I2013" s="9">
        <f>'1_Du_lieu'!T502</f>
        <v>0.23137436372049977</v>
      </c>
      <c r="J2013" s="9">
        <f>'1_Du_lieu'!Y502</f>
        <v>6.1588839496498302</v>
      </c>
      <c r="K2013" s="9">
        <f>'1_Du_lieu'!O502</f>
        <v>19.600000000000001</v>
      </c>
      <c r="L2013" s="5">
        <f t="shared" si="233"/>
        <v>0</v>
      </c>
      <c r="M2013" s="5">
        <f t="shared" si="234"/>
        <v>0</v>
      </c>
      <c r="N2013" s="5">
        <f t="shared" si="235"/>
        <v>0</v>
      </c>
      <c r="O2013" s="5">
        <f t="shared" si="236"/>
        <v>0</v>
      </c>
      <c r="P2013" s="5">
        <f t="shared" si="237"/>
        <v>1</v>
      </c>
      <c r="Q2013" s="5">
        <f>IF('1_Du_lieu'!C502="ĐBSH",1,0)</f>
        <v>0</v>
      </c>
      <c r="R2013" s="5">
        <f>IF('1_Du_lieu'!C502="BTB&amp;DHMT",1,0)</f>
        <v>0</v>
      </c>
      <c r="S2013" s="5">
        <f>IF('1_Du_lieu'!C502="ĐBSCL",1,0)</f>
        <v>0</v>
      </c>
      <c r="T2013" s="5">
        <f>IF('1_Du_lieu'!C502="TN",1,0)</f>
        <v>0</v>
      </c>
      <c r="U2013" s="5">
        <f>IF('1_Du_lieu'!C502="TDMNPB",1,0)</f>
        <v>1</v>
      </c>
    </row>
    <row r="2014" spans="1:21" x14ac:dyDescent="0.25">
      <c r="A2014" t="s">
        <v>149</v>
      </c>
      <c r="B2014">
        <v>2024</v>
      </c>
      <c r="C2014" s="7">
        <f>'1_Du_lieu'!V504</f>
        <v>3.8501476017100584</v>
      </c>
      <c r="D2014" s="9">
        <f>'1_Du_lieu'!W504</f>
        <v>4.78164132910387</v>
      </c>
      <c r="E2014" s="9">
        <f>'1_Du_lieu'!L504</f>
        <v>19.88</v>
      </c>
      <c r="F2014" s="9">
        <f>'1_Du_lieu'!M504</f>
        <v>87.81</v>
      </c>
      <c r="G2014" s="9">
        <f>'1_Du_lieu'!N504</f>
        <v>51.3</v>
      </c>
      <c r="H2014" s="9">
        <f>'1_Du_lieu'!X504</f>
        <v>3.7381117507120294</v>
      </c>
      <c r="I2014" s="9">
        <f>'1_Du_lieu'!T504</f>
        <v>6.1912225705329149</v>
      </c>
      <c r="J2014" s="9">
        <f>'1_Du_lieu'!Y504</f>
        <v>8.5779119264509429</v>
      </c>
      <c r="K2014" s="9">
        <f>'1_Du_lieu'!O504</f>
        <v>46.3</v>
      </c>
      <c r="L2014" s="5">
        <f t="shared" si="233"/>
        <v>0</v>
      </c>
      <c r="M2014" s="5">
        <f t="shared" si="234"/>
        <v>0</v>
      </c>
      <c r="N2014" s="5">
        <f t="shared" si="235"/>
        <v>0</v>
      </c>
      <c r="O2014" s="5">
        <f t="shared" si="236"/>
        <v>0</v>
      </c>
      <c r="P2014" s="5">
        <f t="shared" si="237"/>
        <v>1</v>
      </c>
      <c r="Q2014" s="5">
        <f>IF('1_Du_lieu'!C504="ĐBSH",1,0)</f>
        <v>0</v>
      </c>
      <c r="R2014" s="5">
        <f>IF('1_Du_lieu'!C504="BTB&amp;DHMT",1,0)</f>
        <v>1</v>
      </c>
      <c r="S2014" s="5">
        <f>IF('1_Du_lieu'!C504="ĐBSCL",1,0)</f>
        <v>0</v>
      </c>
      <c r="T2014" s="5">
        <f>IF('1_Du_lieu'!C504="TN",1,0)</f>
        <v>0</v>
      </c>
      <c r="U2014" s="5">
        <f>IF('1_Du_lieu'!C504="TDMNPB",1,0)</f>
        <v>0</v>
      </c>
    </row>
    <row r="2015" spans="1:21" x14ac:dyDescent="0.25">
      <c r="A2015" t="s">
        <v>150</v>
      </c>
      <c r="B2015">
        <v>2024</v>
      </c>
      <c r="C2015" s="7">
        <f>'1_Du_lieu'!V505</f>
        <v>3.1354942159291497</v>
      </c>
      <c r="D2015" s="9">
        <f>'1_Du_lieu'!W505</f>
        <v>4.2835865618606288</v>
      </c>
      <c r="E2015" s="9">
        <f>'1_Du_lieu'!L505</f>
        <v>4.2039999999999997</v>
      </c>
      <c r="F2015" s="9">
        <f>'1_Du_lieu'!M505</f>
        <v>26.09</v>
      </c>
      <c r="G2015" s="9">
        <f>'1_Du_lieu'!N505</f>
        <v>19.600000000000001</v>
      </c>
      <c r="H2015" s="9">
        <f>'1_Du_lieu'!X505</f>
        <v>2.4325319422065355</v>
      </c>
      <c r="I2015" s="9">
        <f>'1_Du_lieu'!T505</f>
        <v>0.56520398725721921</v>
      </c>
      <c r="J2015" s="9">
        <f>'1_Du_lieu'!Y505</f>
        <v>5.9191626353525768</v>
      </c>
      <c r="K2015" s="9">
        <f>'1_Du_lieu'!O505</f>
        <v>21.8</v>
      </c>
      <c r="L2015" s="5">
        <f t="shared" si="233"/>
        <v>0</v>
      </c>
      <c r="M2015" s="5">
        <f t="shared" si="234"/>
        <v>0</v>
      </c>
      <c r="N2015" s="5">
        <f t="shared" si="235"/>
        <v>0</v>
      </c>
      <c r="O2015" s="5">
        <f t="shared" si="236"/>
        <v>0</v>
      </c>
      <c r="P2015" s="5">
        <f t="shared" si="237"/>
        <v>1</v>
      </c>
      <c r="Q2015" s="5">
        <f>IF('1_Du_lieu'!C505="ĐBSH",1,0)</f>
        <v>0</v>
      </c>
      <c r="R2015" s="5">
        <f>IF('1_Du_lieu'!C505="BTB&amp;DHMT",1,0)</f>
        <v>0</v>
      </c>
      <c r="S2015" s="5">
        <f>IF('1_Du_lieu'!C505="ĐBSCL",1,0)</f>
        <v>0</v>
      </c>
      <c r="T2015" s="5">
        <f>IF('1_Du_lieu'!C505="TN",1,0)</f>
        <v>1</v>
      </c>
      <c r="U2015" s="5">
        <f>IF('1_Du_lieu'!C505="TDMNPB",1,0)</f>
        <v>0</v>
      </c>
    </row>
    <row r="2016" spans="1:21" x14ac:dyDescent="0.25">
      <c r="A2016" t="s">
        <v>151</v>
      </c>
      <c r="B2016">
        <v>2024</v>
      </c>
      <c r="C2016" s="7">
        <f>'1_Du_lieu'!V506</f>
        <v>2.5649493574615367</v>
      </c>
      <c r="D2016" s="9">
        <f>'1_Du_lieu'!W506</f>
        <v>4.4224485491727972</v>
      </c>
      <c r="E2016" s="9">
        <f>'1_Du_lieu'!L506</f>
        <v>3.9870000000000001</v>
      </c>
      <c r="F2016" s="9">
        <f>'1_Du_lieu'!M506</f>
        <v>17.25</v>
      </c>
      <c r="G2016" s="9">
        <f>'1_Du_lieu'!N506</f>
        <v>17.899999999999999</v>
      </c>
      <c r="H2016" s="9">
        <f>'1_Du_lieu'!X506</f>
        <v>1.2043608273535038</v>
      </c>
      <c r="I2016" s="9">
        <f>'1_Du_lieu'!T506</f>
        <v>0.43122035360068989</v>
      </c>
      <c r="J2016" s="9">
        <f>'1_Du_lieu'!Y506</f>
        <v>6.1340485905637747</v>
      </c>
      <c r="K2016" s="9">
        <f>'1_Du_lieu'!O506</f>
        <v>23.2</v>
      </c>
      <c r="L2016" s="5">
        <f t="shared" si="233"/>
        <v>0</v>
      </c>
      <c r="M2016" s="5">
        <f t="shared" si="234"/>
        <v>0</v>
      </c>
      <c r="N2016" s="5">
        <f t="shared" si="235"/>
        <v>0</v>
      </c>
      <c r="O2016" s="5">
        <f t="shared" si="236"/>
        <v>0</v>
      </c>
      <c r="P2016" s="5">
        <f t="shared" si="237"/>
        <v>1</v>
      </c>
      <c r="Q2016" s="5">
        <f>IF('1_Du_lieu'!C506="ĐBSH",1,0)</f>
        <v>0</v>
      </c>
      <c r="R2016" s="5">
        <f>IF('1_Du_lieu'!C506="BTB&amp;DHMT",1,0)</f>
        <v>0</v>
      </c>
      <c r="S2016" s="5">
        <f>IF('1_Du_lieu'!C506="ĐBSCL",1,0)</f>
        <v>0</v>
      </c>
      <c r="T2016" s="5">
        <f>IF('1_Du_lieu'!C506="TN",1,0)</f>
        <v>1</v>
      </c>
      <c r="U2016" s="5">
        <f>IF('1_Du_lieu'!C506="TDMNPB",1,0)</f>
        <v>0</v>
      </c>
    </row>
    <row r="2017" spans="1:21" x14ac:dyDescent="0.25">
      <c r="A2017" t="s">
        <v>152</v>
      </c>
      <c r="B2017">
        <v>2024</v>
      </c>
      <c r="C2017" s="7">
        <f>'1_Du_lieu'!V507</f>
        <v>3.4011973816621555</v>
      </c>
      <c r="D2017" s="9">
        <f>'1_Du_lieu'!W507</f>
        <v>4.9579375050958063</v>
      </c>
      <c r="E2017" s="9">
        <f>'1_Du_lieu'!L507</f>
        <v>8.23</v>
      </c>
      <c r="F2017" s="9">
        <f>'1_Du_lieu'!M507</f>
        <v>45.36</v>
      </c>
      <c r="G2017" s="9">
        <f>'1_Du_lieu'!N507</f>
        <v>23.7</v>
      </c>
      <c r="H2017" s="9">
        <f>'1_Du_lieu'!X507</f>
        <v>3.0168339051781765</v>
      </c>
      <c r="I2017" s="9">
        <f>'1_Du_lieu'!T507</f>
        <v>0.50514054792892382</v>
      </c>
      <c r="J2017" s="9">
        <f>'1_Du_lieu'!Y507</f>
        <v>9.3201001964686334</v>
      </c>
      <c r="K2017" s="9">
        <f>'1_Du_lieu'!O507</f>
        <v>25.8</v>
      </c>
      <c r="L2017" s="5">
        <f t="shared" si="233"/>
        <v>0</v>
      </c>
      <c r="M2017" s="5">
        <f t="shared" si="234"/>
        <v>0</v>
      </c>
      <c r="N2017" s="5">
        <f t="shared" si="235"/>
        <v>0</v>
      </c>
      <c r="O2017" s="5">
        <f t="shared" si="236"/>
        <v>0</v>
      </c>
      <c r="P2017" s="5">
        <f t="shared" si="237"/>
        <v>1</v>
      </c>
      <c r="Q2017" s="5">
        <f>IF('1_Du_lieu'!C507="ĐBSH",1,0)</f>
        <v>0</v>
      </c>
      <c r="R2017" s="5">
        <f>IF('1_Du_lieu'!C507="BTB&amp;DHMT",1,0)</f>
        <v>0</v>
      </c>
      <c r="S2017" s="5">
        <f>IF('1_Du_lieu'!C507="ĐBSCL",1,0)</f>
        <v>0</v>
      </c>
      <c r="T2017" s="5">
        <f>IF('1_Du_lieu'!C507="TN",1,0)</f>
        <v>0</v>
      </c>
      <c r="U2017" s="5">
        <f>IF('1_Du_lieu'!C507="TDMNPB",1,0)</f>
        <v>0</v>
      </c>
    </row>
    <row r="2018" spans="1:21" x14ac:dyDescent="0.25">
      <c r="A2018" t="s">
        <v>153</v>
      </c>
      <c r="B2018">
        <v>2024</v>
      </c>
      <c r="C2018" s="7">
        <f>'1_Du_lieu'!V508</f>
        <v>2.9444389791664403</v>
      </c>
      <c r="D2018" s="9">
        <f>'1_Du_lieu'!W508</f>
        <v>4.3412046401536264</v>
      </c>
      <c r="E2018" s="9">
        <f>'1_Du_lieu'!L508</f>
        <v>2.698</v>
      </c>
      <c r="F2018" s="9">
        <f>'1_Du_lieu'!M508</f>
        <v>20.52</v>
      </c>
      <c r="G2018" s="9">
        <f>'1_Du_lieu'!N508</f>
        <v>16.3</v>
      </c>
      <c r="H2018" s="9">
        <f>'1_Du_lieu'!X508</f>
        <v>1.0088433244387667</v>
      </c>
      <c r="I2018" s="9">
        <f>'1_Du_lieu'!T508</f>
        <v>0.81194179001936173</v>
      </c>
      <c r="J2018" s="9">
        <f>'1_Du_lieu'!Y508</f>
        <v>4.9815497132011588</v>
      </c>
      <c r="K2018" s="9">
        <f>'1_Du_lieu'!O508</f>
        <v>12.1</v>
      </c>
      <c r="L2018" s="5">
        <f t="shared" si="233"/>
        <v>0</v>
      </c>
      <c r="M2018" s="5">
        <f t="shared" si="234"/>
        <v>0</v>
      </c>
      <c r="N2018" s="5">
        <f t="shared" si="235"/>
        <v>0</v>
      </c>
      <c r="O2018" s="5">
        <f t="shared" si="236"/>
        <v>0</v>
      </c>
      <c r="P2018" s="5">
        <f t="shared" si="237"/>
        <v>1</v>
      </c>
      <c r="Q2018" s="5">
        <f>IF('1_Du_lieu'!C508="ĐBSH",1,0)</f>
        <v>0</v>
      </c>
      <c r="R2018" s="5">
        <f>IF('1_Du_lieu'!C508="BTB&amp;DHMT",1,0)</f>
        <v>0</v>
      </c>
      <c r="S2018" s="5">
        <f>IF('1_Du_lieu'!C508="ĐBSCL",1,0)</f>
        <v>1</v>
      </c>
      <c r="T2018" s="5">
        <f>IF('1_Du_lieu'!C508="TN",1,0)</f>
        <v>0</v>
      </c>
      <c r="U2018" s="5">
        <f>IF('1_Du_lieu'!C508="TDMNPB",1,0)</f>
        <v>0</v>
      </c>
    </row>
    <row r="2020" spans="1:21" x14ac:dyDescent="0.25">
      <c r="A2020" s="14" t="s">
        <v>437</v>
      </c>
    </row>
    <row r="2021" spans="1:21" ht="32.1" customHeight="1" x14ac:dyDescent="0.25">
      <c r="A2021" s="3" t="s">
        <v>155</v>
      </c>
      <c r="B2021" s="3" t="s">
        <v>389</v>
      </c>
      <c r="C2021" s="3" t="s">
        <v>390</v>
      </c>
      <c r="D2021" s="3" t="s">
        <v>391</v>
      </c>
      <c r="E2021" s="3" t="s">
        <v>392</v>
      </c>
      <c r="F2021" s="3" t="s">
        <v>393</v>
      </c>
      <c r="G2021" s="3" t="s">
        <v>394</v>
      </c>
    </row>
    <row r="2022" spans="1:21" x14ac:dyDescent="0.25">
      <c r="A2022" t="s">
        <v>74</v>
      </c>
      <c r="B2022" s="12">
        <f>INDEX(LINEST($C$1688:$C$2018,$D$1688:$U$2018,TRUE,TRUE),1,18)</f>
        <v>-5.2827792013077886E-3</v>
      </c>
      <c r="C2022" s="7">
        <f>INDEX(LINEST($C$1688:$C$2018,$D$1688:$U$2018,TRUE,TRUE),2,18)</f>
        <v>5.444420825374563E-2</v>
      </c>
      <c r="D2022" s="18">
        <v>8.8287305102577499E-2</v>
      </c>
      <c r="E2022" s="18">
        <v>0.95228607253509279</v>
      </c>
      <c r="F2022" s="5" t="str">
        <f t="shared" ref="F2022:F2040" si="238">IF(E2022="","",IF(E2022&lt;0.01,"***",IF(E2022&lt;0.05,"**",IF(E2022&lt;0.1,"*",""))))</f>
        <v/>
      </c>
      <c r="G2022" s="18">
        <v>-5.2827792013138003E-3</v>
      </c>
    </row>
    <row r="2023" spans="1:21" x14ac:dyDescent="0.25">
      <c r="A2023" t="s">
        <v>326</v>
      </c>
      <c r="B2023" s="12">
        <f>INDEX(LINEST($C$1688:$C$2018,$D$1688:$U$2018,TRUE,TRUE),1,17)</f>
        <v>6.9400934702520192E-2</v>
      </c>
      <c r="C2023" s="7">
        <f>INDEX(LINEST($C$1688:$C$2018,$D$1688:$U$2018,TRUE,TRUE),2,17)</f>
        <v>5.0687909203955672E-3</v>
      </c>
      <c r="D2023" s="18">
        <v>7.4324562258414996E-3</v>
      </c>
      <c r="E2023" s="18">
        <v>9.8588566167083556E-21</v>
      </c>
      <c r="F2023" s="5" t="str">
        <f t="shared" si="238"/>
        <v>***</v>
      </c>
      <c r="G2023" s="18">
        <v>6.9400934702519304E-2</v>
      </c>
    </row>
    <row r="2024" spans="1:21" x14ac:dyDescent="0.25">
      <c r="A2024" t="s">
        <v>176</v>
      </c>
      <c r="B2024" s="12">
        <f>INDEX(LINEST($C$1688:$C$2018,$D$1688:$U$2018,TRUE,TRUE),1,16)</f>
        <v>-4.7636803060051156E-4</v>
      </c>
      <c r="C2024" s="7">
        <f>INDEX(LINEST($C$1688:$C$2018,$D$1688:$U$2018,TRUE,TRUE),2,16)</f>
        <v>1.0565505001588614E-3</v>
      </c>
      <c r="D2024" s="18">
        <v>2.0274611851049001E-3</v>
      </c>
      <c r="E2024" s="18">
        <v>0.81424140633564268</v>
      </c>
      <c r="F2024" s="5" t="str">
        <f t="shared" si="238"/>
        <v/>
      </c>
      <c r="G2024" s="18">
        <v>-4.763680306004E-4</v>
      </c>
    </row>
    <row r="2025" spans="1:21" x14ac:dyDescent="0.25">
      <c r="A2025" t="s">
        <v>327</v>
      </c>
      <c r="B2025" s="12">
        <f>INDEX(LINEST($C$1688:$C$2018,$D$1688:$U$2018,TRUE,TRUE),1,15)</f>
        <v>-2.6496997299530795E-3</v>
      </c>
      <c r="C2025" s="7">
        <f>INDEX(LINEST($C$1688:$C$2018,$D$1688:$U$2018,TRUE,TRUE),2,15)</f>
        <v>3.2207650151703138E-3</v>
      </c>
      <c r="D2025" s="18">
        <v>4.1675646800770003E-3</v>
      </c>
      <c r="E2025" s="18">
        <v>0.52491271461543043</v>
      </c>
      <c r="F2025" s="5" t="str">
        <f t="shared" si="238"/>
        <v/>
      </c>
      <c r="G2025" s="18">
        <v>-2.6496997299532E-3</v>
      </c>
    </row>
    <row r="2026" spans="1:21" x14ac:dyDescent="0.25">
      <c r="A2026" t="s">
        <v>380</v>
      </c>
      <c r="B2026" s="12">
        <f>INDEX(LINEST($C$1688:$C$2018,$D$1688:$U$2018,TRUE,TRUE),1,14)</f>
        <v>8.6874692535901743E-2</v>
      </c>
      <c r="C2026" s="7">
        <f>INDEX(LINEST($C$1688:$C$2018,$D$1688:$U$2018,TRUE,TRUE),2,14)</f>
        <v>1.8898945543362557E-2</v>
      </c>
      <c r="D2026" s="18">
        <v>3.4207303411692598E-2</v>
      </c>
      <c r="E2026" s="18">
        <v>1.1096239006798301E-2</v>
      </c>
      <c r="F2026" s="5" t="str">
        <f t="shared" si="238"/>
        <v>**</v>
      </c>
      <c r="G2026" s="18">
        <v>8.6874692535904005E-2</v>
      </c>
    </row>
    <row r="2027" spans="1:21" x14ac:dyDescent="0.25">
      <c r="A2027" t="s">
        <v>183</v>
      </c>
      <c r="B2027" s="12">
        <f>INDEX(LINEST($C$1688:$C$2018,$D$1688:$U$2018,TRUE,TRUE),1,13)</f>
        <v>-4.0479236699189597E-2</v>
      </c>
      <c r="C2027" s="7">
        <f>INDEX(LINEST($C$1688:$C$2018,$D$1688:$U$2018,TRUE,TRUE),2,13)</f>
        <v>9.8095548334572544E-3</v>
      </c>
      <c r="D2027" s="18">
        <v>1.5277239149183299E-2</v>
      </c>
      <c r="E2027" s="18">
        <v>8.0576756371558006E-3</v>
      </c>
      <c r="F2027" s="5" t="str">
        <f t="shared" si="238"/>
        <v>***</v>
      </c>
      <c r="G2027" s="18">
        <v>-4.0479236699187598E-2</v>
      </c>
    </row>
    <row r="2028" spans="1:21" x14ac:dyDescent="0.25">
      <c r="A2028" t="s">
        <v>381</v>
      </c>
      <c r="B2028" s="12">
        <f>INDEX(LINEST($C$1688:$C$2018,$D$1688:$U$2018,TRUE,TRUE),1,12)</f>
        <v>6.5039548782260389E-3</v>
      </c>
      <c r="C2028" s="7">
        <f>INDEX(LINEST($C$1688:$C$2018,$D$1688:$U$2018,TRUE,TRUE),2,12)</f>
        <v>1.1678771224470591E-2</v>
      </c>
      <c r="D2028" s="18">
        <v>1.8640979843984499E-2</v>
      </c>
      <c r="E2028" s="18">
        <v>0.72715967255725888</v>
      </c>
      <c r="F2028" s="5" t="str">
        <f t="shared" si="238"/>
        <v/>
      </c>
      <c r="G2028" s="18">
        <v>6.5039548782275004E-3</v>
      </c>
    </row>
    <row r="2029" spans="1:21" x14ac:dyDescent="0.25">
      <c r="A2029" t="s">
        <v>179</v>
      </c>
      <c r="B2029" s="12">
        <f>INDEX(LINEST($C$1688:$C$2018,$D$1688:$U$2018,TRUE,TRUE),1,11)</f>
        <v>3.1119934353156433E-3</v>
      </c>
      <c r="C2029" s="7">
        <f>INDEX(LINEST($C$1688:$C$2018,$D$1688:$U$2018,TRUE,TRUE),2,11)</f>
        <v>2.41529857633633E-3</v>
      </c>
      <c r="D2029" s="18">
        <v>3.4782926809590001E-3</v>
      </c>
      <c r="E2029" s="18">
        <v>0.37095286321855658</v>
      </c>
      <c r="F2029" s="5" t="str">
        <f t="shared" si="238"/>
        <v/>
      </c>
      <c r="G2029" s="18">
        <v>3.1119934353154E-3</v>
      </c>
    </row>
    <row r="2030" spans="1:21" x14ac:dyDescent="0.25">
      <c r="A2030" t="s">
        <v>395</v>
      </c>
      <c r="B2030" s="12">
        <f>INDEX(LINEST($C$1688:$C$2018,$D$1688:$U$2018,TRUE,TRUE),1,10)</f>
        <v>2.3988879761576442E-2</v>
      </c>
      <c r="C2030" s="7">
        <f>INDEX(LINEST($C$1688:$C$2018,$D$1688:$U$2018,TRUE,TRUE),2,10)</f>
        <v>3.4269117103643311E-2</v>
      </c>
      <c r="D2030" s="18">
        <v>1.0140566687657801E-2</v>
      </c>
      <c r="E2030" s="18">
        <v>1.7999178395721099E-2</v>
      </c>
      <c r="F2030" s="5" t="str">
        <f t="shared" si="238"/>
        <v>**</v>
      </c>
      <c r="G2030" s="18">
        <v>2.3988879761579401E-2</v>
      </c>
    </row>
    <row r="2031" spans="1:21" x14ac:dyDescent="0.25">
      <c r="A2031" t="s">
        <v>396</v>
      </c>
      <c r="B2031" s="12">
        <f>INDEX(LINEST($C$1688:$C$2018,$D$1688:$U$2018,TRUE,TRUE),1,9)</f>
        <v>-1.7697559144495183</v>
      </c>
      <c r="C2031" s="7">
        <f>INDEX(LINEST($C$1688:$C$2018,$D$1688:$U$2018,TRUE,TRUE),2,9)</f>
        <v>3.5521494363375733E-2</v>
      </c>
      <c r="D2031" s="18">
        <v>4.7023254411618601E-2</v>
      </c>
      <c r="E2031" s="18">
        <v>0</v>
      </c>
      <c r="F2031" s="5" t="str">
        <f t="shared" si="238"/>
        <v>***</v>
      </c>
      <c r="G2031" s="18">
        <v>-1.7697559144495221</v>
      </c>
    </row>
    <row r="2032" spans="1:21" x14ac:dyDescent="0.25">
      <c r="A2032" t="s">
        <v>397</v>
      </c>
      <c r="B2032" s="12">
        <f>INDEX(LINEST($C$1688:$C$2018,$D$1688:$U$2018,TRUE,TRUE),1,8)</f>
        <v>-0.82322336833780241</v>
      </c>
      <c r="C2032" s="7">
        <f>INDEX(LINEST($C$1688:$C$2018,$D$1688:$U$2018,TRUE,TRUE),2,8)</f>
        <v>3.5451063661475421E-2</v>
      </c>
      <c r="D2032" s="18">
        <v>3.6908828537605499E-2</v>
      </c>
      <c r="E2032" s="18">
        <v>3.3609775181323982E-110</v>
      </c>
      <c r="F2032" s="5" t="str">
        <f t="shared" si="238"/>
        <v>***</v>
      </c>
      <c r="G2032" s="18">
        <v>-0.82322336833780108</v>
      </c>
    </row>
    <row r="2033" spans="1:7" x14ac:dyDescent="0.25">
      <c r="A2033" t="s">
        <v>398</v>
      </c>
      <c r="B2033" s="12">
        <f>INDEX(LINEST($C$1688:$C$2018,$D$1688:$U$2018,TRUE,TRUE),1,7)</f>
        <v>-0.88969914265459038</v>
      </c>
      <c r="C2033" s="7">
        <f>INDEX(LINEST($C$1688:$C$2018,$D$1688:$U$2018,TRUE,TRUE),2,7)</f>
        <v>3.5898492315628208E-2</v>
      </c>
      <c r="D2033" s="18">
        <v>3.4712233619516503E-2</v>
      </c>
      <c r="E2033" s="18">
        <v>6.9388035116727082E-145</v>
      </c>
      <c r="F2033" s="5" t="str">
        <f t="shared" si="238"/>
        <v>***</v>
      </c>
      <c r="G2033" s="18">
        <v>-0.88969914265458916</v>
      </c>
    </row>
    <row r="2034" spans="1:7" x14ac:dyDescent="0.25">
      <c r="A2034" t="s">
        <v>399</v>
      </c>
      <c r="B2034" s="12">
        <f>INDEX(LINEST($C$1688:$C$2018,$D$1688:$U$2018,TRUE,TRUE),1,6)</f>
        <v>-0.69343679197358854</v>
      </c>
      <c r="C2034" s="7">
        <f>INDEX(LINEST($C$1688:$C$2018,$D$1688:$U$2018,TRUE,TRUE),2,6)</f>
        <v>3.8933005649046587E-2</v>
      </c>
      <c r="D2034" s="18">
        <v>4.1287190255508997E-2</v>
      </c>
      <c r="E2034" s="18">
        <v>2.6351425307876301E-63</v>
      </c>
      <c r="F2034" s="5" t="str">
        <f t="shared" si="238"/>
        <v>***</v>
      </c>
      <c r="G2034" s="18">
        <v>-0.6934367919735912</v>
      </c>
    </row>
    <row r="2035" spans="1:7" x14ac:dyDescent="0.25">
      <c r="A2035" t="s">
        <v>438</v>
      </c>
      <c r="B2035" s="12">
        <f>INDEX(LINEST($C$1688:$C$2018,$D$1688:$U$2018,TRUE,TRUE),1,5)</f>
        <v>0.1179904217428526</v>
      </c>
      <c r="C2035" s="7">
        <f>INDEX(LINEST($C$1688:$C$2018,$D$1688:$U$2018,TRUE,TRUE),2,5)</f>
        <v>5.4220332372933951E-2</v>
      </c>
      <c r="D2035" s="18">
        <v>0.1052795178603064</v>
      </c>
      <c r="E2035" s="18">
        <v>0.26240075500532939</v>
      </c>
      <c r="F2035" s="5" t="str">
        <f t="shared" si="238"/>
        <v/>
      </c>
      <c r="G2035" s="18">
        <v>0.1179904217428674</v>
      </c>
    </row>
    <row r="2036" spans="1:7" x14ac:dyDescent="0.25">
      <c r="A2036" t="s">
        <v>439</v>
      </c>
      <c r="B2036" s="12">
        <f>INDEX(LINEST($C$1688:$C$2018,$D$1688:$U$2018,TRUE,TRUE),1,4)</f>
        <v>-3.0413391080822083E-2</v>
      </c>
      <c r="C2036" s="7">
        <f>INDEX(LINEST($C$1688:$C$2018,$D$1688:$U$2018,TRUE,TRUE),2,4)</f>
        <v>5.2511521213004543E-2</v>
      </c>
      <c r="D2036" s="18">
        <v>9.5038663784592706E-2</v>
      </c>
      <c r="E2036" s="18">
        <v>0.74896020530701635</v>
      </c>
      <c r="F2036" s="5" t="str">
        <f t="shared" si="238"/>
        <v/>
      </c>
      <c r="G2036" s="18">
        <v>-3.0413391080842199E-2</v>
      </c>
    </row>
    <row r="2037" spans="1:7" x14ac:dyDescent="0.25">
      <c r="A2037" t="s">
        <v>440</v>
      </c>
      <c r="B2037" s="12">
        <f>INDEX(LINEST($C$1688:$C$2018,$D$1688:$U$2018,TRUE,TRUE),1,3)</f>
        <v>0.11456903371942224</v>
      </c>
      <c r="C2037" s="7">
        <f>INDEX(LINEST($C$1688:$C$2018,$D$1688:$U$2018,TRUE,TRUE),2,3)</f>
        <v>5.0749759422989475E-2</v>
      </c>
      <c r="D2037" s="18">
        <v>0.1069269333447469</v>
      </c>
      <c r="E2037" s="18">
        <v>0.28395801646215429</v>
      </c>
      <c r="F2037" s="5" t="str">
        <f t="shared" si="238"/>
        <v/>
      </c>
      <c r="G2037" s="18">
        <v>0.1145690337194212</v>
      </c>
    </row>
    <row r="2038" spans="1:7" x14ac:dyDescent="0.25">
      <c r="A2038" t="s">
        <v>441</v>
      </c>
      <c r="B2038" s="12">
        <f>INDEX(LINEST($C$1688:$C$2018,$D$1688:$U$2018,TRUE,TRUE),1,2)</f>
        <v>-5.1996881010943422E-2</v>
      </c>
      <c r="C2038" s="7">
        <f>INDEX(LINEST($C$1688:$C$2018,$D$1688:$U$2018,TRUE,TRUE),2,2)</f>
        <v>6.2887254923757935E-2</v>
      </c>
      <c r="D2038" s="18">
        <v>0.12215922319048431</v>
      </c>
      <c r="E2038" s="18">
        <v>0.67036404825650231</v>
      </c>
      <c r="F2038" s="5" t="str">
        <f t="shared" si="238"/>
        <v/>
      </c>
      <c r="G2038" s="18">
        <v>-5.19968810109427E-2</v>
      </c>
    </row>
    <row r="2039" spans="1:7" x14ac:dyDescent="0.25">
      <c r="A2039" t="s">
        <v>442</v>
      </c>
      <c r="B2039" s="12">
        <f>INDEX(LINEST($C$1688:$C$2018,$D$1688:$U$2018,TRUE,TRUE),1,1)</f>
        <v>-3.163055033785709E-2</v>
      </c>
      <c r="C2039" s="7">
        <f>INDEX(LINEST($C$1688:$C$2018,$D$1688:$U$2018,TRUE,TRUE),2,1)</f>
        <v>6.2515291134765727E-2</v>
      </c>
      <c r="D2039" s="18">
        <v>0.1213264182188652</v>
      </c>
      <c r="E2039" s="18">
        <v>0.79431907883652408</v>
      </c>
      <c r="F2039" s="5" t="str">
        <f t="shared" si="238"/>
        <v/>
      </c>
      <c r="G2039" s="18">
        <v>-3.1630550337860303E-2</v>
      </c>
    </row>
    <row r="2040" spans="1:7" x14ac:dyDescent="0.25">
      <c r="A2040" t="s">
        <v>400</v>
      </c>
      <c r="B2040" s="12">
        <f>INDEX(LINEST($C$1688:$C$2018,$D$1688:$U$2018,TRUE,TRUE),1,19)</f>
        <v>3.0935302544849805</v>
      </c>
      <c r="C2040" s="7">
        <f>INDEX(LINEST($C$1688:$C$2018,$D$1688:$U$2018,TRUE,TRUE),2,19)</f>
        <v>0.19049239338943705</v>
      </c>
      <c r="D2040" s="18">
        <v>0.32769584171540111</v>
      </c>
      <c r="E2040" s="18">
        <v>3.7189552684663273E-21</v>
      </c>
      <c r="F2040" s="5" t="str">
        <f t="shared" si="238"/>
        <v>***</v>
      </c>
      <c r="G2040" s="18">
        <v>3.0935302544849921</v>
      </c>
    </row>
    <row r="2041" spans="1:7" x14ac:dyDescent="0.25">
      <c r="A2041" s="10" t="s">
        <v>157</v>
      </c>
      <c r="B2041" s="20">
        <f>COUNT($C$1688:$C$2018)</f>
        <v>331</v>
      </c>
    </row>
    <row r="2042" spans="1:7" x14ac:dyDescent="0.25">
      <c r="A2042" s="10" t="s">
        <v>341</v>
      </c>
      <c r="B2042" s="12">
        <f>INDEX(LINEST($C$1688:$C$2018,$D$1688:$U$2018,TRUE,TRUE),3,1)</f>
        <v>0.94319994382215766</v>
      </c>
    </row>
    <row r="2043" spans="1:7" x14ac:dyDescent="0.25">
      <c r="A2043" s="10" t="s">
        <v>401</v>
      </c>
      <c r="B2043" s="12">
        <f>1-(1-B2042)*(B2041-1)/(B2041-18-1)</f>
        <v>0.93992301750420526</v>
      </c>
    </row>
    <row r="2045" spans="1:7" x14ac:dyDescent="0.25">
      <c r="A2045" s="14" t="s">
        <v>443</v>
      </c>
    </row>
    <row r="2046" spans="1:7" ht="32.1" customHeight="1" x14ac:dyDescent="0.25">
      <c r="A2046" s="3" t="s">
        <v>155</v>
      </c>
      <c r="B2046" s="3" t="s">
        <v>389</v>
      </c>
      <c r="C2046" s="3" t="s">
        <v>444</v>
      </c>
      <c r="D2046" s="3" t="s">
        <v>445</v>
      </c>
      <c r="E2046" s="3" t="s">
        <v>446</v>
      </c>
      <c r="F2046" s="3" t="s">
        <v>393</v>
      </c>
      <c r="G2046" s="3" t="s">
        <v>447</v>
      </c>
    </row>
    <row r="2047" spans="1:7" x14ac:dyDescent="0.25">
      <c r="A2047" t="s">
        <v>395</v>
      </c>
      <c r="B2047" s="12">
        <f>INDEX(LINEST($C$1688:$C$2018,$L$1688:$U$2018,TRUE,TRUE),1,10)</f>
        <v>3.4836018406447025E-2</v>
      </c>
      <c r="C2047" s="7">
        <f>INDEX(LINEST($C$1688:$C$2018,$L$1688:$U$2018,TRUE,TRUE),2,10)</f>
        <v>6.5368916482621914E-2</v>
      </c>
      <c r="D2047" s="18">
        <v>5.9426965219911004E-3</v>
      </c>
      <c r="E2047" s="18">
        <v>4.5735682998532464E-9</v>
      </c>
      <c r="F2047" s="5" t="str">
        <f t="shared" ref="F2047:F2057" si="239">IF(E2047="","",IF(E2047&lt;0.01,"***",IF(E2047&lt;0.05,"**",IF(E2047&lt;0.1,"*",""))))</f>
        <v>***</v>
      </c>
      <c r="G2047" s="18">
        <v>3.48360184064491E-2</v>
      </c>
    </row>
    <row r="2048" spans="1:7" x14ac:dyDescent="0.25">
      <c r="A2048" t="s">
        <v>396</v>
      </c>
      <c r="B2048" s="12">
        <f>INDEX(LINEST($C$1688:$C$2018,$L$1688:$U$2018,TRUE,TRUE),1,9)</f>
        <v>-1.7492935559823553</v>
      </c>
      <c r="C2048" s="7">
        <f>INDEX(LINEST($C$1688:$C$2018,$L$1688:$U$2018,TRUE,TRUE),2,9)</f>
        <v>6.5085052751889055E-2</v>
      </c>
      <c r="D2048" s="18">
        <v>4.4945682748367702E-2</v>
      </c>
      <c r="E2048" s="18">
        <v>0</v>
      </c>
      <c r="F2048" s="5" t="str">
        <f t="shared" si="239"/>
        <v>***</v>
      </c>
      <c r="G2048" s="18">
        <v>-1.749293555982355</v>
      </c>
    </row>
    <row r="2049" spans="1:7" x14ac:dyDescent="0.25">
      <c r="A2049" t="s">
        <v>397</v>
      </c>
      <c r="B2049" s="12">
        <f>INDEX(LINEST($C$1688:$C$2018,$L$1688:$U$2018,TRUE,TRUE),1,8)</f>
        <v>-0.77063497956573224</v>
      </c>
      <c r="C2049" s="7">
        <f>INDEX(LINEST($C$1688:$C$2018,$L$1688:$U$2018,TRUE,TRUE),2,8)</f>
        <v>6.5085052751889055E-2</v>
      </c>
      <c r="D2049" s="18">
        <v>3.3096263415939201E-2</v>
      </c>
      <c r="E2049" s="18">
        <v>6.3425290092074452E-120</v>
      </c>
      <c r="F2049" s="5" t="str">
        <f t="shared" si="239"/>
        <v>***</v>
      </c>
      <c r="G2049" s="18">
        <v>-0.77063497956573146</v>
      </c>
    </row>
    <row r="2050" spans="1:7" x14ac:dyDescent="0.25">
      <c r="A2050" t="s">
        <v>398</v>
      </c>
      <c r="B2050" s="12">
        <f>INDEX(LINEST($C$1688:$C$2018,$L$1688:$U$2018,TRUE,TRUE),1,7)</f>
        <v>-0.81918389026434424</v>
      </c>
      <c r="C2050" s="7">
        <f>INDEX(LINEST($C$1688:$C$2018,$L$1688:$U$2018,TRUE,TRUE),2,7)</f>
        <v>6.4563777477530837E-2</v>
      </c>
      <c r="D2050" s="18">
        <v>3.1128901008528002E-2</v>
      </c>
      <c r="E2050" s="18">
        <v>1.262650062389026E-152</v>
      </c>
      <c r="F2050" s="5" t="str">
        <f t="shared" si="239"/>
        <v>***</v>
      </c>
      <c r="G2050" s="18">
        <v>-0.81918389026434435</v>
      </c>
    </row>
    <row r="2051" spans="1:7" x14ac:dyDescent="0.25">
      <c r="A2051" t="s">
        <v>399</v>
      </c>
      <c r="B2051" s="12">
        <f>INDEX(LINEST($C$1688:$C$2018,$L$1688:$U$2018,TRUE,TRUE),1,6)</f>
        <v>-0.61841924014580274</v>
      </c>
      <c r="C2051" s="7">
        <f>INDEX(LINEST($C$1688:$C$2018,$L$1688:$U$2018,TRUE,TRUE),2,6)</f>
        <v>6.4563777477530893E-2</v>
      </c>
      <c r="D2051" s="18">
        <v>2.82536757023635E-2</v>
      </c>
      <c r="E2051" s="18">
        <v>3.372918347648029E-106</v>
      </c>
      <c r="F2051" s="5" t="str">
        <f t="shared" si="239"/>
        <v>***</v>
      </c>
      <c r="G2051" s="18">
        <v>-0.6184192401458013</v>
      </c>
    </row>
    <row r="2052" spans="1:7" x14ac:dyDescent="0.25">
      <c r="A2052" t="s">
        <v>438</v>
      </c>
      <c r="B2052" s="12">
        <f>INDEX(LINEST($C$1688:$C$2018,$L$1688:$U$2018,TRUE,TRUE),1,5)</f>
        <v>-0.13324961823444706</v>
      </c>
      <c r="C2052" s="7">
        <f>INDEX(LINEST($C$1688:$C$2018,$L$1688:$U$2018,TRUE,TRUE),2,5)</f>
        <v>7.0043093811852947E-2</v>
      </c>
      <c r="D2052" s="18">
        <v>0.26092778200479477</v>
      </c>
      <c r="E2052" s="18">
        <v>0.60957778180828615</v>
      </c>
      <c r="F2052" s="5" t="str">
        <f t="shared" si="239"/>
        <v/>
      </c>
      <c r="G2052" s="18">
        <v>-0.1332496182344452</v>
      </c>
    </row>
    <row r="2053" spans="1:7" x14ac:dyDescent="0.25">
      <c r="A2053" t="s">
        <v>439</v>
      </c>
      <c r="B2053" s="12">
        <f>INDEX(LINEST($C$1688:$C$2018,$L$1688:$U$2018,TRUE,TRUE),1,4)</f>
        <v>-0.41996154328828117</v>
      </c>
      <c r="C2053" s="7">
        <f>INDEX(LINEST($C$1688:$C$2018,$L$1688:$U$2018,TRUE,TRUE),2,4)</f>
        <v>6.8114931920358932E-2</v>
      </c>
      <c r="D2053" s="18">
        <v>0.24388728677720309</v>
      </c>
      <c r="E2053" s="18">
        <v>8.5078702764587802E-2</v>
      </c>
      <c r="F2053" s="5" t="str">
        <f t="shared" si="239"/>
        <v>*</v>
      </c>
      <c r="G2053" s="18">
        <v>-0.41996154328827368</v>
      </c>
    </row>
    <row r="2054" spans="1:7" x14ac:dyDescent="0.25">
      <c r="A2054" t="s">
        <v>440</v>
      </c>
      <c r="B2054" s="12">
        <f>INDEX(LINEST($C$1688:$C$2018,$L$1688:$U$2018,TRUE,TRUE),1,3)</f>
        <v>-0.56318885148101128</v>
      </c>
      <c r="C2054" s="7">
        <f>INDEX(LINEST($C$1688:$C$2018,$L$1688:$U$2018,TRUE,TRUE),2,3)</f>
        <v>6.990087461762802E-2</v>
      </c>
      <c r="D2054" s="18">
        <v>0.24062294474708529</v>
      </c>
      <c r="E2054" s="18">
        <v>1.92556132028508E-2</v>
      </c>
      <c r="F2054" s="5" t="str">
        <f t="shared" si="239"/>
        <v>**</v>
      </c>
      <c r="G2054" s="18">
        <v>-0.56318885148100817</v>
      </c>
    </row>
    <row r="2055" spans="1:7" x14ac:dyDescent="0.25">
      <c r="A2055" t="s">
        <v>441</v>
      </c>
      <c r="B2055" s="12">
        <f>INDEX(LINEST($C$1688:$C$2018,$L$1688:$U$2018,TRUE,TRUE),1,2)</f>
        <v>-0.58662948511006874</v>
      </c>
      <c r="C2055" s="7">
        <f>INDEX(LINEST($C$1688:$C$2018,$L$1688:$U$2018,TRUE,TRUE),2,2)</f>
        <v>8.3569642242022055E-2</v>
      </c>
      <c r="D2055" s="18">
        <v>0.24873156453226711</v>
      </c>
      <c r="E2055" s="18">
        <v>1.8349736910781601E-2</v>
      </c>
      <c r="F2055" s="5" t="str">
        <f t="shared" si="239"/>
        <v>**</v>
      </c>
      <c r="G2055" s="18">
        <v>-0.58662948511006718</v>
      </c>
    </row>
    <row r="2056" spans="1:7" x14ac:dyDescent="0.25">
      <c r="A2056" t="s">
        <v>442</v>
      </c>
      <c r="B2056" s="12">
        <f>INDEX(LINEST($C$1688:$C$2018,$L$1688:$U$2018,TRUE,TRUE),1,1)</f>
        <v>-0.62278845818162032</v>
      </c>
      <c r="C2056" s="7">
        <f>INDEX(LINEST($C$1688:$C$2018,$L$1688:$U$2018,TRUE,TRUE),2,1)</f>
        <v>7.2738037152737259E-2</v>
      </c>
      <c r="D2056" s="18">
        <v>0.2412208588586498</v>
      </c>
      <c r="E2056" s="18">
        <v>9.8281278239228005E-3</v>
      </c>
      <c r="F2056" s="5" t="str">
        <f t="shared" si="239"/>
        <v>***</v>
      </c>
      <c r="G2056" s="18">
        <v>-0.62278845818161732</v>
      </c>
    </row>
    <row r="2057" spans="1:7" x14ac:dyDescent="0.25">
      <c r="A2057" t="s">
        <v>400</v>
      </c>
      <c r="B2057" s="12">
        <f>INDEX(LINEST($C$1688:$C$2018,$L$1688:$U$2018,TRUE,TRUE),1,11)</f>
        <v>4.052940028238786</v>
      </c>
      <c r="C2057" s="7">
        <f>INDEX(LINEST($C$1688:$C$2018,$L$1688:$U$2018,TRUE,TRUE),2,11)</f>
        <v>7.0425184426903251E-2</v>
      </c>
      <c r="D2057" s="18">
        <v>0.22318005719153011</v>
      </c>
      <c r="E2057" s="18">
        <v>1.071104229722482E-73</v>
      </c>
      <c r="F2057" s="5" t="str">
        <f t="shared" si="239"/>
        <v>***</v>
      </c>
      <c r="G2057" s="18">
        <v>4.0529400282387948</v>
      </c>
    </row>
    <row r="2058" spans="1:7" x14ac:dyDescent="0.25">
      <c r="A2058" s="10" t="s">
        <v>341</v>
      </c>
      <c r="B2058" s="12">
        <f>INDEX(LINEST($C$1688:$C$2018,$L$1688:$U$2018,TRUE,TRUE),3,1)</f>
        <v>0.78482188166087996</v>
      </c>
    </row>
    <row r="2060" spans="1:7" x14ac:dyDescent="0.25">
      <c r="A2060" s="10" t="s">
        <v>448</v>
      </c>
      <c r="B2060" s="21">
        <v>17.470455127894461</v>
      </c>
      <c r="C2060" t="s">
        <v>449</v>
      </c>
      <c r="D2060" s="18">
        <v>3.6888116457720502E-3</v>
      </c>
      <c r="E2060" t="s">
        <v>373</v>
      </c>
    </row>
    <row r="2062" spans="1:7" x14ac:dyDescent="0.25">
      <c r="A2062" s="14" t="s">
        <v>450</v>
      </c>
    </row>
    <row r="2063" spans="1:7" ht="32.1" customHeight="1" x14ac:dyDescent="0.25">
      <c r="A2063" s="3" t="s">
        <v>155</v>
      </c>
      <c r="B2063" s="3" t="s">
        <v>451</v>
      </c>
      <c r="C2063" s="3" t="s">
        <v>445</v>
      </c>
      <c r="D2063" s="3" t="s">
        <v>452</v>
      </c>
      <c r="E2063" s="3" t="s">
        <v>393</v>
      </c>
    </row>
    <row r="2064" spans="1:7" x14ac:dyDescent="0.25">
      <c r="A2064" t="s">
        <v>74</v>
      </c>
      <c r="B2064" s="18">
        <v>-0.22799708294849741</v>
      </c>
      <c r="C2064" s="18">
        <v>0.2384522021263977</v>
      </c>
      <c r="D2064" s="18">
        <v>0.33899431738894409</v>
      </c>
      <c r="E2064" s="5" t="str">
        <f t="shared" ref="E2064:E2071" si="240">IF(D2064="","",IF(D2064&lt;0.01,"***",IF(D2064&lt;0.05,"**",IF(D2064&lt;0.1,"*",""))))</f>
        <v/>
      </c>
    </row>
    <row r="2065" spans="1:9" x14ac:dyDescent="0.25">
      <c r="A2065" t="s">
        <v>326</v>
      </c>
      <c r="B2065" s="18">
        <v>0.25307548362005722</v>
      </c>
      <c r="C2065" s="18">
        <v>6.2423677773518503E-2</v>
      </c>
      <c r="D2065" s="18">
        <v>5.0315094981271521E-5</v>
      </c>
      <c r="E2065" s="5" t="str">
        <f t="shared" si="240"/>
        <v>***</v>
      </c>
    </row>
    <row r="2066" spans="1:9" x14ac:dyDescent="0.25">
      <c r="A2066" t="s">
        <v>176</v>
      </c>
      <c r="B2066" s="18">
        <v>-1.5418945102836199E-2</v>
      </c>
      <c r="C2066" s="18">
        <v>6.0493386898258002E-3</v>
      </c>
      <c r="D2066" s="18">
        <v>1.0807425815738301E-2</v>
      </c>
      <c r="E2066" s="5" t="str">
        <f t="shared" si="240"/>
        <v>**</v>
      </c>
    </row>
    <row r="2067" spans="1:9" x14ac:dyDescent="0.25">
      <c r="A2067" t="s">
        <v>327</v>
      </c>
      <c r="B2067" s="18">
        <v>-1.05195028739473E-2</v>
      </c>
      <c r="C2067" s="18">
        <v>6.3260098916849998E-3</v>
      </c>
      <c r="D2067" s="18">
        <v>9.6333054927680795E-2</v>
      </c>
      <c r="E2067" s="5" t="str">
        <f t="shared" si="240"/>
        <v>*</v>
      </c>
    </row>
    <row r="2068" spans="1:9" x14ac:dyDescent="0.25">
      <c r="A2068" t="s">
        <v>380</v>
      </c>
      <c r="B2068" s="18">
        <v>0.1059118375907645</v>
      </c>
      <c r="C2068" s="18">
        <v>4.6296916799324399E-2</v>
      </c>
      <c r="D2068" s="18">
        <v>2.2157035638191901E-2</v>
      </c>
      <c r="E2068" s="5" t="str">
        <f t="shared" si="240"/>
        <v>**</v>
      </c>
    </row>
    <row r="2069" spans="1:9" x14ac:dyDescent="0.25">
      <c r="A2069" t="s">
        <v>183</v>
      </c>
      <c r="B2069" s="18">
        <v>-3.2314234638796499E-2</v>
      </c>
      <c r="C2069" s="18">
        <v>1.47134606780755E-2</v>
      </c>
      <c r="D2069" s="18">
        <v>2.8075043186110801E-2</v>
      </c>
      <c r="E2069" s="5" t="str">
        <f t="shared" si="240"/>
        <v>**</v>
      </c>
    </row>
    <row r="2070" spans="1:9" x14ac:dyDescent="0.25">
      <c r="A2070" t="s">
        <v>381</v>
      </c>
      <c r="B2070" s="18">
        <v>-4.2326098091509997E-3</v>
      </c>
      <c r="C2070" s="18">
        <v>2.0038351497597098E-2</v>
      </c>
      <c r="D2070" s="18">
        <v>0.8327113526380443</v>
      </c>
      <c r="E2070" s="5" t="str">
        <f t="shared" si="240"/>
        <v/>
      </c>
    </row>
    <row r="2071" spans="1:9" x14ac:dyDescent="0.25">
      <c r="A2071" t="s">
        <v>179</v>
      </c>
      <c r="B2071" s="18">
        <v>1.3408784105377E-3</v>
      </c>
      <c r="C2071" s="18">
        <v>3.4975242488699001E-3</v>
      </c>
      <c r="D2071" s="18">
        <v>0.70143854663436955</v>
      </c>
      <c r="E2071" s="5" t="str">
        <f t="shared" si="240"/>
        <v/>
      </c>
    </row>
    <row r="2072" spans="1:9" x14ac:dyDescent="0.25">
      <c r="A2072" s="10" t="s">
        <v>157</v>
      </c>
      <c r="B2072" s="18">
        <v>331</v>
      </c>
    </row>
    <row r="2073" spans="1:9" x14ac:dyDescent="0.25">
      <c r="A2073" s="10" t="s">
        <v>341</v>
      </c>
      <c r="B2073" s="18">
        <v>0.97829728895811519</v>
      </c>
    </row>
    <row r="2074" spans="1:9" x14ac:dyDescent="0.25">
      <c r="A2074" s="10" t="s">
        <v>453</v>
      </c>
      <c r="B2074" s="18">
        <v>0.97255979063669762</v>
      </c>
    </row>
    <row r="2076" spans="1:9" x14ac:dyDescent="0.25">
      <c r="A2076" s="14" t="s">
        <v>454</v>
      </c>
    </row>
    <row r="2077" spans="1:9" ht="32.1" customHeight="1" x14ac:dyDescent="0.25">
      <c r="A2077" s="3" t="s">
        <v>52</v>
      </c>
      <c r="B2077" s="3" t="s">
        <v>455</v>
      </c>
      <c r="C2077" s="3" t="s">
        <v>456</v>
      </c>
      <c r="D2077" s="3" t="s">
        <v>457</v>
      </c>
      <c r="E2077" s="3" t="s">
        <v>179</v>
      </c>
      <c r="F2077" s="3" t="s">
        <v>74</v>
      </c>
      <c r="G2077" s="3" t="s">
        <v>326</v>
      </c>
      <c r="H2077" s="3" t="s">
        <v>176</v>
      </c>
      <c r="I2077" s="3" t="s">
        <v>327</v>
      </c>
    </row>
    <row r="2078" spans="1:9" x14ac:dyDescent="0.25">
      <c r="A2078" t="s">
        <v>85</v>
      </c>
      <c r="B2078" s="7">
        <f>'1_Du_lieu'!V446</f>
        <v>2.7725887222397811</v>
      </c>
      <c r="C2078" s="22">
        <v>78.900000000000006</v>
      </c>
      <c r="D2078" s="22">
        <v>33.4</v>
      </c>
      <c r="E2078" s="9">
        <f>'1_Du_lieu'!O446</f>
        <v>13.6</v>
      </c>
      <c r="F2078" s="9">
        <f>'1_Du_lieu'!W446</f>
        <v>4.1896547420264252</v>
      </c>
      <c r="G2078" s="9">
        <f>'1_Du_lieu'!L446</f>
        <v>2.7749999999999999</v>
      </c>
      <c r="H2078" s="9">
        <f>'1_Du_lieu'!M446</f>
        <v>36.94</v>
      </c>
      <c r="I2078" s="9">
        <f>'1_Du_lieu'!N446</f>
        <v>16.2</v>
      </c>
    </row>
    <row r="2079" spans="1:9" x14ac:dyDescent="0.25">
      <c r="A2079" t="s">
        <v>87</v>
      </c>
      <c r="B2079" s="7">
        <f>'1_Du_lieu'!V447</f>
        <v>3.3322045101752038</v>
      </c>
      <c r="C2079" s="22">
        <v>86.8</v>
      </c>
      <c r="D2079" s="22">
        <v>58.5</v>
      </c>
      <c r="E2079" s="9">
        <f>'1_Du_lieu'!O447</f>
        <v>22.2</v>
      </c>
      <c r="F2079" s="9">
        <f>'1_Du_lieu'!W447</f>
        <v>5.8260001073804499</v>
      </c>
      <c r="G2079" s="9">
        <f>'1_Du_lieu'!L447</f>
        <v>10.509</v>
      </c>
      <c r="H2079" s="9">
        <f>'1_Du_lieu'!M447</f>
        <v>62.1</v>
      </c>
      <c r="I2079" s="9">
        <f>'1_Du_lieu'!N447</f>
        <v>30.1</v>
      </c>
    </row>
    <row r="2080" spans="1:9" x14ac:dyDescent="0.25">
      <c r="A2080" t="s">
        <v>89</v>
      </c>
      <c r="B2080" s="7">
        <f>'1_Du_lieu'!V448</f>
        <v>3.9318256327243257</v>
      </c>
      <c r="C2080" s="22">
        <v>93.1</v>
      </c>
      <c r="D2080" s="22">
        <v>51.7</v>
      </c>
      <c r="E2080" s="9">
        <f>'1_Du_lieu'!O448</f>
        <v>19.899999999999999</v>
      </c>
      <c r="F2080" s="9">
        <f>'1_Du_lieu'!W448</f>
        <v>5.1772790381709806</v>
      </c>
      <c r="G2080" s="9">
        <f>'1_Du_lieu'!L448</f>
        <v>15.816000000000001</v>
      </c>
      <c r="H2080" s="9">
        <f>'1_Du_lieu'!M448</f>
        <v>85.85</v>
      </c>
      <c r="I2080" s="9">
        <f>'1_Du_lieu'!N448</f>
        <v>23.8</v>
      </c>
    </row>
    <row r="2081" spans="1:9" x14ac:dyDescent="0.25">
      <c r="A2081" t="s">
        <v>90</v>
      </c>
      <c r="B2081" s="7">
        <f>'1_Du_lieu'!V449</f>
        <v>2.7725887222397811</v>
      </c>
      <c r="C2081" s="22">
        <v>83.4</v>
      </c>
      <c r="D2081" s="22">
        <v>41.3</v>
      </c>
      <c r="E2081" s="9">
        <f>'1_Du_lieu'!O449</f>
        <v>20.6</v>
      </c>
      <c r="F2081" s="9">
        <f>'1_Du_lieu'!W449</f>
        <v>4.678420647727684</v>
      </c>
      <c r="G2081" s="9">
        <f>'1_Du_lieu'!L449</f>
        <v>6.6920000000000002</v>
      </c>
      <c r="H2081" s="9">
        <f>'1_Du_lieu'!M449</f>
        <v>29.45</v>
      </c>
      <c r="I2081" s="9">
        <f>'1_Du_lieu'!N449</f>
        <v>21.6</v>
      </c>
    </row>
    <row r="2082" spans="1:9" x14ac:dyDescent="0.25">
      <c r="A2082" t="s">
        <v>91</v>
      </c>
      <c r="B2082" s="7">
        <f>'1_Du_lieu'!V450</f>
        <v>2.9957322735539909</v>
      </c>
      <c r="C2082" s="22">
        <v>85.2</v>
      </c>
      <c r="D2082" s="22">
        <v>40.799999999999997</v>
      </c>
      <c r="E2082" s="9">
        <f>'1_Du_lieu'!O450</f>
        <v>11.9</v>
      </c>
      <c r="F2082" s="9">
        <f>'1_Du_lieu'!W450</f>
        <v>4.5217885770490405</v>
      </c>
      <c r="G2082" s="9">
        <f>'1_Du_lieu'!L450</f>
        <v>4.6929999999999996</v>
      </c>
      <c r="H2082" s="9">
        <f>'1_Du_lieu'!M450</f>
        <v>38.6</v>
      </c>
      <c r="I2082" s="9">
        <f>'1_Du_lieu'!N450</f>
        <v>21.4</v>
      </c>
    </row>
    <row r="2083" spans="1:9" x14ac:dyDescent="0.25">
      <c r="A2083" t="s">
        <v>93</v>
      </c>
      <c r="B2083" s="7">
        <f>'1_Du_lieu'!V451</f>
        <v>3.044522437723423</v>
      </c>
      <c r="C2083" s="22">
        <v>80</v>
      </c>
      <c r="D2083" s="22">
        <v>44.4</v>
      </c>
      <c r="E2083" s="9">
        <f>'1_Du_lieu'!O451</f>
        <v>18.399999999999999</v>
      </c>
      <c r="F2083" s="9">
        <f>'1_Du_lieu'!W451</f>
        <v>4.4461744544976334</v>
      </c>
      <c r="G2083" s="9">
        <f>'1_Du_lieu'!L451</f>
        <v>5.5460000000000003</v>
      </c>
      <c r="H2083" s="9">
        <f>'1_Du_lieu'!M451</f>
        <v>41.34</v>
      </c>
      <c r="I2083" s="9">
        <f>'1_Du_lieu'!N451</f>
        <v>26.1</v>
      </c>
    </row>
    <row r="2084" spans="1:9" x14ac:dyDescent="0.25">
      <c r="A2084" t="s">
        <v>94</v>
      </c>
      <c r="B2084" s="7">
        <f>'1_Du_lieu'!V452</f>
        <v>2.6390573296152584</v>
      </c>
      <c r="C2084" s="22">
        <v>79.099999999999994</v>
      </c>
      <c r="D2084" s="22">
        <v>42.5</v>
      </c>
      <c r="E2084" s="9">
        <f>'1_Du_lieu'!O452</f>
        <v>12.3</v>
      </c>
      <c r="F2084" s="9">
        <f>'1_Du_lieu'!W452</f>
        <v>4.2598590006996737</v>
      </c>
      <c r="G2084" s="9">
        <f>'1_Du_lieu'!L452</f>
        <v>2.4630000000000001</v>
      </c>
      <c r="H2084" s="9">
        <f>'1_Du_lieu'!M452</f>
        <v>27.77</v>
      </c>
      <c r="I2084" s="9">
        <f>'1_Du_lieu'!N452</f>
        <v>14.3</v>
      </c>
    </row>
    <row r="2085" spans="1:9" x14ac:dyDescent="0.25">
      <c r="A2085" t="s">
        <v>95</v>
      </c>
      <c r="B2085" s="7">
        <f>'1_Du_lieu'!V453</f>
        <v>3.0910424533583161</v>
      </c>
      <c r="C2085" s="22">
        <v>87.9</v>
      </c>
      <c r="D2085" s="22">
        <v>49.5</v>
      </c>
      <c r="E2085" s="9">
        <f>'1_Du_lieu'!O453</f>
        <v>19.3</v>
      </c>
      <c r="F2085" s="9">
        <f>'1_Du_lieu'!W453</f>
        <v>4.6931810633108046</v>
      </c>
      <c r="G2085" s="9">
        <f>'1_Du_lieu'!L453</f>
        <v>4.8220000000000001</v>
      </c>
      <c r="H2085" s="9">
        <f>'1_Du_lieu'!M453</f>
        <v>24.23</v>
      </c>
      <c r="I2085" s="9">
        <f>'1_Du_lieu'!N453</f>
        <v>33.700000000000003</v>
      </c>
    </row>
    <row r="2086" spans="1:9" x14ac:dyDescent="0.25">
      <c r="A2086" t="s">
        <v>97</v>
      </c>
      <c r="B2086" s="7">
        <f>'1_Du_lieu'!V454</f>
        <v>2.3978952727983707</v>
      </c>
      <c r="C2086" s="22">
        <v>77.599999999999994</v>
      </c>
      <c r="D2086" s="22">
        <v>39.5</v>
      </c>
      <c r="E2086" s="9">
        <f>'1_Du_lieu'!O454</f>
        <v>20.100000000000001</v>
      </c>
      <c r="F2086" s="9">
        <f>'1_Du_lieu'!W454</f>
        <v>4.0430512678345503</v>
      </c>
      <c r="G2086" s="9">
        <f>'1_Du_lieu'!L454</f>
        <v>2.3199999999999998</v>
      </c>
      <c r="H2086" s="9">
        <f>'1_Du_lieu'!M454</f>
        <v>24.57</v>
      </c>
      <c r="I2086" s="9">
        <f>'1_Du_lieu'!N454</f>
        <v>29</v>
      </c>
    </row>
    <row r="2087" spans="1:9" x14ac:dyDescent="0.25">
      <c r="A2087" t="s">
        <v>98</v>
      </c>
      <c r="B2087" s="7">
        <f>'1_Du_lieu'!V455</f>
        <v>3.4011973816621555</v>
      </c>
      <c r="C2087" s="22">
        <v>89.8</v>
      </c>
      <c r="D2087" s="22">
        <v>52.5</v>
      </c>
      <c r="E2087" s="9">
        <f>'1_Du_lieu'!O455</f>
        <v>25.8</v>
      </c>
      <c r="F2087" s="9">
        <f>'1_Du_lieu'!W455</f>
        <v>5.0695329353437408</v>
      </c>
      <c r="G2087" s="9">
        <f>'1_Du_lieu'!L455</f>
        <v>11.715999999999999</v>
      </c>
      <c r="H2087" s="9">
        <f>'1_Du_lieu'!M455</f>
        <v>50.94</v>
      </c>
      <c r="I2087" s="9">
        <f>'1_Du_lieu'!N455</f>
        <v>35.9</v>
      </c>
    </row>
    <row r="2088" spans="1:9" x14ac:dyDescent="0.25">
      <c r="A2088" t="s">
        <v>100</v>
      </c>
      <c r="B2088" s="7">
        <f>'1_Du_lieu'!V456</f>
        <v>2.9444389791664403</v>
      </c>
      <c r="C2088" s="22">
        <v>83.8</v>
      </c>
      <c r="D2088" s="22">
        <v>39.299999999999997</v>
      </c>
      <c r="E2088" s="9">
        <f>'1_Du_lieu'!O456</f>
        <v>17.899999999999999</v>
      </c>
      <c r="F2088" s="9">
        <f>'1_Du_lieu'!W456</f>
        <v>4.0324691585040133</v>
      </c>
      <c r="G2088" s="9">
        <f>'1_Du_lieu'!L456</f>
        <v>3.0470000000000002</v>
      </c>
      <c r="H2088" s="9">
        <f>'1_Du_lieu'!M456</f>
        <v>13.37</v>
      </c>
      <c r="I2088" s="9">
        <f>'1_Du_lieu'!N456</f>
        <v>13.7</v>
      </c>
    </row>
    <row r="2089" spans="1:9" x14ac:dyDescent="0.25">
      <c r="A2089" t="s">
        <v>102</v>
      </c>
      <c r="B2089" s="7">
        <f>'1_Du_lieu'!V458</f>
        <v>2.7725887222397811</v>
      </c>
      <c r="C2089" s="22">
        <v>85</v>
      </c>
      <c r="D2089" s="22">
        <v>25.8</v>
      </c>
      <c r="E2089" s="9">
        <f>'1_Du_lieu'!O458</f>
        <v>12.3</v>
      </c>
      <c r="F2089" s="9">
        <f>'1_Du_lieu'!W458</f>
        <v>4.2682978693455391</v>
      </c>
      <c r="G2089" s="9">
        <f>'1_Du_lieu'!L458</f>
        <v>3.1110000000000002</v>
      </c>
      <c r="H2089" s="9">
        <f>'1_Du_lieu'!M458</f>
        <v>23.51</v>
      </c>
      <c r="I2089" s="9">
        <f>'1_Du_lieu'!N458</f>
        <v>16.399999999999999</v>
      </c>
    </row>
    <row r="2090" spans="1:9" x14ac:dyDescent="0.25">
      <c r="A2090" t="s">
        <v>103</v>
      </c>
      <c r="B2090" s="7">
        <f>'1_Du_lieu'!V459</f>
        <v>3.3322045101752038</v>
      </c>
      <c r="C2090" s="22">
        <v>88.1</v>
      </c>
      <c r="D2090" s="22">
        <v>33.9</v>
      </c>
      <c r="E2090" s="9">
        <f>'1_Du_lieu'!O459</f>
        <v>20.8</v>
      </c>
      <c r="F2090" s="9">
        <f>'1_Du_lieu'!W459</f>
        <v>4.6472713620067267</v>
      </c>
      <c r="G2090" s="9">
        <f>'1_Du_lieu'!L459</f>
        <v>8.5429999999999993</v>
      </c>
      <c r="H2090" s="9">
        <f>'1_Du_lieu'!M459</f>
        <v>70.67</v>
      </c>
      <c r="I2090" s="9">
        <f>'1_Du_lieu'!N459</f>
        <v>25.2</v>
      </c>
    </row>
    <row r="2091" spans="1:9" x14ac:dyDescent="0.25">
      <c r="A2091" t="s">
        <v>104</v>
      </c>
      <c r="B2091" s="7">
        <f>'1_Du_lieu'!V460</f>
        <v>2.7080502011022101</v>
      </c>
      <c r="C2091" s="22">
        <v>72.3</v>
      </c>
      <c r="D2091" s="22">
        <v>30.1</v>
      </c>
      <c r="E2091" s="9">
        <f>'1_Du_lieu'!O460</f>
        <v>11.5</v>
      </c>
      <c r="F2091" s="9">
        <f>'1_Du_lieu'!W460</f>
        <v>4.2002049529215784</v>
      </c>
      <c r="G2091" s="9">
        <f>'1_Du_lieu'!L460</f>
        <v>3.39</v>
      </c>
      <c r="H2091" s="9">
        <f>'1_Du_lieu'!M460</f>
        <v>29.53</v>
      </c>
      <c r="I2091" s="9">
        <f>'1_Du_lieu'!N460</f>
        <v>16.2</v>
      </c>
    </row>
    <row r="2092" spans="1:9" x14ac:dyDescent="0.25">
      <c r="A2092" t="s">
        <v>107</v>
      </c>
      <c r="B2092" s="7">
        <f>'1_Du_lieu'!V462</f>
        <v>3.1354942159291497</v>
      </c>
      <c r="C2092" s="22">
        <v>85.9</v>
      </c>
      <c r="D2092" s="22">
        <v>47.9</v>
      </c>
      <c r="E2092" s="9">
        <f>'1_Du_lieu'!O462</f>
        <v>13.9</v>
      </c>
      <c r="F2092" s="9">
        <f>'1_Du_lieu'!W462</f>
        <v>4.677490847567717</v>
      </c>
      <c r="G2092" s="9">
        <f>'1_Du_lieu'!L462</f>
        <v>6.5060000000000002</v>
      </c>
      <c r="H2092" s="9">
        <f>'1_Du_lieu'!M462</f>
        <v>28.74</v>
      </c>
      <c r="I2092" s="9">
        <f>'1_Du_lieu'!N462</f>
        <v>32.299999999999997</v>
      </c>
    </row>
    <row r="2093" spans="1:9" x14ac:dyDescent="0.25">
      <c r="A2093" t="s">
        <v>108</v>
      </c>
      <c r="B2093" s="7">
        <f>'1_Du_lieu'!V463</f>
        <v>4.4308167988433134</v>
      </c>
      <c r="C2093" s="22">
        <v>87.9</v>
      </c>
      <c r="D2093" s="22">
        <v>61.3</v>
      </c>
      <c r="E2093" s="9">
        <f>'1_Du_lieu'!O463</f>
        <v>43.9</v>
      </c>
      <c r="F2093" s="9">
        <f>'1_Du_lieu'!W463</f>
        <v>5.0931365156079993</v>
      </c>
      <c r="G2093" s="9">
        <f>'1_Du_lieu'!L463</f>
        <v>22.579000000000001</v>
      </c>
      <c r="H2093" s="9">
        <f>'1_Du_lieu'!M463</f>
        <v>49.11</v>
      </c>
      <c r="I2093" s="9">
        <f>'1_Du_lieu'!N463</f>
        <v>53.9</v>
      </c>
    </row>
    <row r="2094" spans="1:9" x14ac:dyDescent="0.25">
      <c r="A2094" t="s">
        <v>109</v>
      </c>
      <c r="B2094" s="7">
        <f>'1_Du_lieu'!V464</f>
        <v>2.8903717578961645</v>
      </c>
      <c r="C2094" s="22">
        <v>79.7</v>
      </c>
      <c r="D2094" s="22">
        <v>39.200000000000003</v>
      </c>
      <c r="E2094" s="9">
        <f>'1_Du_lieu'!O464</f>
        <v>21.1</v>
      </c>
      <c r="F2094" s="9">
        <f>'1_Du_lieu'!W464</f>
        <v>4.4164280613912137</v>
      </c>
      <c r="G2094" s="9">
        <f>'1_Du_lieu'!L464</f>
        <v>4.484</v>
      </c>
      <c r="H2094" s="9">
        <f>'1_Du_lieu'!M464</f>
        <v>22.59</v>
      </c>
      <c r="I2094" s="9">
        <f>'1_Du_lieu'!N464</f>
        <v>32.299999999999997</v>
      </c>
    </row>
    <row r="2095" spans="1:9" x14ac:dyDescent="0.25">
      <c r="A2095" t="s">
        <v>110</v>
      </c>
      <c r="B2095" s="7">
        <f>'1_Du_lieu'!V465</f>
        <v>2.6390573296152584</v>
      </c>
      <c r="C2095" s="22">
        <v>77.8</v>
      </c>
      <c r="D2095" s="22">
        <v>40.200000000000003</v>
      </c>
      <c r="E2095" s="9">
        <f>'1_Du_lieu'!O465</f>
        <v>14.2</v>
      </c>
      <c r="F2095" s="9">
        <f>'1_Du_lieu'!W465</f>
        <v>4.3744983682530902</v>
      </c>
      <c r="G2095" s="9">
        <f>'1_Du_lieu'!L465</f>
        <v>3.4889999999999999</v>
      </c>
      <c r="H2095" s="9">
        <f>'1_Du_lieu'!M465</f>
        <v>26.17</v>
      </c>
      <c r="I2095" s="9">
        <f>'1_Du_lieu'!N465</f>
        <v>25.6</v>
      </c>
    </row>
    <row r="2096" spans="1:9" x14ac:dyDescent="0.25">
      <c r="A2096" t="s">
        <v>111</v>
      </c>
      <c r="B2096" s="7">
        <f>'1_Du_lieu'!V466</f>
        <v>3.2958368660043291</v>
      </c>
      <c r="C2096" s="22">
        <v>85.4</v>
      </c>
      <c r="D2096" s="22">
        <v>44.2</v>
      </c>
      <c r="E2096" s="9">
        <f>'1_Du_lieu'!O466</f>
        <v>23.6</v>
      </c>
      <c r="F2096" s="9">
        <f>'1_Du_lieu'!W466</f>
        <v>4.7681390142662314</v>
      </c>
      <c r="G2096" s="9">
        <f>'1_Du_lieu'!L466</f>
        <v>8.2309999999999999</v>
      </c>
      <c r="H2096" s="9">
        <f>'1_Du_lieu'!M466</f>
        <v>17.09</v>
      </c>
      <c r="I2096" s="9">
        <f>'1_Du_lieu'!N466</f>
        <v>29.3</v>
      </c>
    </row>
    <row r="2097" spans="1:9" x14ac:dyDescent="0.25">
      <c r="A2097" t="s">
        <v>112</v>
      </c>
      <c r="B2097" s="7">
        <f>'1_Du_lieu'!V467</f>
        <v>3.044522437723423</v>
      </c>
      <c r="C2097" s="22">
        <v>86.6</v>
      </c>
      <c r="D2097" s="22">
        <v>53.1</v>
      </c>
      <c r="E2097" s="9">
        <f>'1_Du_lieu'!O467</f>
        <v>23.1</v>
      </c>
      <c r="F2097" s="9">
        <f>'1_Du_lieu'!W467</f>
        <v>4.6653241088078383</v>
      </c>
      <c r="G2097" s="9">
        <f>'1_Du_lieu'!L467</f>
        <v>6.0410000000000004</v>
      </c>
      <c r="H2097" s="9">
        <f>'1_Du_lieu'!M467</f>
        <v>31.87</v>
      </c>
      <c r="I2097" s="9">
        <f>'1_Du_lieu'!N467</f>
        <v>29.4</v>
      </c>
    </row>
    <row r="2098" spans="1:9" x14ac:dyDescent="0.25">
      <c r="A2098" t="s">
        <v>113</v>
      </c>
      <c r="B2098" s="7">
        <f>'1_Du_lieu'!V468</f>
        <v>3.5835189384561099</v>
      </c>
      <c r="C2098" s="22">
        <v>88</v>
      </c>
      <c r="D2098" s="22">
        <v>48.9</v>
      </c>
      <c r="E2098" s="9">
        <f>'1_Du_lieu'!O468</f>
        <v>26.1</v>
      </c>
      <c r="F2098" s="9">
        <f>'1_Du_lieu'!W468</f>
        <v>5.3288465715828597</v>
      </c>
      <c r="G2098" s="9">
        <f>'1_Du_lieu'!L468</f>
        <v>10.497999999999999</v>
      </c>
      <c r="H2098" s="9">
        <f>'1_Du_lieu'!M468</f>
        <v>45.67</v>
      </c>
      <c r="I2098" s="9">
        <f>'1_Du_lieu'!N468</f>
        <v>38</v>
      </c>
    </row>
    <row r="2099" spans="1:9" x14ac:dyDescent="0.25">
      <c r="A2099" t="s">
        <v>114</v>
      </c>
      <c r="B2099" s="7">
        <f>'1_Du_lieu'!V469</f>
        <v>2.7080502011022101</v>
      </c>
      <c r="C2099" s="22">
        <v>77.5</v>
      </c>
      <c r="D2099" s="22">
        <v>35.299999999999997</v>
      </c>
      <c r="E2099" s="9">
        <f>'1_Du_lieu'!O469</f>
        <v>21</v>
      </c>
      <c r="F2099" s="9">
        <f>'1_Du_lieu'!W469</f>
        <v>4.5020294270685781</v>
      </c>
      <c r="G2099" s="9">
        <f>'1_Du_lieu'!L469</f>
        <v>3.9809999999999999</v>
      </c>
      <c r="H2099" s="9">
        <f>'1_Du_lieu'!M469</f>
        <v>28.11</v>
      </c>
      <c r="I2099" s="9">
        <f>'1_Du_lieu'!N469</f>
        <v>14.1</v>
      </c>
    </row>
    <row r="2100" spans="1:9" x14ac:dyDescent="0.25">
      <c r="A2100" t="s">
        <v>115</v>
      </c>
      <c r="B2100" s="7">
        <f>'1_Du_lieu'!V470</f>
        <v>3.2188758248682006</v>
      </c>
      <c r="C2100" s="22">
        <v>83.4</v>
      </c>
      <c r="D2100" s="22">
        <v>51</v>
      </c>
      <c r="E2100" s="9">
        <f>'1_Du_lieu'!O470</f>
        <v>24.4</v>
      </c>
      <c r="F2100" s="9">
        <f>'1_Du_lieu'!W470</f>
        <v>4.6472713620067267</v>
      </c>
      <c r="G2100" s="9">
        <f>'1_Du_lieu'!L470</f>
        <v>9.0359999999999996</v>
      </c>
      <c r="H2100" s="9">
        <f>'1_Du_lieu'!M470</f>
        <v>42.39</v>
      </c>
      <c r="I2100" s="9">
        <f>'1_Du_lieu'!N470</f>
        <v>26.2</v>
      </c>
    </row>
    <row r="2101" spans="1:9" x14ac:dyDescent="0.25">
      <c r="A2101" t="s">
        <v>116</v>
      </c>
      <c r="B2101" s="7">
        <f>'1_Du_lieu'!V471</f>
        <v>2.8332133440562162</v>
      </c>
      <c r="C2101" s="22">
        <v>85.4</v>
      </c>
      <c r="D2101" s="22">
        <v>32.799999999999997</v>
      </c>
      <c r="E2101" s="9">
        <f>'1_Du_lieu'!O471</f>
        <v>19.399999999999999</v>
      </c>
      <c r="F2101" s="9">
        <f>'1_Du_lieu'!W471</f>
        <v>4.3956829611213672</v>
      </c>
      <c r="G2101" s="9">
        <f>'1_Du_lieu'!L471</f>
        <v>4.9249999999999998</v>
      </c>
      <c r="H2101" s="9">
        <f>'1_Du_lieu'!M471</f>
        <v>29.85</v>
      </c>
      <c r="I2101" s="9">
        <f>'1_Du_lieu'!N471</f>
        <v>17.399999999999999</v>
      </c>
    </row>
    <row r="2102" spans="1:9" x14ac:dyDescent="0.25">
      <c r="A2102" t="s">
        <v>117</v>
      </c>
      <c r="B2102" s="7">
        <f>'1_Du_lieu'!V472</f>
        <v>2.5649493574615367</v>
      </c>
      <c r="C2102" s="22">
        <v>72.7</v>
      </c>
      <c r="D2102" s="22">
        <v>39.299999999999997</v>
      </c>
      <c r="E2102" s="9">
        <f>'1_Du_lieu'!O472</f>
        <v>21.7</v>
      </c>
      <c r="F2102" s="9">
        <f>'1_Du_lieu'!W472</f>
        <v>4.2150861799182291</v>
      </c>
      <c r="G2102" s="9">
        <f>'1_Du_lieu'!L472</f>
        <v>3.6059999999999999</v>
      </c>
      <c r="H2102" s="9">
        <f>'1_Du_lieu'!M472</f>
        <v>32.369999999999997</v>
      </c>
      <c r="I2102" s="9">
        <f>'1_Du_lieu'!N472</f>
        <v>18.7</v>
      </c>
    </row>
    <row r="2103" spans="1:9" x14ac:dyDescent="0.25">
      <c r="A2103" t="s">
        <v>119</v>
      </c>
      <c r="B2103" s="7">
        <f>'1_Du_lieu'!V474</f>
        <v>3.0910424533583161</v>
      </c>
      <c r="C2103" s="22">
        <v>80.8</v>
      </c>
      <c r="D2103" s="22">
        <v>44.4</v>
      </c>
      <c r="E2103" s="9">
        <f>'1_Du_lieu'!O474</f>
        <v>19</v>
      </c>
      <c r="F2103" s="9">
        <f>'1_Du_lieu'!W474</f>
        <v>4.6395716127054234</v>
      </c>
      <c r="G2103" s="9">
        <f>'1_Du_lieu'!L474</f>
        <v>7.73</v>
      </c>
      <c r="H2103" s="9">
        <f>'1_Du_lieu'!M474</f>
        <v>18.61</v>
      </c>
      <c r="I2103" s="9">
        <f>'1_Du_lieu'!N474</f>
        <v>17.2</v>
      </c>
    </row>
    <row r="2104" spans="1:9" x14ac:dyDescent="0.25">
      <c r="A2104" t="s">
        <v>120</v>
      </c>
      <c r="B2104" s="7">
        <f>'1_Du_lieu'!V475</f>
        <v>2.9957322735539909</v>
      </c>
      <c r="C2104" s="22">
        <v>76.099999999999994</v>
      </c>
      <c r="D2104" s="22">
        <v>42.4</v>
      </c>
      <c r="E2104" s="9">
        <f>'1_Du_lieu'!O475</f>
        <v>14.1</v>
      </c>
      <c r="F2104" s="9">
        <f>'1_Du_lieu'!W475</f>
        <v>4.5325994931532563</v>
      </c>
      <c r="G2104" s="9">
        <f>'1_Du_lieu'!L475</f>
        <v>4.7409999999999997</v>
      </c>
      <c r="H2104" s="9">
        <f>'1_Du_lieu'!M475</f>
        <v>27.14</v>
      </c>
      <c r="I2104" s="9">
        <f>'1_Du_lieu'!N475</f>
        <v>24</v>
      </c>
    </row>
    <row r="2105" spans="1:9" x14ac:dyDescent="0.25">
      <c r="A2105" t="s">
        <v>121</v>
      </c>
      <c r="B2105" s="7">
        <f>'1_Du_lieu'!V476</f>
        <v>3.2580965380214821</v>
      </c>
      <c r="C2105" s="22">
        <v>86.4</v>
      </c>
      <c r="D2105" s="22">
        <v>57.4</v>
      </c>
      <c r="E2105" s="9">
        <f>'1_Du_lieu'!O476</f>
        <v>30.1</v>
      </c>
      <c r="F2105" s="9">
        <f>'1_Du_lieu'!W476</f>
        <v>4.604169685654508</v>
      </c>
      <c r="G2105" s="9">
        <f>'1_Du_lieu'!L476</f>
        <v>5.9939999999999998</v>
      </c>
      <c r="H2105" s="9">
        <f>'1_Du_lieu'!M476</f>
        <v>39.659999999999997</v>
      </c>
      <c r="I2105" s="9">
        <f>'1_Du_lieu'!N476</f>
        <v>23</v>
      </c>
    </row>
    <row r="2106" spans="1:9" x14ac:dyDescent="0.25">
      <c r="A2106" t="s">
        <v>122</v>
      </c>
      <c r="B2106" s="7">
        <f>'1_Du_lieu'!V477</f>
        <v>2.5649493574615367</v>
      </c>
      <c r="C2106" s="22">
        <v>79.3</v>
      </c>
      <c r="D2106" s="22">
        <v>32.4</v>
      </c>
      <c r="E2106" s="9">
        <f>'1_Du_lieu'!O477</f>
        <v>12.1</v>
      </c>
      <c r="F2106" s="9">
        <f>'1_Du_lieu'!W477</f>
        <v>4.133565275375382</v>
      </c>
      <c r="G2106" s="9">
        <f>'1_Du_lieu'!L477</f>
        <v>3.44</v>
      </c>
      <c r="H2106" s="9">
        <f>'1_Du_lieu'!M477</f>
        <v>23.62</v>
      </c>
      <c r="I2106" s="9">
        <f>'1_Du_lieu'!N477</f>
        <v>29</v>
      </c>
    </row>
    <row r="2107" spans="1:9" x14ac:dyDescent="0.25">
      <c r="A2107" t="s">
        <v>123</v>
      </c>
      <c r="B2107" s="7">
        <f>'1_Du_lieu'!V478</f>
        <v>3.2580965380214821</v>
      </c>
      <c r="C2107" s="22">
        <v>82.6</v>
      </c>
      <c r="D2107" s="22">
        <v>46.6</v>
      </c>
      <c r="E2107" s="9">
        <f>'1_Du_lieu'!O478</f>
        <v>14.8</v>
      </c>
      <c r="F2107" s="9">
        <f>'1_Du_lieu'!W478</f>
        <v>4.0724397268340509</v>
      </c>
      <c r="G2107" s="9">
        <f>'1_Du_lieu'!L478</f>
        <v>3.9430000000000001</v>
      </c>
      <c r="H2107" s="9">
        <f>'1_Du_lieu'!M478</f>
        <v>20.48</v>
      </c>
      <c r="I2107" s="9">
        <f>'1_Du_lieu'!N478</f>
        <v>23.8</v>
      </c>
    </row>
    <row r="2108" spans="1:9" x14ac:dyDescent="0.25">
      <c r="A2108" t="s">
        <v>124</v>
      </c>
      <c r="B2108" s="7">
        <f>'1_Du_lieu'!V479</f>
        <v>3.0910424533583161</v>
      </c>
      <c r="C2108" s="22">
        <v>81.3</v>
      </c>
      <c r="D2108" s="22">
        <v>47.4</v>
      </c>
      <c r="E2108" s="9">
        <f>'1_Du_lieu'!O479</f>
        <v>17.8</v>
      </c>
      <c r="F2108" s="9">
        <f>'1_Du_lieu'!W479</f>
        <v>4.1059436980654525</v>
      </c>
      <c r="G2108" s="9">
        <f>'1_Du_lieu'!L479</f>
        <v>4.1280000000000001</v>
      </c>
      <c r="H2108" s="9">
        <f>'1_Du_lieu'!M479</f>
        <v>15.72</v>
      </c>
      <c r="I2108" s="9">
        <f>'1_Du_lieu'!N479</f>
        <v>26.5</v>
      </c>
    </row>
    <row r="2109" spans="1:9" x14ac:dyDescent="0.25">
      <c r="A2109" t="s">
        <v>125</v>
      </c>
      <c r="B2109" s="7">
        <f>'1_Du_lieu'!V480</f>
        <v>3.1780538303479458</v>
      </c>
      <c r="C2109" s="22">
        <v>84.7</v>
      </c>
      <c r="D2109" s="22">
        <v>46.8</v>
      </c>
      <c r="E2109" s="9">
        <f>'1_Du_lieu'!O480</f>
        <v>26</v>
      </c>
      <c r="F2109" s="9">
        <f>'1_Du_lieu'!W480</f>
        <v>4.5152454784601046</v>
      </c>
      <c r="G2109" s="9">
        <f>'1_Du_lieu'!L480</f>
        <v>5.6769999999999996</v>
      </c>
      <c r="H2109" s="9">
        <f>'1_Du_lieu'!M480</f>
        <v>21.81</v>
      </c>
      <c r="I2109" s="9">
        <f>'1_Du_lieu'!N480</f>
        <v>33.9</v>
      </c>
    </row>
    <row r="2110" spans="1:9" x14ac:dyDescent="0.25">
      <c r="A2110" t="s">
        <v>126</v>
      </c>
      <c r="B2110" s="7">
        <f>'1_Du_lieu'!V481</f>
        <v>2.8332133440562162</v>
      </c>
      <c r="C2110" s="22">
        <v>77.3</v>
      </c>
      <c r="D2110" s="22">
        <v>26.9</v>
      </c>
      <c r="E2110" s="9">
        <f>'1_Du_lieu'!O481</f>
        <v>14.3</v>
      </c>
      <c r="F2110" s="9">
        <f>'1_Du_lieu'!W481</f>
        <v>4.5507140001920323</v>
      </c>
      <c r="G2110" s="9">
        <f>'1_Du_lieu'!L481</f>
        <v>5.2469999999999999</v>
      </c>
      <c r="H2110" s="9">
        <f>'1_Du_lieu'!M481</f>
        <v>36.18</v>
      </c>
      <c r="I2110" s="9">
        <f>'1_Du_lieu'!N481</f>
        <v>18.600000000000001</v>
      </c>
    </row>
    <row r="2111" spans="1:9" x14ac:dyDescent="0.25">
      <c r="A2111" t="s">
        <v>127</v>
      </c>
      <c r="B2111" s="7">
        <f>'1_Du_lieu'!V482</f>
        <v>3.044522437723423</v>
      </c>
      <c r="C2111" s="22">
        <v>86.7</v>
      </c>
      <c r="D2111" s="22">
        <v>47.4</v>
      </c>
      <c r="E2111" s="9">
        <f>'1_Du_lieu'!O482</f>
        <v>29.3</v>
      </c>
      <c r="F2111" s="9">
        <f>'1_Du_lieu'!W482</f>
        <v>4.2918283667557331</v>
      </c>
      <c r="G2111" s="9">
        <f>'1_Du_lieu'!L482</f>
        <v>4.4370000000000003</v>
      </c>
      <c r="H2111" s="9">
        <f>'1_Du_lieu'!M482</f>
        <v>19.52</v>
      </c>
      <c r="I2111" s="9">
        <f>'1_Du_lieu'!N482</f>
        <v>35.200000000000003</v>
      </c>
    </row>
    <row r="2112" spans="1:9" x14ac:dyDescent="0.25">
      <c r="A2112" t="s">
        <v>128</v>
      </c>
      <c r="B2112" s="7">
        <f>'1_Du_lieu'!V483</f>
        <v>2.7725887222397811</v>
      </c>
      <c r="C2112" s="22">
        <v>82.9</v>
      </c>
      <c r="D2112" s="22">
        <v>47.4</v>
      </c>
      <c r="E2112" s="9">
        <f>'1_Du_lieu'!O483</f>
        <v>19.8</v>
      </c>
      <c r="F2112" s="9">
        <f>'1_Du_lieu'!W483</f>
        <v>4.2224445648494164</v>
      </c>
      <c r="G2112" s="9">
        <f>'1_Du_lieu'!L483</f>
        <v>3.9340000000000002</v>
      </c>
      <c r="H2112" s="9">
        <f>'1_Du_lieu'!M483</f>
        <v>33</v>
      </c>
      <c r="I2112" s="9">
        <f>'1_Du_lieu'!N483</f>
        <v>23.9</v>
      </c>
    </row>
    <row r="2113" spans="1:9" x14ac:dyDescent="0.25">
      <c r="A2113" t="s">
        <v>129</v>
      </c>
      <c r="B2113" s="7">
        <f>'1_Du_lieu'!V484</f>
        <v>2.8332133440562162</v>
      </c>
      <c r="C2113" s="22">
        <v>80.900000000000006</v>
      </c>
      <c r="D2113" s="22">
        <v>37.799999999999997</v>
      </c>
      <c r="E2113" s="9">
        <f>'1_Du_lieu'!O484</f>
        <v>15.4</v>
      </c>
      <c r="F2113" s="9">
        <f>'1_Du_lieu'!W484</f>
        <v>4.169761201506855</v>
      </c>
      <c r="G2113" s="9">
        <f>'1_Du_lieu'!L484</f>
        <v>5.6120000000000001</v>
      </c>
      <c r="H2113" s="9">
        <f>'1_Du_lieu'!M484</f>
        <v>23.5</v>
      </c>
      <c r="I2113" s="9">
        <f>'1_Du_lieu'!N484</f>
        <v>28.4</v>
      </c>
    </row>
    <row r="2114" spans="1:9" x14ac:dyDescent="0.25">
      <c r="A2114" t="s">
        <v>130</v>
      </c>
      <c r="B2114" s="7">
        <f>'1_Du_lieu'!V485</f>
        <v>2.9957322735539909</v>
      </c>
      <c r="C2114" s="22">
        <v>73.400000000000006</v>
      </c>
      <c r="D2114" s="22">
        <v>46.2</v>
      </c>
      <c r="E2114" s="9">
        <f>'1_Du_lieu'!O485</f>
        <v>18</v>
      </c>
      <c r="F2114" s="9">
        <f>'1_Du_lieu'!W485</f>
        <v>4.4200447018614026</v>
      </c>
      <c r="G2114" s="9">
        <f>'1_Du_lieu'!L485</f>
        <v>5.468</v>
      </c>
      <c r="H2114" s="9">
        <f>'1_Du_lieu'!M485</f>
        <v>30.75</v>
      </c>
      <c r="I2114" s="9">
        <f>'1_Du_lieu'!N485</f>
        <v>28.5</v>
      </c>
    </row>
    <row r="2115" spans="1:9" x14ac:dyDescent="0.25">
      <c r="A2115" t="s">
        <v>131</v>
      </c>
      <c r="B2115" s="7">
        <f>'1_Du_lieu'!V486</f>
        <v>2.8332133440562162</v>
      </c>
      <c r="C2115" s="22">
        <v>79.7</v>
      </c>
      <c r="D2115" s="22">
        <v>37.5</v>
      </c>
      <c r="E2115" s="9">
        <f>'1_Du_lieu'!O486</f>
        <v>21.9</v>
      </c>
      <c r="F2115" s="9">
        <f>'1_Du_lieu'!W486</f>
        <v>4.6472713620067267</v>
      </c>
      <c r="G2115" s="9">
        <f>'1_Du_lieu'!L486</f>
        <v>4.4930000000000003</v>
      </c>
      <c r="H2115" s="9">
        <f>'1_Du_lieu'!M486</f>
        <v>22.3</v>
      </c>
      <c r="I2115" s="9">
        <f>'1_Du_lieu'!N486</f>
        <v>27.4</v>
      </c>
    </row>
    <row r="2116" spans="1:9" x14ac:dyDescent="0.25">
      <c r="A2116" t="s">
        <v>132</v>
      </c>
      <c r="B2116" s="7">
        <f>'1_Du_lieu'!V487</f>
        <v>3.2580965380214821</v>
      </c>
      <c r="C2116" s="22">
        <v>83.1</v>
      </c>
      <c r="D2116" s="22">
        <v>48.6</v>
      </c>
      <c r="E2116" s="9">
        <f>'1_Du_lieu'!O487</f>
        <v>6.7</v>
      </c>
      <c r="F2116" s="9">
        <f>'1_Du_lieu'!W487</f>
        <v>5.4557483744968653</v>
      </c>
      <c r="G2116" s="9">
        <f>'1_Du_lieu'!L487</f>
        <v>7.7060000000000004</v>
      </c>
      <c r="H2116" s="9">
        <f>'1_Du_lieu'!M487</f>
        <v>69.34</v>
      </c>
      <c r="I2116" s="9">
        <f>'1_Du_lieu'!N487</f>
        <v>42.4</v>
      </c>
    </row>
    <row r="2117" spans="1:9" x14ac:dyDescent="0.25">
      <c r="A2117" t="s">
        <v>133</v>
      </c>
      <c r="B2117" s="7">
        <f>'1_Du_lieu'!V488</f>
        <v>2.8332133440562162</v>
      </c>
      <c r="C2117" s="22">
        <v>80.099999999999994</v>
      </c>
      <c r="D2117" s="22">
        <v>44.9</v>
      </c>
      <c r="E2117" s="9">
        <f>'1_Du_lieu'!O488</f>
        <v>24.5</v>
      </c>
      <c r="F2117" s="9">
        <f>'1_Du_lieu'!W488</f>
        <v>4.3438054218536841</v>
      </c>
      <c r="G2117" s="9">
        <f>'1_Du_lieu'!L488</f>
        <v>5.0620000000000003</v>
      </c>
      <c r="H2117" s="9">
        <f>'1_Du_lieu'!M488</f>
        <v>32.770000000000003</v>
      </c>
      <c r="I2117" s="9">
        <f>'1_Du_lieu'!N488</f>
        <v>30</v>
      </c>
    </row>
    <row r="2118" spans="1:9" x14ac:dyDescent="0.25">
      <c r="A2118" t="s">
        <v>134</v>
      </c>
      <c r="B2118" s="7">
        <f>'1_Du_lieu'!V489</f>
        <v>2.6390573296152584</v>
      </c>
      <c r="C2118" s="22">
        <v>78.5</v>
      </c>
      <c r="D2118" s="22">
        <v>32.1</v>
      </c>
      <c r="E2118" s="9">
        <f>'1_Du_lieu'!O489</f>
        <v>10.5</v>
      </c>
      <c r="F2118" s="9">
        <f>'1_Du_lieu'!W489</f>
        <v>4.1835756959500436</v>
      </c>
      <c r="G2118" s="9">
        <f>'1_Du_lieu'!L489</f>
        <v>2.452</v>
      </c>
      <c r="H2118" s="9">
        <f>'1_Du_lieu'!M489</f>
        <v>34.11</v>
      </c>
      <c r="I2118" s="9">
        <f>'1_Du_lieu'!N489</f>
        <v>12.9</v>
      </c>
    </row>
    <row r="2119" spans="1:9" x14ac:dyDescent="0.25">
      <c r="A2119" t="s">
        <v>136</v>
      </c>
      <c r="B2119" s="7">
        <f>'1_Du_lieu'!V491</f>
        <v>4.4659081186545837</v>
      </c>
      <c r="C2119" s="22">
        <v>92.9</v>
      </c>
      <c r="D2119" s="22">
        <v>63.1</v>
      </c>
      <c r="E2119" s="9">
        <f>'1_Du_lieu'!O491</f>
        <v>40.4</v>
      </c>
      <c r="F2119" s="9">
        <f>'1_Du_lieu'!W491</f>
        <v>5.2187328872051939</v>
      </c>
      <c r="G2119" s="9">
        <f>'1_Du_lieu'!L491</f>
        <v>28.277999999999999</v>
      </c>
      <c r="H2119" s="9">
        <f>'1_Du_lieu'!M491</f>
        <v>77.84</v>
      </c>
      <c r="I2119" s="9">
        <f>'1_Du_lieu'!N491</f>
        <v>37.5</v>
      </c>
    </row>
    <row r="2120" spans="1:9" x14ac:dyDescent="0.25">
      <c r="A2120" t="s">
        <v>137</v>
      </c>
      <c r="B2120" s="7">
        <f>'1_Du_lieu'!V492</f>
        <v>3.1354942159291497</v>
      </c>
      <c r="C2120" s="22">
        <v>81.5</v>
      </c>
      <c r="D2120" s="22">
        <v>38.6</v>
      </c>
      <c r="E2120" s="9">
        <f>'1_Du_lieu'!O492</f>
        <v>14.8</v>
      </c>
      <c r="F2120" s="9">
        <f>'1_Du_lieu'!W492</f>
        <v>4.3981460165537651</v>
      </c>
      <c r="G2120" s="9">
        <f>'1_Du_lieu'!L492</f>
        <v>4.4729999999999999</v>
      </c>
      <c r="H2120" s="9">
        <f>'1_Du_lieu'!M492</f>
        <v>28.11</v>
      </c>
      <c r="I2120" s="9">
        <f>'1_Du_lieu'!N492</f>
        <v>27.9</v>
      </c>
    </row>
    <row r="2121" spans="1:9" x14ac:dyDescent="0.25">
      <c r="A2121" t="s">
        <v>138</v>
      </c>
      <c r="B2121" s="7">
        <f>'1_Du_lieu'!V493</f>
        <v>3.0910424533583161</v>
      </c>
      <c r="C2121" s="22">
        <v>82.6</v>
      </c>
      <c r="D2121" s="22">
        <v>49</v>
      </c>
      <c r="E2121" s="9">
        <f>'1_Du_lieu'!O493</f>
        <v>20.3</v>
      </c>
      <c r="F2121" s="9">
        <f>'1_Du_lieu'!W493</f>
        <v>4.2326561780196128</v>
      </c>
      <c r="G2121" s="9">
        <f>'1_Du_lieu'!L493</f>
        <v>3.673</v>
      </c>
      <c r="H2121" s="9">
        <f>'1_Du_lieu'!M493</f>
        <v>11.88</v>
      </c>
      <c r="I2121" s="9">
        <f>'1_Du_lieu'!N493</f>
        <v>23.9</v>
      </c>
    </row>
    <row r="2122" spans="1:9" x14ac:dyDescent="0.25">
      <c r="A2122" t="s">
        <v>139</v>
      </c>
      <c r="B2122" s="7">
        <f>'1_Du_lieu'!V494</f>
        <v>2.9957322735539909</v>
      </c>
      <c r="C2122" s="22">
        <v>88</v>
      </c>
      <c r="D2122" s="22">
        <v>47.9</v>
      </c>
      <c r="E2122" s="9">
        <f>'1_Du_lieu'!O494</f>
        <v>17.7</v>
      </c>
      <c r="F2122" s="9">
        <f>'1_Du_lieu'!W494</f>
        <v>4.7405748229942946</v>
      </c>
      <c r="G2122" s="9">
        <f>'1_Du_lieu'!L494</f>
        <v>4.4560000000000004</v>
      </c>
      <c r="H2122" s="9">
        <f>'1_Du_lieu'!M494</f>
        <v>40.729999999999997</v>
      </c>
      <c r="I2122" s="9">
        <f>'1_Du_lieu'!N494</f>
        <v>38.1</v>
      </c>
    </row>
    <row r="2123" spans="1:9" x14ac:dyDescent="0.25">
      <c r="A2123" t="s">
        <v>140</v>
      </c>
      <c r="B2123" s="7">
        <f>'1_Du_lieu'!V495</f>
        <v>3.0910424533583161</v>
      </c>
      <c r="C2123" s="22">
        <v>79.599999999999994</v>
      </c>
      <c r="D2123" s="22">
        <v>41.9</v>
      </c>
      <c r="E2123" s="9">
        <f>'1_Du_lieu'!O495</f>
        <v>23.2</v>
      </c>
      <c r="F2123" s="9">
        <f>'1_Du_lieu'!W495</f>
        <v>4.2150861799182291</v>
      </c>
      <c r="G2123" s="9">
        <f>'1_Du_lieu'!L495</f>
        <v>4.5780000000000003</v>
      </c>
      <c r="H2123" s="9">
        <f>'1_Du_lieu'!M495</f>
        <v>52.83</v>
      </c>
      <c r="I2123" s="9">
        <f>'1_Du_lieu'!N495</f>
        <v>31.3</v>
      </c>
    </row>
    <row r="2124" spans="1:9" x14ac:dyDescent="0.25">
      <c r="A2124" t="s">
        <v>141</v>
      </c>
      <c r="B2124" s="7">
        <f>'1_Du_lieu'!V496</f>
        <v>2.8332133440562162</v>
      </c>
      <c r="C2124" s="22">
        <v>80.2</v>
      </c>
      <c r="D2124" s="22">
        <v>38.9</v>
      </c>
      <c r="E2124" s="9">
        <f>'1_Du_lieu'!O496</f>
        <v>18.7</v>
      </c>
      <c r="F2124" s="9">
        <f>'1_Du_lieu'!W496</f>
        <v>4.3412046401536264</v>
      </c>
      <c r="G2124" s="9">
        <f>'1_Du_lieu'!L496</f>
        <v>3.3769999999999998</v>
      </c>
      <c r="H2124" s="9">
        <f>'1_Du_lieu'!M496</f>
        <v>16.850000000000001</v>
      </c>
      <c r="I2124" s="9">
        <f>'1_Du_lieu'!N496</f>
        <v>15.3</v>
      </c>
    </row>
    <row r="2125" spans="1:9" x14ac:dyDescent="0.25">
      <c r="A2125" t="s">
        <v>142</v>
      </c>
      <c r="B2125" s="7">
        <f>'1_Du_lieu'!V497</f>
        <v>2.6390573296152584</v>
      </c>
      <c r="C2125" s="22">
        <v>75.099999999999994</v>
      </c>
      <c r="D2125" s="22">
        <v>30.3</v>
      </c>
      <c r="E2125" s="9">
        <f>'1_Du_lieu'!O497</f>
        <v>4.3</v>
      </c>
      <c r="F2125" s="9">
        <f>'1_Du_lieu'!W497</f>
        <v>4.5538768916005408</v>
      </c>
      <c r="G2125" s="9">
        <f>'1_Du_lieu'!L497</f>
        <v>2.7360000000000002</v>
      </c>
      <c r="H2125" s="9">
        <f>'1_Du_lieu'!M497</f>
        <v>18.46</v>
      </c>
      <c r="I2125" s="9">
        <f>'1_Du_lieu'!N497</f>
        <v>17.399999999999999</v>
      </c>
    </row>
    <row r="2126" spans="1:9" x14ac:dyDescent="0.25">
      <c r="A2126" t="s">
        <v>143</v>
      </c>
      <c r="B2126" s="7">
        <f>'1_Du_lieu'!V498</f>
        <v>2.5649493574615367</v>
      </c>
      <c r="C2126" s="22">
        <v>79.2</v>
      </c>
      <c r="D2126" s="22">
        <v>36.299999999999997</v>
      </c>
      <c r="E2126" s="9">
        <f>'1_Du_lieu'!O498</f>
        <v>16</v>
      </c>
      <c r="F2126" s="9">
        <f>'1_Du_lieu'!W498</f>
        <v>4.0943445622221004</v>
      </c>
      <c r="G2126" s="9">
        <f>'1_Du_lieu'!L498</f>
        <v>2.3330000000000002</v>
      </c>
      <c r="H2126" s="9">
        <f>'1_Du_lieu'!M498</f>
        <v>19.41</v>
      </c>
      <c r="I2126" s="9">
        <f>'1_Du_lieu'!N498</f>
        <v>22.5</v>
      </c>
    </row>
    <row r="2127" spans="1:9" x14ac:dyDescent="0.25">
      <c r="A2127" t="s">
        <v>144</v>
      </c>
      <c r="B2127" s="7">
        <f>'1_Du_lieu'!V499</f>
        <v>2.9444389791664403</v>
      </c>
      <c r="C2127" s="22">
        <v>90</v>
      </c>
      <c r="D2127" s="22">
        <v>37.299999999999997</v>
      </c>
      <c r="E2127" s="9">
        <f>'1_Du_lieu'!O499</f>
        <v>13.8</v>
      </c>
      <c r="F2127" s="9">
        <f>'1_Du_lieu'!W499</f>
        <v>4.6405373298253823</v>
      </c>
      <c r="G2127" s="9">
        <f>'1_Du_lieu'!L499</f>
        <v>4.3609999999999998</v>
      </c>
      <c r="H2127" s="9">
        <f>'1_Du_lieu'!M499</f>
        <v>32.57</v>
      </c>
      <c r="I2127" s="9">
        <f>'1_Du_lieu'!N499</f>
        <v>20.100000000000001</v>
      </c>
    </row>
    <row r="2128" spans="1:9" x14ac:dyDescent="0.25">
      <c r="A2128" t="s">
        <v>145</v>
      </c>
      <c r="B2128" s="7">
        <f>'1_Du_lieu'!V500</f>
        <v>2.6390573296152584</v>
      </c>
      <c r="C2128" s="22">
        <v>82</v>
      </c>
      <c r="D2128" s="22">
        <v>40.9</v>
      </c>
      <c r="E2128" s="9">
        <f>'1_Du_lieu'!O500</f>
        <v>16.600000000000001</v>
      </c>
      <c r="F2128" s="9">
        <f>'1_Du_lieu'!W500</f>
        <v>4.3932138240644463</v>
      </c>
      <c r="G2128" s="9">
        <f>'1_Du_lieu'!L500</f>
        <v>3.0339999999999998</v>
      </c>
      <c r="H2128" s="9">
        <f>'1_Du_lieu'!M500</f>
        <v>22.92</v>
      </c>
      <c r="I2128" s="9">
        <f>'1_Du_lieu'!N500</f>
        <v>17.100000000000001</v>
      </c>
    </row>
    <row r="2129" spans="1:9" x14ac:dyDescent="0.25">
      <c r="A2129" t="s">
        <v>146</v>
      </c>
      <c r="B2129" s="7">
        <f>'1_Du_lieu'!V501</f>
        <v>3.1780538303479458</v>
      </c>
      <c r="C2129" s="22">
        <v>89.3</v>
      </c>
      <c r="D2129" s="22">
        <v>48.5</v>
      </c>
      <c r="E2129" s="9">
        <f>'1_Du_lieu'!O501</f>
        <v>37.200000000000003</v>
      </c>
      <c r="F2129" s="9">
        <f>'1_Du_lieu'!W501</f>
        <v>4.9494688588587685</v>
      </c>
      <c r="G2129" s="9">
        <f>'1_Du_lieu'!L501</f>
        <v>8.3569999999999993</v>
      </c>
      <c r="H2129" s="9">
        <f>'1_Du_lieu'!M501</f>
        <v>34</v>
      </c>
      <c r="I2129" s="9">
        <f>'1_Du_lieu'!N501</f>
        <v>37.299999999999997</v>
      </c>
    </row>
    <row r="2130" spans="1:9" x14ac:dyDescent="0.25">
      <c r="A2130" t="s">
        <v>147</v>
      </c>
      <c r="B2130" s="7">
        <f>'1_Du_lieu'!V502</f>
        <v>2.6390573296152584</v>
      </c>
      <c r="C2130" s="22">
        <v>81.599999999999994</v>
      </c>
      <c r="D2130" s="22">
        <v>35</v>
      </c>
      <c r="E2130" s="9">
        <f>'1_Du_lieu'!O502</f>
        <v>19.600000000000001</v>
      </c>
      <c r="F2130" s="9">
        <f>'1_Du_lieu'!W502</f>
        <v>4.0127729085282891</v>
      </c>
      <c r="G2130" s="9">
        <f>'1_Du_lieu'!L502</f>
        <v>2.66</v>
      </c>
      <c r="H2130" s="9">
        <f>'1_Du_lieu'!M502</f>
        <v>20.97</v>
      </c>
      <c r="I2130" s="9">
        <f>'1_Du_lieu'!N502</f>
        <v>24.2</v>
      </c>
    </row>
    <row r="2131" spans="1:9" x14ac:dyDescent="0.25">
      <c r="A2131" t="s">
        <v>149</v>
      </c>
      <c r="B2131" s="7">
        <f>'1_Du_lieu'!V504</f>
        <v>3.8501476017100584</v>
      </c>
      <c r="C2131" s="22">
        <v>93.5</v>
      </c>
      <c r="D2131" s="22">
        <v>60.3</v>
      </c>
      <c r="E2131" s="9">
        <f>'1_Du_lieu'!O504</f>
        <v>46.3</v>
      </c>
      <c r="F2131" s="9">
        <f>'1_Du_lieu'!W504</f>
        <v>4.78164132910387</v>
      </c>
      <c r="G2131" s="9">
        <f>'1_Du_lieu'!L504</f>
        <v>19.88</v>
      </c>
      <c r="H2131" s="9">
        <f>'1_Du_lieu'!M504</f>
        <v>87.81</v>
      </c>
      <c r="I2131" s="9">
        <f>'1_Du_lieu'!N504</f>
        <v>51.3</v>
      </c>
    </row>
    <row r="2132" spans="1:9" x14ac:dyDescent="0.25">
      <c r="A2132" t="s">
        <v>150</v>
      </c>
      <c r="B2132" s="7">
        <f>'1_Du_lieu'!V505</f>
        <v>3.1354942159291497</v>
      </c>
      <c r="C2132" s="22">
        <v>82.8</v>
      </c>
      <c r="D2132" s="22">
        <v>45.6</v>
      </c>
      <c r="E2132" s="9">
        <f>'1_Du_lieu'!O505</f>
        <v>21.8</v>
      </c>
      <c r="F2132" s="9">
        <f>'1_Du_lieu'!W505</f>
        <v>4.2835865618606288</v>
      </c>
      <c r="G2132" s="9">
        <f>'1_Du_lieu'!L505</f>
        <v>4.2039999999999997</v>
      </c>
      <c r="H2132" s="9">
        <f>'1_Du_lieu'!M505</f>
        <v>26.09</v>
      </c>
      <c r="I2132" s="9">
        <f>'1_Du_lieu'!N505</f>
        <v>19.600000000000001</v>
      </c>
    </row>
    <row r="2133" spans="1:9" x14ac:dyDescent="0.25">
      <c r="A2133" t="s">
        <v>151</v>
      </c>
      <c r="B2133" s="7">
        <f>'1_Du_lieu'!V506</f>
        <v>2.5649493574615367</v>
      </c>
      <c r="C2133" s="22">
        <v>81.900000000000006</v>
      </c>
      <c r="D2133" s="22">
        <v>45.9</v>
      </c>
      <c r="E2133" s="9">
        <f>'1_Du_lieu'!O506</f>
        <v>23.2</v>
      </c>
      <c r="F2133" s="9">
        <f>'1_Du_lieu'!W506</f>
        <v>4.4224485491727972</v>
      </c>
      <c r="G2133" s="9">
        <f>'1_Du_lieu'!L506</f>
        <v>3.9870000000000001</v>
      </c>
      <c r="H2133" s="9">
        <f>'1_Du_lieu'!M506</f>
        <v>17.25</v>
      </c>
      <c r="I2133" s="9">
        <f>'1_Du_lieu'!N506</f>
        <v>17.899999999999999</v>
      </c>
    </row>
    <row r="2134" spans="1:9" x14ac:dyDescent="0.25">
      <c r="A2134" t="s">
        <v>152</v>
      </c>
      <c r="B2134" s="7">
        <f>'1_Du_lieu'!V507</f>
        <v>3.4011973816621555</v>
      </c>
      <c r="C2134" s="22">
        <v>89</v>
      </c>
      <c r="D2134" s="22">
        <v>56.1</v>
      </c>
      <c r="E2134" s="9">
        <f>'1_Du_lieu'!O507</f>
        <v>25.8</v>
      </c>
      <c r="F2134" s="9">
        <f>'1_Du_lieu'!W507</f>
        <v>4.9579375050958063</v>
      </c>
      <c r="G2134" s="9">
        <f>'1_Du_lieu'!L507</f>
        <v>8.23</v>
      </c>
      <c r="H2134" s="9">
        <f>'1_Du_lieu'!M507</f>
        <v>45.36</v>
      </c>
      <c r="I2134" s="9">
        <f>'1_Du_lieu'!N507</f>
        <v>23.7</v>
      </c>
    </row>
    <row r="2135" spans="1:9" x14ac:dyDescent="0.25">
      <c r="A2135" t="s">
        <v>153</v>
      </c>
      <c r="B2135" s="7">
        <f>'1_Du_lieu'!V508</f>
        <v>2.9444389791664403</v>
      </c>
      <c r="C2135" s="22">
        <v>77.8</v>
      </c>
      <c r="D2135" s="22">
        <v>41.2</v>
      </c>
      <c r="E2135" s="9">
        <f>'1_Du_lieu'!O508</f>
        <v>12.1</v>
      </c>
      <c r="F2135" s="9">
        <f>'1_Du_lieu'!W508</f>
        <v>4.3412046401536264</v>
      </c>
      <c r="G2135" s="9">
        <f>'1_Du_lieu'!L508</f>
        <v>2.698</v>
      </c>
      <c r="H2135" s="9">
        <f>'1_Du_lieu'!M508</f>
        <v>20.52</v>
      </c>
      <c r="I2135" s="9">
        <f>'1_Du_lieu'!N508</f>
        <v>16.3</v>
      </c>
    </row>
    <row r="2137" spans="1:9" x14ac:dyDescent="0.25">
      <c r="A2137" s="14" t="s">
        <v>458</v>
      </c>
    </row>
    <row r="2138" spans="1:9" ht="32.1" customHeight="1" x14ac:dyDescent="0.25">
      <c r="A2138" s="3" t="s">
        <v>155</v>
      </c>
      <c r="B2138" s="3" t="s">
        <v>389</v>
      </c>
      <c r="C2138" s="3" t="s">
        <v>444</v>
      </c>
      <c r="D2138" s="3" t="s">
        <v>459</v>
      </c>
      <c r="E2138" s="3" t="s">
        <v>460</v>
      </c>
      <c r="F2138" s="3" t="s">
        <v>393</v>
      </c>
      <c r="G2138" s="3" t="s">
        <v>447</v>
      </c>
    </row>
    <row r="2139" spans="1:9" x14ac:dyDescent="0.25">
      <c r="A2139" t="s">
        <v>456</v>
      </c>
      <c r="B2139" s="12">
        <f>INDEX(LINEST($B$2078:$B$2135,CHOOSE({1,2},$C$2078:$C$2135,$D$2078:$D$2135),TRUE,TRUE),1,2)</f>
        <v>3.2884661445246786E-2</v>
      </c>
      <c r="C2139" s="7">
        <f>INDEX(LINEST($B$2078:$B$2135,CHOOSE({1,2},$C$2078:$C$2135,$D$2078:$D$2135),TRUE,TRUE),2,2)</f>
        <v>8.3364030603687404E-3</v>
      </c>
      <c r="D2139" s="18">
        <v>7.8401332576194995E-3</v>
      </c>
      <c r="E2139" s="18">
        <v>2.73593814077905E-5</v>
      </c>
      <c r="F2139" s="5" t="str">
        <f>IF(E2139="","",IF(E2139&lt;0.01,"***",IF(E2139&lt;0.05,"**",IF(E2139&lt;0.1,"*",""))))</f>
        <v>***</v>
      </c>
      <c r="G2139" s="18">
        <v>3.2884661445246703E-2</v>
      </c>
    </row>
    <row r="2140" spans="1:9" x14ac:dyDescent="0.25">
      <c r="A2140" t="s">
        <v>457</v>
      </c>
      <c r="B2140" s="12">
        <f>INDEX(LINEST($B$2078:$B$2135,CHOOSE({1,2},$C$2078:$C$2135,$D$2078:$D$2135),TRUE,TRUE),1,1)</f>
        <v>2.3996746899148286E-2</v>
      </c>
      <c r="C2140" s="7">
        <f>INDEX(LINEST($B$2078:$B$2135,CHOOSE({1,2},$C$2078:$C$2135,$D$2078:$D$2135),TRUE,TRUE),2,1)</f>
        <v>4.9047314950137946E-3</v>
      </c>
      <c r="D2140" s="18">
        <v>6.0849289335747998E-3</v>
      </c>
      <c r="E2140" s="18">
        <v>8.0255328452837339E-5</v>
      </c>
      <c r="F2140" s="5" t="str">
        <f>IF(E2140="","",IF(E2140&lt;0.01,"***",IF(E2140&lt;0.05,"**",IF(E2140&lt;0.1,"*",""))))</f>
        <v>***</v>
      </c>
      <c r="G2140" s="18">
        <v>2.39967468991482E-2</v>
      </c>
    </row>
    <row r="2141" spans="1:9" x14ac:dyDescent="0.25">
      <c r="A2141" t="s">
        <v>400</v>
      </c>
      <c r="B2141" s="12">
        <f>INDEX(LINEST($B$2078:$B$2135,CHOOSE({1,2},$C$2078:$C$2135,$D$2078:$D$2135),TRUE,TRUE),1,3)</f>
        <v>-0.72929403398345061</v>
      </c>
      <c r="C2141" s="7">
        <f>INDEX(LINEST($B$2078:$B$2135,CHOOSE({1,2},$C$2078:$C$2135,$D$2078:$D$2135),TRUE,TRUE),2,3)</f>
        <v>0.5834311560537</v>
      </c>
      <c r="D2141" s="18">
        <v>0.59137298970576657</v>
      </c>
      <c r="E2141" s="18">
        <v>0.21749304234359501</v>
      </c>
      <c r="F2141" s="5" t="str">
        <f>IF(E2141="","",IF(E2141&lt;0.01,"***",IF(E2141&lt;0.05,"**",IF(E2141&lt;0.1,"*",""))))</f>
        <v/>
      </c>
      <c r="G2141" s="18">
        <v>-0.7292940339834495</v>
      </c>
    </row>
    <row r="2142" spans="1:9" x14ac:dyDescent="0.25">
      <c r="A2142" s="10" t="s">
        <v>341</v>
      </c>
      <c r="B2142" s="12">
        <f>INDEX(LINEST($B$2078:$B$2135,CHOOSE({1,2},$C$2078:$C$2135,$D$2078:$D$2135),TRUE,TRUE),3,1)</f>
        <v>0.6521639511377274</v>
      </c>
    </row>
    <row r="2143" spans="1:9" x14ac:dyDescent="0.25">
      <c r="A2143" s="10" t="s">
        <v>453</v>
      </c>
      <c r="B2143" s="12">
        <f>1-(1-B2142)*(58-1)/(58-2-1)</f>
        <v>0.63951536754273564</v>
      </c>
    </row>
    <row r="2145" spans="1:7" x14ac:dyDescent="0.25">
      <c r="A2145" s="14" t="s">
        <v>461</v>
      </c>
    </row>
    <row r="2146" spans="1:7" ht="32.1" customHeight="1" x14ac:dyDescent="0.25">
      <c r="A2146" s="3" t="s">
        <v>155</v>
      </c>
      <c r="B2146" s="3" t="s">
        <v>389</v>
      </c>
      <c r="C2146" s="3" t="s">
        <v>444</v>
      </c>
      <c r="D2146" s="3" t="s">
        <v>459</v>
      </c>
      <c r="E2146" s="3" t="s">
        <v>460</v>
      </c>
      <c r="F2146" s="3" t="s">
        <v>393</v>
      </c>
      <c r="G2146" s="3" t="s">
        <v>447</v>
      </c>
    </row>
    <row r="2147" spans="1:7" x14ac:dyDescent="0.25">
      <c r="A2147" t="s">
        <v>456</v>
      </c>
      <c r="B2147" s="12">
        <f>INDEX(LINEST($B$2078:$B$2135,CHOOSE({1,2,3,4,5},$C$2078:$C$2135,$D$2078:$D$2135,$F$2078:$F$2135,$G$2078:$G$2135,$H$2078:$H$2135),TRUE,TRUE),1,5)</f>
        <v>1.2424650511772672E-2</v>
      </c>
      <c r="C2147" s="7">
        <f>INDEX(LINEST($B$2078:$B$2135,CHOOSE({1,2,3,4,5},$C$2078:$C$2135,$D$2078:$D$2135,$F$2078:$F$2135,$G$2078:$G$2135,$H$2078:$H$2135),TRUE,TRUE),2,5)</f>
        <v>5.8686873598173313E-3</v>
      </c>
      <c r="D2147" s="18">
        <v>4.4674617105639001E-3</v>
      </c>
      <c r="E2147" s="18">
        <v>5.4167846870012996E-3</v>
      </c>
      <c r="F2147" s="5" t="str">
        <f t="shared" ref="F2147:F2152" si="241">IF(E2147="","",IF(E2147&lt;0.01,"***",IF(E2147&lt;0.05,"**",IF(E2147&lt;0.1,"*",""))))</f>
        <v>***</v>
      </c>
      <c r="G2147" s="18">
        <v>1.24246505117728E-2</v>
      </c>
    </row>
    <row r="2148" spans="1:7" x14ac:dyDescent="0.25">
      <c r="A2148" t="s">
        <v>457</v>
      </c>
      <c r="B2148" s="12">
        <f>INDEX(LINEST($B$2078:$B$2135,CHOOSE({1,2,3,4,5},$C$2078:$C$2135,$D$2078:$D$2135,$F$2078:$F$2135,$G$2078:$G$2135,$H$2078:$H$2135),TRUE,TRUE),1,4)</f>
        <v>8.4159364228721303E-3</v>
      </c>
      <c r="C2148" s="7">
        <f>INDEX(LINEST($B$2078:$B$2135,CHOOSE({1,2,3,4,5},$C$2078:$C$2135,$D$2078:$D$2135,$F$2078:$F$2135,$G$2078:$G$2135,$H$2078:$H$2135),TRUE,TRUE),2,4)</f>
        <v>3.626016147423132E-3</v>
      </c>
      <c r="D2148" s="18">
        <v>3.0989361299775002E-3</v>
      </c>
      <c r="E2148" s="18">
        <v>6.6125789816757E-3</v>
      </c>
      <c r="F2148" s="5" t="str">
        <f t="shared" si="241"/>
        <v>***</v>
      </c>
      <c r="G2148" s="18">
        <v>8.4159364228720002E-3</v>
      </c>
    </row>
    <row r="2149" spans="1:7" x14ac:dyDescent="0.25">
      <c r="A2149" t="s">
        <v>74</v>
      </c>
      <c r="B2149" s="12">
        <f>INDEX(LINEST($B$2078:$B$2135,CHOOSE({1,2,3,4,5},$C$2078:$C$2135,$D$2078:$D$2135,$F$2078:$F$2135,$G$2078:$G$2135,$H$2078:$H$2135),TRUE,TRUE),1,3)</f>
        <v>1.942819129656095E-2</v>
      </c>
      <c r="C2149" s="7">
        <f>INDEX(LINEST($B$2078:$B$2135,CHOOSE({1,2,3,4,5},$C$2078:$C$2135,$D$2078:$D$2135,$F$2078:$F$2135,$G$2078:$G$2135,$H$2078:$H$2135),TRUE,TRUE),2,3)</f>
        <v>8.2748896747718848E-2</v>
      </c>
      <c r="D2149" s="18">
        <v>9.2263822452910205E-2</v>
      </c>
      <c r="E2149" s="18">
        <v>0.83322114749689902</v>
      </c>
      <c r="F2149" s="5" t="str">
        <f t="shared" si="241"/>
        <v/>
      </c>
      <c r="G2149" s="18">
        <v>1.9428191296560701E-2</v>
      </c>
    </row>
    <row r="2150" spans="1:7" x14ac:dyDescent="0.25">
      <c r="A2150" t="s">
        <v>326</v>
      </c>
      <c r="B2150" s="12">
        <f>INDEX(LINEST($B$2078:$B$2135,CHOOSE({1,2,3,4,5},$C$2078:$C$2135,$D$2078:$D$2135,$F$2078:$F$2135,$G$2078:$G$2135,$H$2078:$H$2135),TRUE,TRUE),1,2)</f>
        <v>5.7495678534531428E-2</v>
      </c>
      <c r="C2150" s="7">
        <f>INDEX(LINEST($B$2078:$B$2135,CHOOSE({1,2,3,4,5},$C$2078:$C$2135,$D$2078:$D$2135,$F$2078:$F$2135,$G$2078:$G$2135,$H$2078:$H$2135),TRUE,TRUE),2,2)</f>
        <v>7.7277043692721504E-3</v>
      </c>
      <c r="D2150" s="18">
        <v>7.9926140684490991E-3</v>
      </c>
      <c r="E2150" s="18">
        <v>6.3104317977843673E-13</v>
      </c>
      <c r="F2150" s="5" t="str">
        <f t="shared" si="241"/>
        <v>***</v>
      </c>
      <c r="G2150" s="18">
        <v>5.7495678534531899E-2</v>
      </c>
    </row>
    <row r="2151" spans="1:7" x14ac:dyDescent="0.25">
      <c r="A2151" t="s">
        <v>176</v>
      </c>
      <c r="B2151" s="12">
        <f>INDEX(LINEST($B$2078:$B$2135,CHOOSE({1,2,3,4,5},$C$2078:$C$2135,$D$2078:$D$2135,$F$2078:$F$2135,$G$2078:$G$2135,$H$2078:$H$2135),TRUE,TRUE),1,1)</f>
        <v>-2.4379002513265016E-4</v>
      </c>
      <c r="C2151" s="7">
        <f>INDEX(LINEST($B$2078:$B$2135,CHOOSE({1,2,3,4,5},$C$2078:$C$2135,$D$2078:$D$2135,$F$2078:$F$2135,$G$2078:$G$2135,$H$2078:$H$2135),TRUE,TRUE),2,1)</f>
        <v>1.8894539574900366E-3</v>
      </c>
      <c r="D2151" s="18">
        <v>2.0850489470402001E-3</v>
      </c>
      <c r="E2151" s="18">
        <v>0.90692112990970319</v>
      </c>
      <c r="F2151" s="5" t="str">
        <f t="shared" si="241"/>
        <v/>
      </c>
      <c r="G2151" s="18">
        <v>-2.4379002513270001E-4</v>
      </c>
    </row>
    <row r="2152" spans="1:7" x14ac:dyDescent="0.25">
      <c r="A2152" t="s">
        <v>400</v>
      </c>
      <c r="B2152" s="12">
        <f>INDEX(LINEST($B$2078:$B$2135,CHOOSE({1,2,3,4,5},$C$2078:$C$2135,$D$2078:$D$2135,$F$2078:$F$2135,$G$2078:$G$2135,$H$2078:$H$2135),TRUE,TRUE),1,6)</f>
        <v>1.2046744504186435</v>
      </c>
      <c r="C2152" s="7">
        <f>INDEX(LINEST($B$2078:$B$2135,CHOOSE({1,2,3,4,5},$C$2078:$C$2135,$D$2078:$D$2135,$F$2078:$F$2135,$G$2078:$G$2135,$H$2078:$H$2135),TRUE,TRUE),2,6)</f>
        <v>0.48507216806949754</v>
      </c>
      <c r="D2152" s="18">
        <v>0.42919918231752152</v>
      </c>
      <c r="E2152" s="18">
        <v>5.0036953574982002E-3</v>
      </c>
      <c r="F2152" s="5" t="str">
        <f t="shared" si="241"/>
        <v>***</v>
      </c>
      <c r="G2152" s="18">
        <v>1.2046744504186431</v>
      </c>
    </row>
    <row r="2153" spans="1:7" x14ac:dyDescent="0.25">
      <c r="A2153" s="10" t="s">
        <v>341</v>
      </c>
      <c r="B2153" s="12">
        <f>INDEX(LINEST($B$2078:$B$2135,CHOOSE({1,2,3,4,5},$C$2078:$C$2135,$D$2078:$D$2135,$F$2078:$F$2135,$G$2078:$G$2135,$H$2078:$H$2135),TRUE,TRUE),3,1)</f>
        <v>0.86885079449211933</v>
      </c>
    </row>
    <row r="2154" spans="1:7" x14ac:dyDescent="0.25">
      <c r="A2154" s="10" t="s">
        <v>453</v>
      </c>
      <c r="B2154" s="12">
        <f>1-(1-B2153)*(58-1)/(58-5-1)</f>
        <v>0.85624029396251544</v>
      </c>
    </row>
    <row r="2156" spans="1:7" x14ac:dyDescent="0.25">
      <c r="A2156" s="14" t="s">
        <v>462</v>
      </c>
    </row>
    <row r="2157" spans="1:7" ht="32.1" customHeight="1" x14ac:dyDescent="0.25">
      <c r="A2157" s="3" t="s">
        <v>155</v>
      </c>
      <c r="B2157" s="3" t="s">
        <v>389</v>
      </c>
      <c r="C2157" s="3" t="s">
        <v>444</v>
      </c>
      <c r="D2157" s="3" t="s">
        <v>459</v>
      </c>
      <c r="E2157" s="3" t="s">
        <v>460</v>
      </c>
      <c r="F2157" s="3" t="s">
        <v>393</v>
      </c>
      <c r="G2157" s="3" t="s">
        <v>447</v>
      </c>
    </row>
    <row r="2158" spans="1:7" x14ac:dyDescent="0.25">
      <c r="A2158" t="s">
        <v>179</v>
      </c>
      <c r="B2158" s="12">
        <f>INDEX(LINEST($B$2078:$B$2135,CHOOSE({1,2,3,4,5},$E$2078:$E$2135,$F$2078:$F$2135,$G$2078:$G$2135,$H$2078:$H$2135,$I$2078:$I$2135),TRUE,TRUE),1,5)</f>
        <v>-4.7335671821856749E-4</v>
      </c>
      <c r="C2158" s="7">
        <f>INDEX(LINEST($B$2078:$B$2135,CHOOSE({1,2,3,4,5},$E$2078:$E$2135,$F$2078:$F$2135,$G$2078:$G$2135,$H$2078:$H$2135,$I$2078:$I$2135),TRUE,TRUE),2,5)</f>
        <v>4.6780234869927429E-3</v>
      </c>
      <c r="D2158" s="18">
        <v>4.9614347548865003E-3</v>
      </c>
      <c r="E2158" s="18">
        <v>0.92399137814141363</v>
      </c>
      <c r="F2158" s="5" t="str">
        <f t="shared" ref="F2158:F2163" si="242">IF(E2158="","",IF(E2158&lt;0.01,"***",IF(E2158&lt;0.05,"**",IF(E2158&lt;0.1,"*",""))))</f>
        <v/>
      </c>
      <c r="G2158" s="18">
        <v>-4.733567182173E-4</v>
      </c>
    </row>
    <row r="2159" spans="1:7" x14ac:dyDescent="0.25">
      <c r="A2159" t="s">
        <v>74</v>
      </c>
      <c r="B2159" s="12">
        <f>INDEX(LINEST($B$2078:$B$2135,CHOOSE({1,2,3,4,5},$E$2078:$E$2135,$F$2078:$F$2135,$G$2078:$G$2135,$H$2078:$H$2135,$I$2078:$I$2135),TRUE,TRUE),1,4)</f>
        <v>0.1012617703113827</v>
      </c>
      <c r="C2159" s="7">
        <f>INDEX(LINEST($B$2078:$B$2135,CHOOSE({1,2,3,4,5},$E$2078:$E$2135,$F$2078:$F$2135,$G$2078:$G$2135,$H$2078:$H$2135,$I$2078:$I$2135),TRUE,TRUE),2,4)</f>
        <v>9.0118751788461696E-2</v>
      </c>
      <c r="D2159" s="18">
        <v>9.5544443549889904E-2</v>
      </c>
      <c r="E2159" s="18">
        <v>0.28921764695205671</v>
      </c>
      <c r="F2159" s="5" t="str">
        <f t="shared" si="242"/>
        <v/>
      </c>
      <c r="G2159" s="18">
        <v>0.1012617703113704</v>
      </c>
    </row>
    <row r="2160" spans="1:7" x14ac:dyDescent="0.25">
      <c r="A2160" t="s">
        <v>326</v>
      </c>
      <c r="B2160" s="12">
        <f>INDEX(LINEST($B$2078:$B$2135,CHOOSE({1,2,3,4,5},$E$2078:$E$2135,$F$2078:$F$2135,$G$2078:$G$2135,$H$2078:$H$2135,$I$2078:$I$2135),TRUE,TRUE),1,3)</f>
        <v>6.791499087042599E-2</v>
      </c>
      <c r="C2160" s="7">
        <f>INDEX(LINEST($B$2078:$B$2135,CHOOSE({1,2,3,4,5},$E$2078:$E$2135,$F$2078:$F$2135,$G$2078:$G$2135,$H$2078:$H$2135,$I$2078:$I$2135),TRUE,TRUE),2,3)</f>
        <v>1.0234310672344656E-2</v>
      </c>
      <c r="D2160" s="18">
        <v>9.9804387696745996E-3</v>
      </c>
      <c r="E2160" s="18">
        <v>1.01182592202909E-11</v>
      </c>
      <c r="F2160" s="5" t="str">
        <f t="shared" si="242"/>
        <v>***</v>
      </c>
      <c r="G2160" s="18">
        <v>6.7914990870422895E-2</v>
      </c>
    </row>
    <row r="2161" spans="1:7" x14ac:dyDescent="0.25">
      <c r="A2161" t="s">
        <v>176</v>
      </c>
      <c r="B2161" s="12">
        <f>INDEX(LINEST($B$2078:$B$2135,CHOOSE({1,2,3,4,5},$E$2078:$E$2135,$F$2078:$F$2135,$G$2078:$G$2135,$H$2078:$H$2135,$I$2078:$I$2135),TRUE,TRUE),1,2)</f>
        <v>-6.7314498635063613E-4</v>
      </c>
      <c r="C2161" s="7">
        <f>INDEX(LINEST($B$2078:$B$2135,CHOOSE({1,2,3,4,5},$E$2078:$E$2135,$F$2078:$F$2135,$G$2078:$G$2135,$H$2078:$H$2135,$I$2078:$I$2135),TRUE,TRUE),2,2)</f>
        <v>2.1053727540773608E-3</v>
      </c>
      <c r="D2161" s="18">
        <v>2.0842971441612001E-3</v>
      </c>
      <c r="E2161" s="18">
        <v>0.74672539715082653</v>
      </c>
      <c r="F2161" s="5" t="str">
        <f t="shared" si="242"/>
        <v/>
      </c>
      <c r="G2161" s="18">
        <v>-6.7314498634989995E-4</v>
      </c>
    </row>
    <row r="2162" spans="1:7" x14ac:dyDescent="0.25">
      <c r="A2162" t="s">
        <v>327</v>
      </c>
      <c r="B2162" s="12">
        <f>INDEX(LINEST($B$2078:$B$2135,CHOOSE({1,2,3,4,5},$E$2078:$E$2135,$F$2078:$F$2135,$G$2078:$G$2135,$H$2078:$H$2135,$I$2078:$I$2135),TRUE,TRUE),1,1)</f>
        <v>4.335402308187678E-3</v>
      </c>
      <c r="C2162" s="7">
        <f>INDEX(LINEST($B$2078:$B$2135,CHOOSE({1,2,3,4,5},$E$2078:$E$2135,$F$2078:$F$2135,$G$2078:$G$2135,$H$2078:$H$2135,$I$2078:$I$2135),TRUE,TRUE),2,1)</f>
        <v>3.6368348689960464E-3</v>
      </c>
      <c r="D2162" s="18">
        <v>3.6150972410615E-3</v>
      </c>
      <c r="E2162" s="18">
        <v>0.23043107944878011</v>
      </c>
      <c r="F2162" s="5" t="str">
        <f t="shared" si="242"/>
        <v/>
      </c>
      <c r="G2162" s="18">
        <v>4.3354023081886E-3</v>
      </c>
    </row>
    <row r="2163" spans="1:7" x14ac:dyDescent="0.25">
      <c r="A2163" t="s">
        <v>400</v>
      </c>
      <c r="B2163" s="12">
        <f>INDEX(LINEST($B$2078:$B$2135,CHOOSE({1,2,3,4,5},$E$2078:$E$2135,$F$2078:$F$2135,$G$2078:$G$2135,$H$2078:$H$2135,$I$2078:$I$2135),TRUE,TRUE),1,6)</f>
        <v>2.0750640366835404</v>
      </c>
      <c r="C2163" s="7">
        <f>INDEX(LINEST($B$2078:$B$2135,CHOOSE({1,2,3,4,5},$E$2078:$E$2135,$F$2078:$F$2135,$G$2078:$G$2135,$H$2078:$H$2135,$I$2078:$I$2135),TRUE,TRUE),2,6)</f>
        <v>0.37842888240777051</v>
      </c>
      <c r="D2163" s="18">
        <v>0.39642331760714289</v>
      </c>
      <c r="E2163" s="18">
        <v>1.6546329475397731E-7</v>
      </c>
      <c r="F2163" s="5" t="str">
        <f t="shared" si="242"/>
        <v>***</v>
      </c>
      <c r="G2163" s="18">
        <v>2.0750640366835391</v>
      </c>
    </row>
    <row r="2164" spans="1:7" x14ac:dyDescent="0.25">
      <c r="A2164" s="10" t="s">
        <v>341</v>
      </c>
      <c r="B2164" s="12">
        <f>INDEX(LINEST($B$2078:$B$2135,CHOOSE({1,2,3,4,5},$E$2078:$E$2135,$F$2078:$F$2135,$G$2078:$G$2135,$H$2078:$H$2135,$I$2078:$I$2135),TRUE,TRUE),3,1)</f>
        <v>0.83893644547982016</v>
      </c>
    </row>
    <row r="2165" spans="1:7" x14ac:dyDescent="0.25">
      <c r="A2165" s="10" t="s">
        <v>453</v>
      </c>
      <c r="B2165" s="12">
        <f>1-(1-B2164)*(58-1)/(58-5-1)</f>
        <v>0.82344956523749513</v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/>
  </sheetViews>
  <sheetFormatPr defaultRowHeight="15" x14ac:dyDescent="0.25"/>
  <cols>
    <col min="1" max="1" width="40" customWidth="1"/>
    <col min="2" max="3" width="14" customWidth="1"/>
    <col min="4" max="5" width="12" customWidth="1"/>
    <col min="6" max="6" width="16" customWidth="1"/>
    <col min="7" max="7" width="12" customWidth="1"/>
    <col min="8" max="8" width="18" customWidth="1"/>
    <col min="9" max="12" width="12" customWidth="1"/>
    <col min="13" max="13" width="10" customWidth="1"/>
  </cols>
  <sheetData>
    <row r="1" spans="1:12" ht="17.25" x14ac:dyDescent="0.3">
      <c r="A1" s="1" t="s">
        <v>463</v>
      </c>
    </row>
    <row r="2" spans="1:12" ht="44.1" customHeight="1" x14ac:dyDescent="0.25">
      <c r="A2" s="26" t="s">
        <v>464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ht="32.1" customHeight="1" x14ac:dyDescent="0.25">
      <c r="A4" s="3" t="s">
        <v>155</v>
      </c>
      <c r="B4" s="3" t="s">
        <v>465</v>
      </c>
      <c r="C4" s="3" t="s">
        <v>466</v>
      </c>
      <c r="D4" s="3" t="s">
        <v>467</v>
      </c>
      <c r="E4" s="3" t="s">
        <v>468</v>
      </c>
      <c r="F4" s="3" t="s">
        <v>469</v>
      </c>
      <c r="G4" s="3" t="s">
        <v>470</v>
      </c>
      <c r="H4" s="3" t="s">
        <v>471</v>
      </c>
    </row>
    <row r="5" spans="1:12" x14ac:dyDescent="0.25">
      <c r="A5" t="s">
        <v>74</v>
      </c>
      <c r="B5" s="9">
        <f>AVERAGEIFS('8_Bang6_7_9_OLS'!$D$6:$D$336,'8_Bang6_7_9_OLS'!$AA$6:$AA$336,1)</f>
        <v>4.7114666407074308</v>
      </c>
      <c r="C5" s="9">
        <f>AVERAGEIFS('8_Bang6_7_9_OLS'!$D$6:$D$336,'8_Bang6_7_9_OLS'!$AA$6:$AA$336,0)</f>
        <v>4.1571694768584004</v>
      </c>
      <c r="D5" s="7">
        <f t="shared" ref="D5:D17" si="0">B5-C5</f>
        <v>0.55429716384903038</v>
      </c>
      <c r="E5" s="18">
        <v>-1.4225594791783629E-2</v>
      </c>
      <c r="F5" s="12">
        <f t="shared" ref="F5:F17" si="1">D5*E5</f>
        <v>-7.8852068471512039E-3</v>
      </c>
      <c r="G5" s="13">
        <f t="shared" ref="G5:G17" si="2">F5/$B$22*100</f>
        <v>-1.7323987055764198</v>
      </c>
      <c r="H5" s="18">
        <v>-6.4323417837072999E-3</v>
      </c>
    </row>
    <row r="6" spans="1:12" x14ac:dyDescent="0.25">
      <c r="A6" t="s">
        <v>326</v>
      </c>
      <c r="B6" s="9">
        <f>AVERAGEIFS('8_Bang6_7_9_OLS'!$E$6:$E$336,'8_Bang6_7_9_OLS'!$AA$6:$AA$336,1)</f>
        <v>9.1538823529411761</v>
      </c>
      <c r="C6" s="9">
        <f>AVERAGEIFS('8_Bang6_7_9_OLS'!$E$6:$E$336,'8_Bang6_7_9_OLS'!$AA$6:$AA$336,0)</f>
        <v>4.4084454148471615</v>
      </c>
      <c r="D6" s="7">
        <f t="shared" si="0"/>
        <v>4.7454369380940147</v>
      </c>
      <c r="E6" s="18">
        <v>6.6556486631935294E-2</v>
      </c>
      <c r="F6" s="12">
        <f t="shared" si="1"/>
        <v>0.31583961013294626</v>
      </c>
      <c r="G6" s="13">
        <f t="shared" si="2"/>
        <v>69.390713822777798</v>
      </c>
      <c r="H6" s="18">
        <v>0.21767425171602611</v>
      </c>
    </row>
    <row r="7" spans="1:12" x14ac:dyDescent="0.25">
      <c r="A7" t="s">
        <v>176</v>
      </c>
      <c r="B7" s="9">
        <f>AVERAGEIFS('8_Bang6_7_9_OLS'!$F$6:$F$336,'8_Bang6_7_9_OLS'!$AA$6:$AA$336,1)</f>
        <v>40.142843137254914</v>
      </c>
      <c r="C7" s="9">
        <f>AVERAGEIFS('8_Bang6_7_9_OLS'!$F$6:$F$336,'8_Bang6_7_9_OLS'!$AA$6:$AA$336,0)</f>
        <v>28.419912663755465</v>
      </c>
      <c r="D7" s="7">
        <f t="shared" si="0"/>
        <v>11.722930473499449</v>
      </c>
      <c r="E7" s="18">
        <v>-8.919445162873991E-4</v>
      </c>
      <c r="F7" s="12">
        <f t="shared" si="1"/>
        <v>-1.0456203550656277E-2</v>
      </c>
      <c r="G7" s="13">
        <f t="shared" si="2"/>
        <v>-2.2972527985039357</v>
      </c>
      <c r="H7" s="18">
        <v>-0.15924329804426551</v>
      </c>
    </row>
    <row r="8" spans="1:12" x14ac:dyDescent="0.25">
      <c r="A8" t="s">
        <v>327</v>
      </c>
      <c r="B8" s="9">
        <f>AVERAGEIFS('8_Bang6_7_9_OLS'!$G$6:$G$336,'8_Bang6_7_9_OLS'!$AA$6:$AA$336,1)</f>
        <v>28.899019607843144</v>
      </c>
      <c r="C8" s="9">
        <f>AVERAGEIFS('8_Bang6_7_9_OLS'!$G$6:$G$336,'8_Bang6_7_9_OLS'!$AA$6:$AA$336,0)</f>
        <v>21.381659388646273</v>
      </c>
      <c r="D8" s="7">
        <f t="shared" si="0"/>
        <v>7.5173602191968705</v>
      </c>
      <c r="E8" s="18">
        <v>-2.9949757199655789E-4</v>
      </c>
      <c r="F8" s="12">
        <f t="shared" si="1"/>
        <v>-2.2514311334729748E-3</v>
      </c>
      <c r="G8" s="13">
        <f t="shared" si="2"/>
        <v>-0.49464477684972524</v>
      </c>
      <c r="H8" s="18">
        <v>0.1631823833295617</v>
      </c>
    </row>
    <row r="9" spans="1:12" x14ac:dyDescent="0.25">
      <c r="A9" t="s">
        <v>380</v>
      </c>
      <c r="B9" s="9">
        <f>AVERAGEIFS('8_Bang6_7_9_OLS'!$H$6:$H$336,'8_Bang6_7_9_OLS'!$AA$6:$AA$336,1)</f>
        <v>2.7841184200099645</v>
      </c>
      <c r="C9" s="9">
        <f>AVERAGEIFS('8_Bang6_7_9_OLS'!$H$6:$H$336,'8_Bang6_7_9_OLS'!$AA$6:$AA$336,0)</f>
        <v>2.1585647842676869</v>
      </c>
      <c r="D9" s="7">
        <f t="shared" si="0"/>
        <v>0.62555363574227751</v>
      </c>
      <c r="E9" s="18">
        <v>3.7157758802798743E-2</v>
      </c>
      <c r="F9" s="12">
        <f t="shared" si="1"/>
        <v>2.3244171115125372E-2</v>
      </c>
      <c r="G9" s="13">
        <f t="shared" si="2"/>
        <v>5.1067996988041253</v>
      </c>
      <c r="H9" s="18">
        <v>0.2885238430160465</v>
      </c>
    </row>
    <row r="10" spans="1:12" x14ac:dyDescent="0.25">
      <c r="A10" t="s">
        <v>183</v>
      </c>
      <c r="B10" s="9">
        <f>AVERAGEIFS('8_Bang6_7_9_OLS'!$I$6:$I$336,'8_Bang6_7_9_OLS'!$AA$6:$AA$336,1)</f>
        <v>1.4994776465328947</v>
      </c>
      <c r="C10" s="9">
        <f>AVERAGEIFS('8_Bang6_7_9_OLS'!$I$6:$I$336,'8_Bang6_7_9_OLS'!$AA$6:$AA$336,0)</f>
        <v>1.2504260908958018</v>
      </c>
      <c r="D10" s="7">
        <f t="shared" si="0"/>
        <v>0.24905155563709291</v>
      </c>
      <c r="E10" s="18">
        <v>-3.1466965508016233E-2</v>
      </c>
      <c r="F10" s="12">
        <f t="shared" si="1"/>
        <v>-7.8368967109501888E-3</v>
      </c>
      <c r="G10" s="13">
        <f t="shared" si="2"/>
        <v>-1.7217848537088436</v>
      </c>
      <c r="H10" s="18">
        <v>-9.6720383754941894E-2</v>
      </c>
    </row>
    <row r="11" spans="1:12" x14ac:dyDescent="0.25">
      <c r="A11" t="s">
        <v>381</v>
      </c>
      <c r="B11" s="9">
        <f>AVERAGEIFS('8_Bang6_7_9_OLS'!$J$6:$J$336,'8_Bang6_7_9_OLS'!$AA$6:$AA$336,1)</f>
        <v>8.6671204745493409</v>
      </c>
      <c r="C11" s="9">
        <f>AVERAGEIFS('8_Bang6_7_9_OLS'!$J$6:$J$336,'8_Bang6_7_9_OLS'!$AA$6:$AA$336,0)</f>
        <v>6.9097791461344489</v>
      </c>
      <c r="D11" s="7">
        <f t="shared" si="0"/>
        <v>1.757341328414892</v>
      </c>
      <c r="E11" s="18">
        <v>1.190036704721778E-2</v>
      </c>
      <c r="F11" s="12">
        <f t="shared" si="1"/>
        <v>2.0913006835382501E-2</v>
      </c>
      <c r="G11" s="13">
        <f t="shared" si="2"/>
        <v>4.5946373600099841</v>
      </c>
      <c r="H11" s="18">
        <v>-0.47309962030673208</v>
      </c>
    </row>
    <row r="12" spans="1:12" x14ac:dyDescent="0.25">
      <c r="A12" t="s">
        <v>179</v>
      </c>
      <c r="B12" s="9">
        <f>AVERAGEIFS('8_Bang6_7_9_OLS'!$K$6:$K$336,'8_Bang6_7_9_OLS'!$AA$6:$AA$336,1)</f>
        <v>26.618627450980402</v>
      </c>
      <c r="C12" s="9">
        <f>AVERAGEIFS('8_Bang6_7_9_OLS'!$K$6:$K$336,'8_Bang6_7_9_OLS'!$AA$6:$AA$336,0)</f>
        <v>20.12882096069869</v>
      </c>
      <c r="D12" s="7">
        <f t="shared" si="0"/>
        <v>6.4898064902817119</v>
      </c>
      <c r="E12" s="18">
        <v>2.7148460853312711E-3</v>
      </c>
      <c r="F12" s="12">
        <f t="shared" si="1"/>
        <v>1.7618825744698779E-2</v>
      </c>
      <c r="G12" s="13">
        <f t="shared" si="2"/>
        <v>3.8708979365481149</v>
      </c>
      <c r="H12" s="18">
        <v>-0.23559133170615459</v>
      </c>
    </row>
    <row r="13" spans="1:12" x14ac:dyDescent="0.25">
      <c r="A13" t="s">
        <v>395</v>
      </c>
      <c r="B13" s="9">
        <f>AVERAGEIFS('8_Bang6_7_9_OLS'!$L$6:$L$336,'8_Bang6_7_9_OLS'!$AA$6:$AA$336,1)</f>
        <v>0.16666666666666666</v>
      </c>
      <c r="C13" s="9">
        <f>AVERAGEIFS('8_Bang6_7_9_OLS'!$L$6:$L$336,'8_Bang6_7_9_OLS'!$AA$6:$AA$336,0)</f>
        <v>0.16157205240174671</v>
      </c>
      <c r="D13" s="7">
        <f t="shared" si="0"/>
        <v>5.0946142649199444E-3</v>
      </c>
      <c r="E13" s="18">
        <v>1.8780654066045191E-2</v>
      </c>
      <c r="F13" s="12">
        <f t="shared" si="1"/>
        <v>9.568018810940058E-5</v>
      </c>
      <c r="G13" s="13">
        <f t="shared" si="2"/>
        <v>2.1021164979320602E-2</v>
      </c>
      <c r="H13" s="18">
        <v>8.2233745783300005E-4</v>
      </c>
    </row>
    <row r="14" spans="1:12" x14ac:dyDescent="0.25">
      <c r="A14" t="s">
        <v>396</v>
      </c>
      <c r="B14" s="9">
        <f>AVERAGEIFS('8_Bang6_7_9_OLS'!$M$6:$M$336,'8_Bang6_7_9_OLS'!$AA$6:$AA$336,1)</f>
        <v>0.16666666666666666</v>
      </c>
      <c r="C14" s="9">
        <f>AVERAGEIFS('8_Bang6_7_9_OLS'!$M$6:$M$336,'8_Bang6_7_9_OLS'!$AA$6:$AA$336,0)</f>
        <v>0.16593886462882096</v>
      </c>
      <c r="D14" s="7">
        <f t="shared" si="0"/>
        <v>7.2780203784569841E-4</v>
      </c>
      <c r="E14" s="18">
        <v>-1.7812617097482979</v>
      </c>
      <c r="F14" s="12">
        <f t="shared" si="1"/>
        <v>-1.2964059022913242E-3</v>
      </c>
      <c r="G14" s="13">
        <f t="shared" si="2"/>
        <v>-0.28482346126944336</v>
      </c>
      <c r="H14" s="18">
        <v>4.23997567113025E-2</v>
      </c>
    </row>
    <row r="15" spans="1:12" x14ac:dyDescent="0.25">
      <c r="A15" t="s">
        <v>397</v>
      </c>
      <c r="B15" s="9">
        <f>AVERAGEIFS('8_Bang6_7_9_OLS'!$N$6:$N$336,'8_Bang6_7_9_OLS'!$AA$6:$AA$336,1)</f>
        <v>0.16666666666666666</v>
      </c>
      <c r="C15" s="9">
        <f>AVERAGEIFS('8_Bang6_7_9_OLS'!$N$6:$N$336,'8_Bang6_7_9_OLS'!$AA$6:$AA$336,0)</f>
        <v>0.16593886462882096</v>
      </c>
      <c r="D15" s="7">
        <f t="shared" si="0"/>
        <v>7.2780203784569841E-4</v>
      </c>
      <c r="E15" s="18">
        <v>-0.82417834622056996</v>
      </c>
      <c r="F15" s="12">
        <f t="shared" si="1"/>
        <v>-5.9983867992762841E-4</v>
      </c>
      <c r="G15" s="13">
        <f t="shared" si="2"/>
        <v>-0.13178598517510332</v>
      </c>
      <c r="H15" s="18">
        <v>3.8226149683014E-2</v>
      </c>
    </row>
    <row r="16" spans="1:12" x14ac:dyDescent="0.25">
      <c r="A16" t="s">
        <v>398</v>
      </c>
      <c r="B16" s="9">
        <f>AVERAGEIFS('8_Bang6_7_9_OLS'!$O$6:$O$336,'8_Bang6_7_9_OLS'!$AA$6:$AA$336,1)</f>
        <v>0.16666666666666666</v>
      </c>
      <c r="C16" s="9">
        <f>AVERAGEIFS('8_Bang6_7_9_OLS'!$O$6:$O$336,'8_Bang6_7_9_OLS'!$AA$6:$AA$336,0)</f>
        <v>0.17467248908296942</v>
      </c>
      <c r="D16" s="7">
        <f t="shared" si="0"/>
        <v>-8.0058224163027658E-3</v>
      </c>
      <c r="E16" s="18">
        <v>-0.88165364920846645</v>
      </c>
      <c r="F16" s="12">
        <f t="shared" si="1"/>
        <v>7.0583625482482761E-3</v>
      </c>
      <c r="G16" s="13">
        <f t="shared" si="2"/>
        <v>1.5507390457984158</v>
      </c>
      <c r="H16" s="18">
        <v>2.2297833642601E-2</v>
      </c>
    </row>
    <row r="17" spans="1:13" x14ac:dyDescent="0.25">
      <c r="A17" t="s">
        <v>399</v>
      </c>
      <c r="B17" s="9">
        <f>AVERAGEIFS('8_Bang6_7_9_OLS'!$P$6:$P$336,'8_Bang6_7_9_OLS'!$AA$6:$AA$336,1)</f>
        <v>0.16666666666666666</v>
      </c>
      <c r="C17" s="9">
        <f>AVERAGEIFS('8_Bang6_7_9_OLS'!$P$6:$P$336,'8_Bang6_7_9_OLS'!$AA$6:$AA$336,0)</f>
        <v>0.17467248908296942</v>
      </c>
      <c r="D17" s="7">
        <f t="shared" si="0"/>
        <v>-8.0058224163027658E-3</v>
      </c>
      <c r="E17" s="18">
        <v>-0.68343091044499182</v>
      </c>
      <c r="F17" s="12">
        <f t="shared" si="1"/>
        <v>5.4714265028347232E-3</v>
      </c>
      <c r="G17" s="13">
        <f t="shared" si="2"/>
        <v>1.2020854208272149</v>
      </c>
      <c r="H17" s="18">
        <v>1.6291456887788099E-2</v>
      </c>
    </row>
    <row r="18" spans="1:13" x14ac:dyDescent="0.25">
      <c r="A18" t="s">
        <v>400</v>
      </c>
      <c r="H18" s="18">
        <v>0.27691506926205539</v>
      </c>
    </row>
    <row r="19" spans="1:13" x14ac:dyDescent="0.25">
      <c r="A19" s="10" t="s">
        <v>472</v>
      </c>
      <c r="B19" s="7">
        <f>AVERAGEIFS('8_Bang6_7_9_OLS'!$C$6:$C$336,'8_Bang6_7_9_OLS'!$AA$6:$AA$336,1)</f>
        <v>3.3129370791029591</v>
      </c>
      <c r="C19" s="7">
        <f>AVERAGEIFS('8_Bang6_7_9_OLS'!$C$6:$C$336,'8_Bang6_7_9_OLS'!$AA$6:$AA$336,0)</f>
        <v>2.8577758727496234</v>
      </c>
    </row>
    <row r="20" spans="1:13" x14ac:dyDescent="0.25">
      <c r="A20" s="10" t="s">
        <v>473</v>
      </c>
      <c r="B20" s="5">
        <f>COUNTIF('8_Bang6_7_9_OLS'!$AA$6:$AA$336,1)</f>
        <v>102</v>
      </c>
      <c r="C20" s="5">
        <f>COUNTIF('8_Bang6_7_9_OLS'!$AA$6:$AA$336,0)</f>
        <v>229</v>
      </c>
    </row>
    <row r="22" spans="1:13" x14ac:dyDescent="0.25">
      <c r="A22" s="10" t="s">
        <v>474</v>
      </c>
      <c r="B22" s="12">
        <f>B19-C19</f>
        <v>0.45516120635333568</v>
      </c>
      <c r="C22" s="8">
        <f>(EXP(B22)-1)*100</f>
        <v>57.642749267878912</v>
      </c>
      <c r="D22" t="s">
        <v>475</v>
      </c>
    </row>
    <row r="23" spans="1:13" x14ac:dyDescent="0.25">
      <c r="A23" s="10" t="s">
        <v>476</v>
      </c>
      <c r="B23" s="12">
        <f>SUM($F$5:$F$17)</f>
        <v>0.35991510024289575</v>
      </c>
      <c r="C23" s="13">
        <f>B23/B22*100</f>
        <v>79.074203868661513</v>
      </c>
      <c r="D23" t="s">
        <v>470</v>
      </c>
      <c r="E23" s="18">
        <v>0.1292815534767818</v>
      </c>
      <c r="F23" t="s">
        <v>477</v>
      </c>
    </row>
    <row r="24" spans="1:13" x14ac:dyDescent="0.25">
      <c r="A24" s="10" t="s">
        <v>478</v>
      </c>
      <c r="B24" s="12">
        <f>B22-B23</f>
        <v>9.5246106110439932E-2</v>
      </c>
      <c r="C24" s="13">
        <f>B24/B22*100</f>
        <v>20.925796131338494</v>
      </c>
      <c r="D24" t="s">
        <v>470</v>
      </c>
      <c r="E24" s="18">
        <v>5.9769097577439E-2</v>
      </c>
      <c r="F24" t="s">
        <v>479</v>
      </c>
    </row>
    <row r="27" spans="1:13" x14ac:dyDescent="0.25">
      <c r="A27" s="14" t="s">
        <v>480</v>
      </c>
    </row>
    <row r="28" spans="1:13" ht="32.1" customHeight="1" x14ac:dyDescent="0.25">
      <c r="A28" s="3" t="s">
        <v>481</v>
      </c>
      <c r="B28" s="3" t="s">
        <v>482</v>
      </c>
      <c r="C28" s="3" t="s">
        <v>483</v>
      </c>
      <c r="D28" s="3" t="s">
        <v>484</v>
      </c>
      <c r="E28" s="3" t="s">
        <v>485</v>
      </c>
      <c r="F28" s="3" t="s">
        <v>486</v>
      </c>
      <c r="G28" s="3" t="s">
        <v>487</v>
      </c>
      <c r="H28" s="3" t="s">
        <v>488</v>
      </c>
      <c r="I28" s="3" t="s">
        <v>489</v>
      </c>
      <c r="J28" s="3" t="s">
        <v>490</v>
      </c>
      <c r="K28" s="3" t="s">
        <v>491</v>
      </c>
      <c r="L28" s="3" t="s">
        <v>489</v>
      </c>
      <c r="M28" s="3" t="s">
        <v>492</v>
      </c>
    </row>
    <row r="29" spans="1:13" x14ac:dyDescent="0.25">
      <c r="A29" t="s">
        <v>493</v>
      </c>
      <c r="B29" t="s">
        <v>494</v>
      </c>
      <c r="C29" s="19">
        <v>102</v>
      </c>
      <c r="D29" s="19">
        <v>229</v>
      </c>
      <c r="E29" s="18">
        <v>3.3129370791029622</v>
      </c>
      <c r="F29" s="18">
        <v>2.857775872749623</v>
      </c>
      <c r="G29" s="18">
        <v>0.45516120635333879</v>
      </c>
      <c r="H29" s="18">
        <v>0.35991510024289292</v>
      </c>
      <c r="I29" s="18">
        <v>0.1292815534767818</v>
      </c>
      <c r="J29" s="23">
        <v>79.074203868660348</v>
      </c>
      <c r="K29" s="18">
        <v>9.5246106110427095E-2</v>
      </c>
      <c r="L29" s="18">
        <v>5.9769097577439E-2</v>
      </c>
      <c r="M29" s="23">
        <v>20.925796131335531</v>
      </c>
    </row>
    <row r="30" spans="1:13" x14ac:dyDescent="0.25">
      <c r="A30" t="s">
        <v>493</v>
      </c>
      <c r="B30" t="s">
        <v>495</v>
      </c>
      <c r="C30" s="19">
        <v>102</v>
      </c>
      <c r="D30" s="19">
        <v>229</v>
      </c>
      <c r="E30" s="18">
        <v>3.3129370791029622</v>
      </c>
      <c r="F30" s="18">
        <v>2.857775872749623</v>
      </c>
      <c r="G30" s="18">
        <v>0.45516120635333879</v>
      </c>
      <c r="H30" s="18">
        <v>0.37398052003043769</v>
      </c>
      <c r="I30" s="18">
        <v>0.24093908284869339</v>
      </c>
      <c r="J30" s="23">
        <v>82.164410061809832</v>
      </c>
      <c r="K30" s="18">
        <v>8.1180686322882306E-2</v>
      </c>
      <c r="L30" s="18">
        <v>0.19377847234646869</v>
      </c>
      <c r="M30" s="23">
        <v>17.83558993818604</v>
      </c>
    </row>
    <row r="31" spans="1:13" x14ac:dyDescent="0.25">
      <c r="A31" t="s">
        <v>496</v>
      </c>
      <c r="B31" t="s">
        <v>494</v>
      </c>
      <c r="C31" s="19">
        <v>119</v>
      </c>
      <c r="D31" s="19">
        <v>265</v>
      </c>
      <c r="E31" s="18">
        <v>3.3792903296726742</v>
      </c>
      <c r="F31" s="18">
        <v>2.9460820965259158</v>
      </c>
      <c r="G31" s="18">
        <v>0.43320823314675838</v>
      </c>
      <c r="H31" s="18">
        <v>0.34637794902759822</v>
      </c>
      <c r="I31" s="18"/>
      <c r="J31" s="23">
        <v>79.956455700659646</v>
      </c>
      <c r="K31" s="18">
        <v>8.6830284119172596E-2</v>
      </c>
      <c r="L31" s="18"/>
      <c r="M31" s="23">
        <v>20.043544299343239</v>
      </c>
    </row>
    <row r="32" spans="1:13" x14ac:dyDescent="0.25">
      <c r="A32" t="s">
        <v>496</v>
      </c>
      <c r="B32" t="s">
        <v>495</v>
      </c>
      <c r="C32" s="19">
        <v>119</v>
      </c>
      <c r="D32" s="19">
        <v>265</v>
      </c>
      <c r="E32" s="18">
        <v>3.3792903296726742</v>
      </c>
      <c r="F32" s="18">
        <v>2.9460820965259158</v>
      </c>
      <c r="G32" s="18">
        <v>0.43320823314675838</v>
      </c>
      <c r="H32" s="18">
        <v>0.34288886683669673</v>
      </c>
      <c r="I32" s="18"/>
      <c r="J32" s="23">
        <v>79.151050372705157</v>
      </c>
      <c r="K32" s="18">
        <v>9.0319366310074201E-2</v>
      </c>
      <c r="L32" s="18"/>
      <c r="M32" s="23">
        <v>20.848949627297738</v>
      </c>
    </row>
    <row r="33" spans="1:13" x14ac:dyDescent="0.25">
      <c r="A33" t="s">
        <v>497</v>
      </c>
      <c r="B33" t="s">
        <v>494</v>
      </c>
      <c r="C33" s="19">
        <v>68</v>
      </c>
      <c r="D33" s="19">
        <v>156</v>
      </c>
      <c r="E33" s="18">
        <v>3.0321496242681221</v>
      </c>
      <c r="F33" s="18">
        <v>2.514396932471779</v>
      </c>
      <c r="G33" s="18">
        <v>0.5177526917963422</v>
      </c>
      <c r="H33" s="18">
        <v>0.41599668225104142</v>
      </c>
      <c r="I33" s="18"/>
      <c r="J33" s="23">
        <v>80.346599610663844</v>
      </c>
      <c r="K33" s="18">
        <v>0.1017560095452959</v>
      </c>
      <c r="L33" s="18"/>
      <c r="M33" s="23">
        <v>19.653400389335228</v>
      </c>
    </row>
    <row r="34" spans="1:13" x14ac:dyDescent="0.25">
      <c r="A34" t="s">
        <v>497</v>
      </c>
      <c r="B34" t="s">
        <v>495</v>
      </c>
      <c r="C34" s="19">
        <v>68</v>
      </c>
      <c r="D34" s="19">
        <v>156</v>
      </c>
      <c r="E34" s="18">
        <v>3.0321496242681221</v>
      </c>
      <c r="F34" s="18">
        <v>2.514396932471779</v>
      </c>
      <c r="G34" s="18">
        <v>0.5177526917963422</v>
      </c>
      <c r="H34" s="18">
        <v>0.4371165139804305</v>
      </c>
      <c r="I34" s="18"/>
      <c r="J34" s="23">
        <v>84.425734700452338</v>
      </c>
      <c r="K34" s="18">
        <v>8.0636177815906707E-2</v>
      </c>
      <c r="L34" s="18"/>
      <c r="M34" s="23">
        <v>15.57426529954671</v>
      </c>
    </row>
  </sheetData>
  <mergeCells count="1">
    <mergeCell ref="A2:L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"/>
  <sheetViews>
    <sheetView workbookViewId="0"/>
  </sheetViews>
  <sheetFormatPr defaultRowHeight="15" x14ac:dyDescent="0.25"/>
  <cols>
    <col min="1" max="1" width="10" customWidth="1"/>
    <col min="2" max="2" width="22" customWidth="1"/>
    <col min="3" max="3" width="12" customWidth="1"/>
    <col min="4" max="4" width="22" customWidth="1"/>
    <col min="5" max="5" width="12" customWidth="1"/>
    <col min="6" max="7" width="10" customWidth="1"/>
    <col min="8" max="8" width="14" customWidth="1"/>
  </cols>
  <sheetData>
    <row r="1" spans="1:8" ht="17.25" x14ac:dyDescent="0.3">
      <c r="A1" s="1" t="s">
        <v>498</v>
      </c>
    </row>
    <row r="3" spans="1:8" x14ac:dyDescent="0.25">
      <c r="A3" s="14" t="s">
        <v>499</v>
      </c>
    </row>
    <row r="4" spans="1:8" ht="32.1" customHeight="1" x14ac:dyDescent="0.25">
      <c r="A4" s="3" t="s">
        <v>500</v>
      </c>
      <c r="B4" s="3" t="s">
        <v>501</v>
      </c>
      <c r="C4" s="3" t="s">
        <v>56</v>
      </c>
      <c r="D4" s="3" t="s">
        <v>502</v>
      </c>
      <c r="E4" s="3" t="s">
        <v>56</v>
      </c>
    </row>
    <row r="5" spans="1:8" x14ac:dyDescent="0.25">
      <c r="A5">
        <v>1</v>
      </c>
      <c r="B5" s="5" t="str">
        <f>INDEX('1_Du_lieu'!$A$446:$A$508,MATCH(C5,'1_Du_lieu'!$E$446:$E$508,0))</f>
        <v>TP. Hồ Chí Minh</v>
      </c>
      <c r="C5" s="8">
        <f>LARGE('1_Du_lieu'!$E$446:$E$508,1)</f>
        <v>87</v>
      </c>
      <c r="D5" s="5" t="str">
        <f>INDEX('1_Du_lieu'!$A$446:$A$508,MATCH(E5,'1_Du_lieu'!$E$446:$E$508,0))</f>
        <v>Bắc Kạn</v>
      </c>
      <c r="E5" s="8">
        <f>SMALL('1_Du_lieu'!$E$446:$E$508,1)</f>
        <v>11</v>
      </c>
    </row>
    <row r="6" spans="1:8" x14ac:dyDescent="0.25">
      <c r="A6">
        <v>2</v>
      </c>
      <c r="B6" s="5" t="str">
        <f>INDEX('1_Du_lieu'!$A$446:$A$508,MATCH(C6,'1_Du_lieu'!$E$446:$E$508,0))</f>
        <v>Hà Nội</v>
      </c>
      <c r="C6" s="8">
        <f>LARGE('1_Du_lieu'!$E$446:$E$508,2)</f>
        <v>84</v>
      </c>
      <c r="D6" s="5" t="str">
        <f>INDEX('1_Du_lieu'!$A$446:$A$508,MATCH(E6,'1_Du_lieu'!$E$446:$E$508,0))</f>
        <v>Kon Tum</v>
      </c>
      <c r="E6" s="8">
        <f>SMALL('1_Du_lieu'!$E$446:$E$508,2)</f>
        <v>13</v>
      </c>
    </row>
    <row r="7" spans="1:8" x14ac:dyDescent="0.25">
      <c r="A7">
        <v>3</v>
      </c>
      <c r="B7" s="5" t="str">
        <f>INDEX('1_Du_lieu'!$A$446:$A$508,MATCH(C7,'1_Du_lieu'!$E$446:$E$508,0))</f>
        <v>Bình Dương</v>
      </c>
      <c r="C7" s="8">
        <f>LARGE('1_Du_lieu'!$E$446:$E$508,3)</f>
        <v>51</v>
      </c>
      <c r="D7" s="5" t="str">
        <f>INDEX('1_Du_lieu'!$A$446:$A$508,MATCH(E7,'1_Du_lieu'!$E$446:$E$508,0))</f>
        <v>Kon Tum</v>
      </c>
      <c r="E7" s="8">
        <f>SMALL('1_Du_lieu'!$E$446:$E$508,3)</f>
        <v>13</v>
      </c>
    </row>
    <row r="8" spans="1:8" x14ac:dyDescent="0.25">
      <c r="A8">
        <v>4</v>
      </c>
      <c r="B8" s="5" t="str">
        <f>INDEX('1_Du_lieu'!$A$446:$A$508,MATCH(C8,'1_Du_lieu'!$E$446:$E$508,0))</f>
        <v>Đà Nẵng</v>
      </c>
      <c r="C8" s="8">
        <f>LARGE('1_Du_lieu'!$E$446:$E$508,4)</f>
        <v>47</v>
      </c>
      <c r="D8" s="5" t="str">
        <f>INDEX('1_Du_lieu'!$A$446:$A$508,MATCH(E8,'1_Du_lieu'!$E$446:$E$508,0))</f>
        <v>Kon Tum</v>
      </c>
      <c r="E8" s="8">
        <f>SMALL('1_Du_lieu'!$E$446:$E$508,4)</f>
        <v>13</v>
      </c>
    </row>
    <row r="9" spans="1:8" x14ac:dyDescent="0.25">
      <c r="A9">
        <v>5</v>
      </c>
      <c r="B9" s="5" t="str">
        <f>INDEX('1_Du_lieu'!$A$446:$A$508,MATCH(C9,'1_Du_lieu'!$E$446:$E$508,0))</f>
        <v>Hải Phòng</v>
      </c>
      <c r="C9" s="8">
        <f>LARGE('1_Du_lieu'!$E$446:$E$508,5)</f>
        <v>36</v>
      </c>
      <c r="D9" s="5" t="str">
        <f>INDEX('1_Du_lieu'!$A$446:$A$508,MATCH(E9,'1_Du_lieu'!$E$446:$E$508,0))</f>
        <v>Kon Tum</v>
      </c>
      <c r="E9" s="8">
        <f>SMALL('1_Du_lieu'!$E$446:$E$508,5)</f>
        <v>13</v>
      </c>
    </row>
    <row r="11" spans="1:8" x14ac:dyDescent="0.25">
      <c r="A11" s="14" t="s">
        <v>503</v>
      </c>
    </row>
    <row r="12" spans="1:8" ht="32.1" customHeight="1" x14ac:dyDescent="0.25">
      <c r="A12" s="3" t="s">
        <v>53</v>
      </c>
      <c r="B12" s="3" t="s">
        <v>504</v>
      </c>
      <c r="C12" s="3" t="s">
        <v>505</v>
      </c>
      <c r="D12" s="3" t="s">
        <v>506</v>
      </c>
      <c r="E12" s="3" t="s">
        <v>507</v>
      </c>
      <c r="F12" s="3" t="s">
        <v>508</v>
      </c>
      <c r="G12" s="3" t="s">
        <v>509</v>
      </c>
      <c r="H12" s="3" t="s">
        <v>310</v>
      </c>
    </row>
    <row r="13" spans="1:8" x14ac:dyDescent="0.25">
      <c r="A13">
        <v>2017</v>
      </c>
      <c r="B13" s="8">
        <f>MAX('1_Du_lieu'!$E$5:$E$67)</f>
        <v>78.599999999999994</v>
      </c>
      <c r="C13" s="6">
        <f>MEDIAN('1_Du_lieu'!$E$5:$E$67)</f>
        <v>28.1</v>
      </c>
      <c r="D13" s="11">
        <f t="shared" ref="D13:D20" si="0">B13/C13</f>
        <v>2.7971530249110317</v>
      </c>
      <c r="E13" s="6">
        <f>PERCENTILE('1_Du_lieu'!$E$5:$E$67,0.9)</f>
        <v>38.57</v>
      </c>
      <c r="F13" s="6">
        <f>PERCENTILE('1_Du_lieu'!$E$5:$E$67,0.1)</f>
        <v>23.79</v>
      </c>
      <c r="G13" s="11">
        <f t="shared" ref="G13:G20" si="1">E13/F13</f>
        <v>1.6212694409415722</v>
      </c>
      <c r="H13" s="6">
        <f>AVERAGE('1_Du_lieu'!$E$5:$E$67)</f>
        <v>31.157407407407412</v>
      </c>
    </row>
    <row r="14" spans="1:8" x14ac:dyDescent="0.25">
      <c r="A14">
        <v>2018</v>
      </c>
      <c r="B14" s="8">
        <f>MAX('1_Du_lieu'!$E$68:$E$130)</f>
        <v>82.1</v>
      </c>
      <c r="C14" s="6">
        <f>MEDIAN('1_Du_lieu'!$E$68:$E$130)</f>
        <v>35.15</v>
      </c>
      <c r="D14" s="11">
        <f t="shared" si="0"/>
        <v>2.3357041251778092</v>
      </c>
      <c r="E14" s="6">
        <f>PERCENTILE('1_Du_lieu'!$E$68:$E$130,0.9)</f>
        <v>47.63000000000001</v>
      </c>
      <c r="F14" s="6">
        <f>PERCENTILE('1_Du_lieu'!$E$68:$E$130,0.1)</f>
        <v>29.130000000000003</v>
      </c>
      <c r="G14" s="11">
        <f t="shared" si="1"/>
        <v>1.6350841057329215</v>
      </c>
      <c r="H14" s="6">
        <f>AVERAGE('1_Du_lieu'!$E$68:$E$130)</f>
        <v>37.527777777777764</v>
      </c>
    </row>
    <row r="15" spans="1:8" x14ac:dyDescent="0.25">
      <c r="A15">
        <v>2019</v>
      </c>
      <c r="B15" s="8">
        <f>MAX('1_Du_lieu'!$E$131:$E$193)</f>
        <v>86.8</v>
      </c>
      <c r="C15" s="6">
        <f>MEDIAN('1_Du_lieu'!$E$131:$E$193)</f>
        <v>37.700000000000003</v>
      </c>
      <c r="D15" s="11">
        <f t="shared" si="0"/>
        <v>2.3023872679045092</v>
      </c>
      <c r="E15" s="6">
        <f>PERCENTILE('1_Du_lieu'!$E$131:$E$193,0.9)</f>
        <v>52.050000000000004</v>
      </c>
      <c r="F15" s="6">
        <f>PERCENTILE('1_Du_lieu'!$E$131:$E$193,0.1)</f>
        <v>30.759999999999998</v>
      </c>
      <c r="G15" s="11">
        <f t="shared" si="1"/>
        <v>1.6921326397919378</v>
      </c>
      <c r="H15" s="6">
        <f>AVERAGE('1_Du_lieu'!$E$131:$E$193)</f>
        <v>40.329629629629643</v>
      </c>
    </row>
    <row r="16" spans="1:8" x14ac:dyDescent="0.25">
      <c r="A16">
        <v>2020</v>
      </c>
      <c r="B16" s="8">
        <f>MAX('1_Du_lieu'!$E$194:$E$256)</f>
        <v>89.1</v>
      </c>
      <c r="C16" s="6">
        <f>MEDIAN('1_Du_lieu'!$E$194:$E$256)</f>
        <v>39.799999999999997</v>
      </c>
      <c r="D16" s="11">
        <f t="shared" si="0"/>
        <v>2.2386934673366836</v>
      </c>
      <c r="E16" s="6">
        <f>PERCENTILE('1_Du_lieu'!$E$194:$E$256,0.9)</f>
        <v>54.18</v>
      </c>
      <c r="F16" s="6">
        <f>PERCENTILE('1_Du_lieu'!$E$194:$E$256,0.1)</f>
        <v>31.14</v>
      </c>
      <c r="G16" s="11">
        <f t="shared" si="1"/>
        <v>1.7398843930635837</v>
      </c>
      <c r="H16" s="6">
        <f>AVERAGE('1_Du_lieu'!$E$194:$E$256)</f>
        <v>41.616363636363644</v>
      </c>
    </row>
    <row r="17" spans="1:8" x14ac:dyDescent="0.25">
      <c r="A17">
        <v>2021</v>
      </c>
      <c r="B17" s="8">
        <f>MAX('1_Du_lieu'!$E$257:$E$319)</f>
        <v>67.63</v>
      </c>
      <c r="C17" s="6">
        <f>MEDIAN('1_Du_lieu'!$E$257:$E$319)</f>
        <v>5.79</v>
      </c>
      <c r="D17" s="11">
        <f t="shared" si="0"/>
        <v>11.680483592400689</v>
      </c>
      <c r="E17" s="6">
        <f>PERCENTILE('1_Du_lieu'!$E$257:$E$319,0.9)</f>
        <v>10.55</v>
      </c>
      <c r="F17" s="6">
        <f>PERCENTILE('1_Du_lieu'!$E$257:$E$319,0.1)</f>
        <v>4.55</v>
      </c>
      <c r="G17" s="11">
        <f t="shared" si="1"/>
        <v>2.3186813186813189</v>
      </c>
      <c r="H17" s="6">
        <f>AVERAGE('1_Du_lieu'!$E$257:$E$319)</f>
        <v>8.5376785714285699</v>
      </c>
    </row>
    <row r="18" spans="1:8" x14ac:dyDescent="0.25">
      <c r="A18">
        <v>2022</v>
      </c>
      <c r="B18" s="8">
        <f>MAX('1_Du_lieu'!$E$320:$E$382)</f>
        <v>90.6</v>
      </c>
      <c r="C18" s="6">
        <f>MEDIAN('1_Du_lieu'!$E$320:$E$382)</f>
        <v>16.3</v>
      </c>
      <c r="D18" s="11">
        <f t="shared" si="0"/>
        <v>5.5582822085889561</v>
      </c>
      <c r="E18" s="6">
        <f>PERCENTILE('1_Du_lieu'!$E$320:$E$382,0.9)</f>
        <v>29.450000000000003</v>
      </c>
      <c r="F18" s="6">
        <f>PERCENTILE('1_Du_lieu'!$E$320:$E$382,0.1)</f>
        <v>11.4</v>
      </c>
      <c r="G18" s="11">
        <f t="shared" si="1"/>
        <v>2.5833333333333335</v>
      </c>
      <c r="H18" s="6">
        <f>AVERAGE('1_Du_lieu'!$E$320:$E$382)</f>
        <v>20.376785714285713</v>
      </c>
    </row>
    <row r="19" spans="1:8" x14ac:dyDescent="0.25">
      <c r="A19">
        <v>2023</v>
      </c>
      <c r="B19" s="8">
        <f>MAX('1_Du_lieu'!$E$383:$E$445)</f>
        <v>89.2</v>
      </c>
      <c r="C19" s="6">
        <f>MEDIAN('1_Du_lieu'!$E$383:$E$445)</f>
        <v>15.85</v>
      </c>
      <c r="D19" s="11">
        <f t="shared" si="0"/>
        <v>5.6277602523659311</v>
      </c>
      <c r="E19" s="6">
        <f>PERCENTILE('1_Du_lieu'!$E$383:$E$445,0.9)</f>
        <v>24.29000000000001</v>
      </c>
      <c r="F19" s="6">
        <f>PERCENTILE('1_Du_lieu'!$E$383:$E$445,0.1)</f>
        <v>11.11</v>
      </c>
      <c r="G19" s="11">
        <f t="shared" si="1"/>
        <v>2.1863186318631875</v>
      </c>
      <c r="H19" s="6">
        <f>AVERAGE('1_Du_lieu'!$E$383:$E$445)</f>
        <v>19.241379310344833</v>
      </c>
    </row>
    <row r="20" spans="1:8" x14ac:dyDescent="0.25">
      <c r="A20">
        <v>2024</v>
      </c>
      <c r="B20" s="8">
        <f>MAX('1_Du_lieu'!$E$446:$E$508)</f>
        <v>87</v>
      </c>
      <c r="C20" s="6">
        <f>MEDIAN('1_Du_lieu'!$E$446:$E$508)</f>
        <v>20</v>
      </c>
      <c r="D20" s="11">
        <f t="shared" si="0"/>
        <v>4.3499999999999996</v>
      </c>
      <c r="E20" s="6">
        <f>PERCENTILE('1_Du_lieu'!$E$446:$E$508,0.9)</f>
        <v>30</v>
      </c>
      <c r="F20" s="6">
        <f>PERCENTILE('1_Du_lieu'!$E$446:$E$508,0.1)</f>
        <v>14</v>
      </c>
      <c r="G20" s="11">
        <f t="shared" si="1"/>
        <v>2.1428571428571428</v>
      </c>
      <c r="H20" s="6">
        <f>AVERAGE('1_Du_lieu'!$E$446:$E$508)</f>
        <v>23.086206896551722</v>
      </c>
    </row>
    <row r="22" spans="1:8" x14ac:dyDescent="0.25">
      <c r="A22" s="14" t="s">
        <v>510</v>
      </c>
    </row>
    <row r="23" spans="1:8" ht="32.1" customHeight="1" x14ac:dyDescent="0.25">
      <c r="A23" s="3" t="s">
        <v>53</v>
      </c>
      <c r="B23" s="3" t="s">
        <v>511</v>
      </c>
      <c r="C23" s="3" t="s">
        <v>512</v>
      </c>
    </row>
    <row r="24" spans="1:8" x14ac:dyDescent="0.25">
      <c r="A24">
        <v>2017</v>
      </c>
      <c r="B24" s="13">
        <f>AVERAGEIFS('3_Bang2_EBI_tuong_doi'!$G$5:$G$449,'3_Bang2_EBI_tuong_doi'!$B$5:$B$449,2017,'3_Bang2_EBI_tuong_doi'!$K$5:$K$449,1)</f>
        <v>124.05698802552222</v>
      </c>
      <c r="C24" s="13">
        <f>AVERAGEIFS('3_Bang2_EBI_tuong_doi'!$G$5:$G$449,'3_Bang2_EBI_tuong_doi'!$B$5:$B$449,2017,'3_Bang2_EBI_tuong_doi'!$K$5:$K$449,0)</f>
        <v>88.946789285570844</v>
      </c>
    </row>
    <row r="25" spans="1:8" x14ac:dyDescent="0.25">
      <c r="A25">
        <v>2018</v>
      </c>
      <c r="B25" s="13">
        <f>AVERAGEIFS('3_Bang2_EBI_tuong_doi'!$G$5:$G$449,'3_Bang2_EBI_tuong_doi'!$B$5:$B$449,2018,'3_Bang2_EBI_tuong_doi'!$K$5:$K$449,1)</f>
        <v>121.3845952888928</v>
      </c>
      <c r="C25" s="13">
        <f>AVERAGEIFS('3_Bang2_EBI_tuong_doi'!$G$5:$G$449,'3_Bang2_EBI_tuong_doi'!$B$5:$B$449,2018,'3_Bang2_EBI_tuong_doi'!$K$5:$K$449,0)</f>
        <v>90.174645407806068</v>
      </c>
    </row>
    <row r="26" spans="1:8" x14ac:dyDescent="0.25">
      <c r="A26">
        <v>2019</v>
      </c>
      <c r="B26" s="13">
        <f>AVERAGEIFS('3_Bang2_EBI_tuong_doi'!$G$5:$G$449,'3_Bang2_EBI_tuong_doi'!$B$5:$B$449,2019,'3_Bang2_EBI_tuong_doi'!$K$5:$K$449,1)</f>
        <v>122.28638723374367</v>
      </c>
      <c r="C26" s="13">
        <f>AVERAGEIFS('3_Bang2_EBI_tuong_doi'!$G$5:$G$449,'3_Bang2_EBI_tuong_doi'!$B$5:$B$449,2019,'3_Bang2_EBI_tuong_doi'!$K$5:$K$449,0)</f>
        <v>89.760308568279882</v>
      </c>
    </row>
    <row r="27" spans="1:8" x14ac:dyDescent="0.25">
      <c r="A27">
        <v>2020</v>
      </c>
      <c r="B27" s="13">
        <f>AVERAGEIFS('3_Bang2_EBI_tuong_doi'!$G$5:$G$449,'3_Bang2_EBI_tuong_doi'!$B$5:$B$449,2020,'3_Bang2_EBI_tuong_doi'!$K$5:$K$449,1)</f>
        <v>122.10977273953837</v>
      </c>
      <c r="C27" s="13">
        <f>AVERAGEIFS('3_Bang2_EBI_tuong_doi'!$G$5:$G$449,'3_Bang2_EBI_tuong_doi'!$B$5:$B$449,2020,'3_Bang2_EBI_tuong_doi'!$K$5:$K$449,0)</f>
        <v>90.10878587968017</v>
      </c>
    </row>
    <row r="28" spans="1:8" x14ac:dyDescent="0.25">
      <c r="A28">
        <v>2021</v>
      </c>
      <c r="B28" s="13">
        <f>AVERAGEIFS('3_Bang2_EBI_tuong_doi'!$G$5:$G$449,'3_Bang2_EBI_tuong_doi'!$B$5:$B$449,2021,'3_Bang2_EBI_tuong_doi'!$K$5:$K$449,1)</f>
        <v>168.62966558274189</v>
      </c>
      <c r="C28" s="13">
        <f>AVERAGEIFS('3_Bang2_EBI_tuong_doi'!$G$5:$G$449,'3_Bang2_EBI_tuong_doi'!$B$5:$B$449,2021,'3_Bang2_EBI_tuong_doi'!$K$5:$K$449,0)</f>
        <v>70.084504745984333</v>
      </c>
    </row>
    <row r="29" spans="1:8" x14ac:dyDescent="0.25">
      <c r="A29">
        <v>2022</v>
      </c>
      <c r="B29" s="13">
        <f>AVERAGEIFS('3_Bang2_EBI_tuong_doi'!$G$5:$G$449,'3_Bang2_EBI_tuong_doi'!$B$5:$B$449,2022,'3_Bang2_EBI_tuong_doi'!$K$5:$K$449,1)</f>
        <v>151.70088717285182</v>
      </c>
      <c r="C29" s="13">
        <f>AVERAGEIFS('3_Bang2_EBI_tuong_doi'!$G$5:$G$449,'3_Bang2_EBI_tuong_doi'!$B$5:$B$449,2022,'3_Bang2_EBI_tuong_doi'!$K$5:$K$449,0)</f>
        <v>77.463715847731308</v>
      </c>
    </row>
    <row r="30" spans="1:8" x14ac:dyDescent="0.25">
      <c r="A30">
        <v>2023</v>
      </c>
      <c r="B30" s="13">
        <f>AVERAGEIFS('3_Bang2_EBI_tuong_doi'!$G$5:$G$449,'3_Bang2_EBI_tuong_doi'!$B$5:$B$449,2023,'3_Bang2_EBI_tuong_doi'!$K$5:$K$449,1)</f>
        <v>149.03542061986079</v>
      </c>
      <c r="C30" s="13">
        <f>AVERAGEIFS('3_Bang2_EBI_tuong_doi'!$G$5:$G$449,'3_Bang2_EBI_tuong_doi'!$B$5:$B$449,2023,'3_Bang2_EBI_tuong_doi'!$K$5:$K$449,0)</f>
        <v>79.668240230789394</v>
      </c>
    </row>
    <row r="31" spans="1:8" x14ac:dyDescent="0.25">
      <c r="A31">
        <v>2024</v>
      </c>
      <c r="B31" s="13">
        <f>AVERAGEIFS('3_Bang2_EBI_tuong_doi'!$G$5:$G$449,'3_Bang2_EBI_tuong_doi'!$B$5:$B$449,2024,'3_Bang2_EBI_tuong_doi'!$K$5:$K$449,1)</f>
        <v>146.25488731713745</v>
      </c>
      <c r="C31" s="13">
        <f>AVERAGEIFS('3_Bang2_EBI_tuong_doi'!$G$5:$G$449,'3_Bang2_EBI_tuong_doi'!$B$5:$B$449,2024,'3_Bang2_EBI_tuong_doi'!$K$5:$K$449,0)</f>
        <v>80.821144283138167</v>
      </c>
    </row>
    <row r="33" spans="1:3" x14ac:dyDescent="0.25">
      <c r="A33" s="14" t="s">
        <v>513</v>
      </c>
    </row>
    <row r="34" spans="1:3" ht="32.1" customHeight="1" x14ac:dyDescent="0.25">
      <c r="A34" s="3" t="s">
        <v>53</v>
      </c>
      <c r="B34" s="3" t="s">
        <v>514</v>
      </c>
      <c r="C34" s="3" t="s">
        <v>515</v>
      </c>
    </row>
    <row r="35" spans="1:3" x14ac:dyDescent="0.25">
      <c r="A35">
        <v>2017</v>
      </c>
      <c r="B35" s="5">
        <f>COUNTBLANK('1_Du_lieu'!$E$5:$E$67)</f>
        <v>9</v>
      </c>
      <c r="C35" s="19" t="s">
        <v>516</v>
      </c>
    </row>
    <row r="36" spans="1:3" x14ac:dyDescent="0.25">
      <c r="A36">
        <v>2018</v>
      </c>
      <c r="B36" s="5">
        <f>COUNTBLANK('1_Du_lieu'!$E$68:$E$130)</f>
        <v>9</v>
      </c>
      <c r="C36" s="19" t="s">
        <v>517</v>
      </c>
    </row>
    <row r="37" spans="1:3" x14ac:dyDescent="0.25">
      <c r="A37">
        <v>2019</v>
      </c>
      <c r="B37" s="5">
        <f>COUNTBLANK('1_Du_lieu'!$E$131:$E$193)</f>
        <v>9</v>
      </c>
      <c r="C37" s="19" t="s">
        <v>517</v>
      </c>
    </row>
    <row r="38" spans="1:3" x14ac:dyDescent="0.25">
      <c r="A38">
        <v>2020</v>
      </c>
      <c r="B38" s="5">
        <f>COUNTBLANK('1_Du_lieu'!$E$194:$E$256)</f>
        <v>8</v>
      </c>
      <c r="C38" s="19" t="s">
        <v>518</v>
      </c>
    </row>
    <row r="39" spans="1:3" x14ac:dyDescent="0.25">
      <c r="A39">
        <v>2021</v>
      </c>
      <c r="B39" s="5">
        <f>COUNTBLANK('1_Du_lieu'!$E$257:$E$319)</f>
        <v>7</v>
      </c>
      <c r="C39" s="19" t="s">
        <v>519</v>
      </c>
    </row>
    <row r="40" spans="1:3" x14ac:dyDescent="0.25">
      <c r="A40">
        <v>2022</v>
      </c>
      <c r="B40" s="5">
        <f>COUNTBLANK('1_Du_lieu'!$E$320:$E$382)</f>
        <v>7</v>
      </c>
      <c r="C40" s="19" t="s">
        <v>519</v>
      </c>
    </row>
    <row r="41" spans="1:3" x14ac:dyDescent="0.25">
      <c r="A41">
        <v>2023</v>
      </c>
      <c r="B41" s="5">
        <f>COUNTBLANK('1_Du_lieu'!$E$383:$E$445)</f>
        <v>5</v>
      </c>
      <c r="C41" s="19" t="s">
        <v>520</v>
      </c>
    </row>
    <row r="42" spans="1:3" x14ac:dyDescent="0.25">
      <c r="A42">
        <v>2024</v>
      </c>
      <c r="B42" s="5">
        <f>COUNTBLANK('1_Du_lieu'!$E$446:$E$508)</f>
        <v>5</v>
      </c>
      <c r="C42" s="19" t="s">
        <v>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3"/>
  <sheetViews>
    <sheetView workbookViewId="0"/>
  </sheetViews>
  <sheetFormatPr defaultRowHeight="15" x14ac:dyDescent="0.25"/>
  <cols>
    <col min="1" max="1" width="10" customWidth="1"/>
    <col min="2" max="2" width="40" customWidth="1"/>
    <col min="3" max="3" width="30" customWidth="1"/>
    <col min="4" max="5" width="14" customWidth="1"/>
    <col min="6" max="6" width="12" customWidth="1"/>
    <col min="7" max="7" width="14" customWidth="1"/>
  </cols>
  <sheetData>
    <row r="1" spans="1:7" ht="17.25" x14ac:dyDescent="0.3">
      <c r="A1" s="1" t="s">
        <v>521</v>
      </c>
    </row>
    <row r="3" spans="1:7" ht="32.1" customHeight="1" x14ac:dyDescent="0.25">
      <c r="A3" s="3" t="s">
        <v>522</v>
      </c>
      <c r="B3" s="3" t="s">
        <v>523</v>
      </c>
      <c r="C3" s="3" t="s">
        <v>524</v>
      </c>
      <c r="D3" s="3" t="s">
        <v>525</v>
      </c>
      <c r="E3" s="3" t="s">
        <v>526</v>
      </c>
      <c r="F3" s="3" t="s">
        <v>527</v>
      </c>
      <c r="G3" s="3" t="s">
        <v>528</v>
      </c>
    </row>
    <row r="4" spans="1:7" x14ac:dyDescent="0.25">
      <c r="A4" t="s">
        <v>16</v>
      </c>
      <c r="B4" t="s">
        <v>529</v>
      </c>
      <c r="C4" t="s">
        <v>530</v>
      </c>
      <c r="D4" s="7">
        <f>'2_Bang1_Mo_ta'!C4</f>
        <v>445</v>
      </c>
      <c r="E4" s="18">
        <v>445</v>
      </c>
      <c r="F4" s="7">
        <f t="shared" ref="F4:F35" si="0">D4-E4</f>
        <v>0</v>
      </c>
      <c r="G4" s="20" t="str">
        <f t="shared" ref="G4:G35" si="1">IF(ABS(F4)&lt;=MAX(0.0006,ABS(E4)*0.001),"✓","✗ KIỂM TRA")</f>
        <v>✓</v>
      </c>
    </row>
    <row r="5" spans="1:7" x14ac:dyDescent="0.25">
      <c r="A5" t="s">
        <v>16</v>
      </c>
      <c r="B5" t="s">
        <v>531</v>
      </c>
      <c r="C5" t="s">
        <v>532</v>
      </c>
      <c r="D5" s="7">
        <f>'2_Bang1_Mo_ta'!D4</f>
        <v>27.527887640449435</v>
      </c>
      <c r="E5" s="18">
        <v>27.527899999999999</v>
      </c>
      <c r="F5" s="7">
        <f t="shared" si="0"/>
        <v>-1.2359550563445509E-5</v>
      </c>
      <c r="G5" s="20" t="str">
        <f t="shared" si="1"/>
        <v>✓</v>
      </c>
    </row>
    <row r="6" spans="1:7" x14ac:dyDescent="0.25">
      <c r="A6" t="s">
        <v>533</v>
      </c>
      <c r="B6" t="s">
        <v>534</v>
      </c>
      <c r="C6" t="s">
        <v>535</v>
      </c>
      <c r="D6" s="7">
        <f>'3_Bang2_EBI_tuong_doi'!D454</f>
        <v>184.70605002671951</v>
      </c>
      <c r="E6" s="18">
        <v>184.70599999999999</v>
      </c>
      <c r="F6" s="7">
        <f t="shared" si="0"/>
        <v>5.002671952070159E-5</v>
      </c>
      <c r="G6" s="20" t="str">
        <f t="shared" si="1"/>
        <v>✓</v>
      </c>
    </row>
    <row r="7" spans="1:7" x14ac:dyDescent="0.25">
      <c r="A7" t="s">
        <v>533</v>
      </c>
      <c r="B7" t="s">
        <v>536</v>
      </c>
      <c r="C7" t="s">
        <v>537</v>
      </c>
      <c r="D7" s="7">
        <f>'3_Bang2_EBI_tuong_doi'!E459</f>
        <v>71.230603269438234</v>
      </c>
      <c r="E7" s="18">
        <v>71.230999999999995</v>
      </c>
      <c r="F7" s="7">
        <f t="shared" si="0"/>
        <v>-3.9673056176070531E-4</v>
      </c>
      <c r="G7" s="20" t="str">
        <f t="shared" si="1"/>
        <v>✓</v>
      </c>
    </row>
    <row r="8" spans="1:7" x14ac:dyDescent="0.25">
      <c r="A8" t="s">
        <v>533</v>
      </c>
      <c r="B8" t="s">
        <v>538</v>
      </c>
      <c r="C8" t="s">
        <v>539</v>
      </c>
      <c r="D8" s="7">
        <f>'3_Bang2_EBI_tuong_doi'!H460</f>
        <v>3.25</v>
      </c>
      <c r="E8" s="18">
        <v>3.25</v>
      </c>
      <c r="F8" s="7">
        <f t="shared" si="0"/>
        <v>0</v>
      </c>
      <c r="G8" s="20" t="str">
        <f t="shared" si="1"/>
        <v>✓</v>
      </c>
    </row>
    <row r="9" spans="1:7" x14ac:dyDescent="0.25">
      <c r="A9" t="s">
        <v>540</v>
      </c>
      <c r="B9" t="s">
        <v>541</v>
      </c>
      <c r="C9" t="s">
        <v>542</v>
      </c>
      <c r="D9" s="7">
        <f>'4_Bang3_Gini_Theil'!C506</f>
        <v>0.14543943646469559</v>
      </c>
      <c r="E9" s="18">
        <v>0.1454</v>
      </c>
      <c r="F9" s="7">
        <f t="shared" si="0"/>
        <v>3.9436464695591367E-5</v>
      </c>
      <c r="G9" s="20" t="str">
        <f t="shared" si="1"/>
        <v>✓</v>
      </c>
    </row>
    <row r="10" spans="1:7" x14ac:dyDescent="0.25">
      <c r="A10" t="s">
        <v>540</v>
      </c>
      <c r="B10" t="s">
        <v>543</v>
      </c>
      <c r="C10" t="s">
        <v>544</v>
      </c>
      <c r="D10" s="7">
        <f>'4_Bang3_Gini_Theil'!F506</f>
        <v>4.7161429224344076E-2</v>
      </c>
      <c r="E10" s="18">
        <v>4.7199999999999999E-2</v>
      </c>
      <c r="F10" s="7">
        <f t="shared" si="0"/>
        <v>-3.8570775655923095E-5</v>
      </c>
      <c r="G10" s="20" t="str">
        <f t="shared" si="1"/>
        <v>✓</v>
      </c>
    </row>
    <row r="11" spans="1:7" x14ac:dyDescent="0.25">
      <c r="A11" t="s">
        <v>540</v>
      </c>
      <c r="B11" t="s">
        <v>545</v>
      </c>
      <c r="C11" t="s">
        <v>546</v>
      </c>
      <c r="D11" s="7">
        <f>'4_Bang3_Gini_Theil'!I506</f>
        <v>32.572182132867816</v>
      </c>
      <c r="E11" s="18">
        <v>32.57</v>
      </c>
      <c r="F11" s="7">
        <f t="shared" si="0"/>
        <v>2.182132867815767E-3</v>
      </c>
      <c r="G11" s="20" t="str">
        <f t="shared" si="1"/>
        <v>✓</v>
      </c>
    </row>
    <row r="12" spans="1:7" x14ac:dyDescent="0.25">
      <c r="A12" t="s">
        <v>540</v>
      </c>
      <c r="B12" t="s">
        <v>547</v>
      </c>
      <c r="C12" t="s">
        <v>548</v>
      </c>
      <c r="D12" s="7">
        <f>'4_Bang3_Gini_Theil'!L506</f>
        <v>37.807933573894978</v>
      </c>
      <c r="E12" s="18">
        <v>37.81</v>
      </c>
      <c r="F12" s="7">
        <f t="shared" si="0"/>
        <v>-2.0664261050242771E-3</v>
      </c>
      <c r="G12" s="20" t="str">
        <f t="shared" si="1"/>
        <v>✓</v>
      </c>
    </row>
    <row r="13" spans="1:7" x14ac:dyDescent="0.25">
      <c r="A13" t="s">
        <v>540</v>
      </c>
      <c r="B13" t="s">
        <v>549</v>
      </c>
      <c r="C13" t="s">
        <v>550</v>
      </c>
      <c r="D13" s="7">
        <f>'4_Bang3_Gini_Theil'!D506</f>
        <v>0.34793752770433223</v>
      </c>
      <c r="E13" s="18">
        <v>0.34789999999999999</v>
      </c>
      <c r="F13" s="7">
        <f t="shared" si="0"/>
        <v>3.7527704332240841E-5</v>
      </c>
      <c r="G13" s="20" t="str">
        <f t="shared" si="1"/>
        <v>✓</v>
      </c>
    </row>
    <row r="14" spans="1:7" x14ac:dyDescent="0.25">
      <c r="A14" t="s">
        <v>540</v>
      </c>
      <c r="B14" t="s">
        <v>551</v>
      </c>
      <c r="C14" t="s">
        <v>552</v>
      </c>
      <c r="D14" s="7">
        <f>'4_Bang3_Gini_Theil'!M506</f>
        <v>1.8746503190777856E-2</v>
      </c>
      <c r="E14" s="18">
        <v>1.8700000000000001E-2</v>
      </c>
      <c r="F14" s="7">
        <f t="shared" si="0"/>
        <v>4.6503190777855141E-5</v>
      </c>
      <c r="G14" s="20" t="str">
        <f t="shared" si="1"/>
        <v>✓</v>
      </c>
    </row>
    <row r="15" spans="1:7" x14ac:dyDescent="0.25">
      <c r="A15" t="s">
        <v>540</v>
      </c>
      <c r="B15" t="s">
        <v>553</v>
      </c>
      <c r="C15" t="s">
        <v>554</v>
      </c>
      <c r="D15" s="7">
        <f>'4_Bang3_Gini_Theil'!P506</f>
        <v>0.10367953164563271</v>
      </c>
      <c r="E15" s="18">
        <v>0.1037</v>
      </c>
      <c r="F15" s="7">
        <f t="shared" si="0"/>
        <v>-2.0468354367295105E-5</v>
      </c>
      <c r="G15" s="20" t="str">
        <f t="shared" si="1"/>
        <v>✓</v>
      </c>
    </row>
    <row r="16" spans="1:7" x14ac:dyDescent="0.25">
      <c r="A16" t="s">
        <v>540</v>
      </c>
      <c r="B16" t="s">
        <v>555</v>
      </c>
      <c r="C16" t="s">
        <v>556</v>
      </c>
      <c r="D16" s="7">
        <f>'4_Bang3_Gini_Theil'!C507</f>
        <v>0.12890223062934703</v>
      </c>
      <c r="E16" s="18">
        <v>0.12889999999999999</v>
      </c>
      <c r="F16" s="7">
        <f t="shared" si="0"/>
        <v>2.2306293470386596E-6</v>
      </c>
      <c r="G16" s="20" t="str">
        <f t="shared" si="1"/>
        <v>✓</v>
      </c>
    </row>
    <row r="17" spans="1:7" x14ac:dyDescent="0.25">
      <c r="A17" t="s">
        <v>540</v>
      </c>
      <c r="B17" t="s">
        <v>557</v>
      </c>
      <c r="C17" t="s">
        <v>558</v>
      </c>
      <c r="D17" s="7">
        <f>'4_Bang3_Gini_Theil'!F507</f>
        <v>3.3861553182801582E-2</v>
      </c>
      <c r="E17" s="18">
        <v>3.39E-2</v>
      </c>
      <c r="F17" s="7">
        <f t="shared" si="0"/>
        <v>-3.8446817198417582E-5</v>
      </c>
      <c r="G17" s="20" t="str">
        <f t="shared" si="1"/>
        <v>✓</v>
      </c>
    </row>
    <row r="18" spans="1:7" x14ac:dyDescent="0.25">
      <c r="A18" t="s">
        <v>540</v>
      </c>
      <c r="B18" t="s">
        <v>559</v>
      </c>
      <c r="C18" t="s">
        <v>560</v>
      </c>
      <c r="D18" s="7">
        <f>'4_Bang3_Gini_Theil'!I507</f>
        <v>33.692910639028689</v>
      </c>
      <c r="E18" s="18">
        <v>33.69</v>
      </c>
      <c r="F18" s="7">
        <f t="shared" si="0"/>
        <v>2.9106390286912642E-3</v>
      </c>
      <c r="G18" s="20" t="str">
        <f t="shared" si="1"/>
        <v>✓</v>
      </c>
    </row>
    <row r="19" spans="1:7" x14ac:dyDescent="0.25">
      <c r="A19" t="s">
        <v>540</v>
      </c>
      <c r="B19" t="s">
        <v>561</v>
      </c>
      <c r="C19" t="s">
        <v>562</v>
      </c>
      <c r="D19" s="7">
        <f>'4_Bang3_Gini_Theil'!L507</f>
        <v>37.31926820407697</v>
      </c>
      <c r="E19" s="18">
        <v>37.32</v>
      </c>
      <c r="F19" s="7">
        <f t="shared" si="0"/>
        <v>-7.3179592303063146E-4</v>
      </c>
      <c r="G19" s="20" t="str">
        <f t="shared" si="1"/>
        <v>✓</v>
      </c>
    </row>
    <row r="20" spans="1:7" x14ac:dyDescent="0.25">
      <c r="A20" t="s">
        <v>540</v>
      </c>
      <c r="B20" t="s">
        <v>563</v>
      </c>
      <c r="C20" t="s">
        <v>564</v>
      </c>
      <c r="D20" s="7">
        <f>'4_Bang3_Gini_Theil'!D507</f>
        <v>0.28597974451666208</v>
      </c>
      <c r="E20" s="18">
        <v>0.28599999999999998</v>
      </c>
      <c r="F20" s="7">
        <f t="shared" si="0"/>
        <v>-2.0255483337894287E-5</v>
      </c>
      <c r="G20" s="20" t="str">
        <f t="shared" si="1"/>
        <v>✓</v>
      </c>
    </row>
    <row r="21" spans="1:7" x14ac:dyDescent="0.25">
      <c r="A21" t="s">
        <v>540</v>
      </c>
      <c r="B21" t="s">
        <v>565</v>
      </c>
      <c r="C21" t="s">
        <v>566</v>
      </c>
      <c r="D21" s="7">
        <f>'4_Bang3_Gini_Theil'!M507</f>
        <v>1.5566957411304658E-2</v>
      </c>
      <c r="E21" s="18">
        <v>1.5599999999999999E-2</v>
      </c>
      <c r="F21" s="7">
        <f t="shared" si="0"/>
        <v>-3.3042588695341227E-5</v>
      </c>
      <c r="G21" s="20" t="str">
        <f t="shared" si="1"/>
        <v>✓</v>
      </c>
    </row>
    <row r="22" spans="1:7" x14ac:dyDescent="0.25">
      <c r="A22" t="s">
        <v>540</v>
      </c>
      <c r="B22" t="s">
        <v>567</v>
      </c>
      <c r="C22" t="s">
        <v>568</v>
      </c>
      <c r="D22" s="7">
        <f>'4_Bang3_Gini_Theil'!P507</f>
        <v>9.7092385250704183E-2</v>
      </c>
      <c r="E22" s="18">
        <v>9.7100000000000006E-2</v>
      </c>
      <c r="F22" s="7">
        <f t="shared" si="0"/>
        <v>-7.6147492958228424E-6</v>
      </c>
      <c r="G22" s="20" t="str">
        <f t="shared" si="1"/>
        <v>✓</v>
      </c>
    </row>
    <row r="23" spans="1:7" x14ac:dyDescent="0.25">
      <c r="A23" t="s">
        <v>540</v>
      </c>
      <c r="B23" t="s">
        <v>569</v>
      </c>
      <c r="C23" t="s">
        <v>570</v>
      </c>
      <c r="D23" s="7">
        <f>'4_Bang3_Gini_Theil'!C508</f>
        <v>0.13374183256633398</v>
      </c>
      <c r="E23" s="18">
        <v>0.13370000000000001</v>
      </c>
      <c r="F23" s="7">
        <f t="shared" si="0"/>
        <v>4.1832566333971366E-5</v>
      </c>
      <c r="G23" s="20" t="str">
        <f t="shared" si="1"/>
        <v>✓</v>
      </c>
    </row>
    <row r="24" spans="1:7" x14ac:dyDescent="0.25">
      <c r="A24" t="s">
        <v>540</v>
      </c>
      <c r="B24" t="s">
        <v>571</v>
      </c>
      <c r="C24" t="s">
        <v>572</v>
      </c>
      <c r="D24" s="7">
        <f>'4_Bang3_Gini_Theil'!F508</f>
        <v>3.4511133898795891E-2</v>
      </c>
      <c r="E24" s="18">
        <v>3.4500000000000003E-2</v>
      </c>
      <c r="F24" s="7">
        <f t="shared" si="0"/>
        <v>1.1133898795888386E-5</v>
      </c>
      <c r="G24" s="20" t="str">
        <f t="shared" si="1"/>
        <v>✓</v>
      </c>
    </row>
    <row r="25" spans="1:7" x14ac:dyDescent="0.25">
      <c r="A25" t="s">
        <v>540</v>
      </c>
      <c r="B25" t="s">
        <v>573</v>
      </c>
      <c r="C25" t="s">
        <v>574</v>
      </c>
      <c r="D25" s="7">
        <f>'4_Bang3_Gini_Theil'!I508</f>
        <v>34.994041783750895</v>
      </c>
      <c r="E25" s="18">
        <v>34.99</v>
      </c>
      <c r="F25" s="7">
        <f t="shared" si="0"/>
        <v>4.0417837508925913E-3</v>
      </c>
      <c r="G25" s="20" t="str">
        <f t="shared" si="1"/>
        <v>✓</v>
      </c>
    </row>
    <row r="26" spans="1:7" x14ac:dyDescent="0.25">
      <c r="A26" t="s">
        <v>540</v>
      </c>
      <c r="B26" t="s">
        <v>575</v>
      </c>
      <c r="C26" t="s">
        <v>576</v>
      </c>
      <c r="D26" s="7">
        <f>'4_Bang3_Gini_Theil'!L508</f>
        <v>38.23784986830217</v>
      </c>
      <c r="E26" s="18">
        <v>38.24</v>
      </c>
      <c r="F26" s="7">
        <f t="shared" si="0"/>
        <v>-2.1501316978316254E-3</v>
      </c>
      <c r="G26" s="20" t="str">
        <f t="shared" si="1"/>
        <v>✓</v>
      </c>
    </row>
    <row r="27" spans="1:7" x14ac:dyDescent="0.25">
      <c r="A27" t="s">
        <v>540</v>
      </c>
      <c r="B27" t="s">
        <v>577</v>
      </c>
      <c r="C27" t="s">
        <v>578</v>
      </c>
      <c r="D27" s="7">
        <f>'4_Bang3_Gini_Theil'!D508</f>
        <v>0.28632025810787187</v>
      </c>
      <c r="E27" s="18">
        <v>0.2863</v>
      </c>
      <c r="F27" s="7">
        <f t="shared" si="0"/>
        <v>2.0258107871873321E-5</v>
      </c>
      <c r="G27" s="20" t="str">
        <f t="shared" si="1"/>
        <v>✓</v>
      </c>
    </row>
    <row r="28" spans="1:7" x14ac:dyDescent="0.25">
      <c r="A28" t="s">
        <v>540</v>
      </c>
      <c r="B28" t="s">
        <v>579</v>
      </c>
      <c r="C28" t="s">
        <v>580</v>
      </c>
      <c r="D28" s="7">
        <f>'4_Bang3_Gini_Theil'!M508</f>
        <v>1.7407840270738925E-2</v>
      </c>
      <c r="E28" s="18">
        <v>1.7399999999999999E-2</v>
      </c>
      <c r="F28" s="7">
        <f t="shared" si="0"/>
        <v>7.8402707389263471E-6</v>
      </c>
      <c r="G28" s="20" t="str">
        <f t="shared" si="1"/>
        <v>✓</v>
      </c>
    </row>
    <row r="29" spans="1:7" x14ac:dyDescent="0.25">
      <c r="A29" t="s">
        <v>540</v>
      </c>
      <c r="B29" t="s">
        <v>581</v>
      </c>
      <c r="C29" t="s">
        <v>582</v>
      </c>
      <c r="D29" s="7">
        <f>'4_Bang3_Gini_Theil'!P508</f>
        <v>0.10390097021133027</v>
      </c>
      <c r="E29" s="18">
        <v>0.10390000000000001</v>
      </c>
      <c r="F29" s="7">
        <f t="shared" si="0"/>
        <v>9.7021133026176098E-7</v>
      </c>
      <c r="G29" s="20" t="str">
        <f t="shared" si="1"/>
        <v>✓</v>
      </c>
    </row>
    <row r="30" spans="1:7" x14ac:dyDescent="0.25">
      <c r="A30" t="s">
        <v>540</v>
      </c>
      <c r="B30" t="s">
        <v>583</v>
      </c>
      <c r="C30" t="s">
        <v>584</v>
      </c>
      <c r="D30" s="7">
        <f>'4_Bang3_Gini_Theil'!C509</f>
        <v>0.13511214199754518</v>
      </c>
      <c r="E30" s="18">
        <v>0.1351</v>
      </c>
      <c r="F30" s="7">
        <f t="shared" si="0"/>
        <v>1.214199754517864E-5</v>
      </c>
      <c r="G30" s="20" t="str">
        <f t="shared" si="1"/>
        <v>✓</v>
      </c>
    </row>
    <row r="31" spans="1:7" x14ac:dyDescent="0.25">
      <c r="A31" t="s">
        <v>540</v>
      </c>
      <c r="B31" t="s">
        <v>585</v>
      </c>
      <c r="C31" t="s">
        <v>586</v>
      </c>
      <c r="D31" s="7">
        <f>'4_Bang3_Gini_Theil'!F509</f>
        <v>3.4112131582640669E-2</v>
      </c>
      <c r="E31" s="18">
        <v>3.4099999999999998E-2</v>
      </c>
      <c r="F31" s="7">
        <f t="shared" si="0"/>
        <v>1.213158264067038E-5</v>
      </c>
      <c r="G31" s="20" t="str">
        <f t="shared" si="1"/>
        <v>✓</v>
      </c>
    </row>
    <row r="32" spans="1:7" x14ac:dyDescent="0.25">
      <c r="A32" t="s">
        <v>540</v>
      </c>
      <c r="B32" t="s">
        <v>587</v>
      </c>
      <c r="C32" t="s">
        <v>588</v>
      </c>
      <c r="D32" s="7">
        <f>'4_Bang3_Gini_Theil'!I509</f>
        <v>34.453219467390475</v>
      </c>
      <c r="E32" s="18">
        <v>34.450000000000003</v>
      </c>
      <c r="F32" s="7">
        <f t="shared" si="0"/>
        <v>3.2194673904726301E-3</v>
      </c>
      <c r="G32" s="20" t="str">
        <f t="shared" si="1"/>
        <v>✓</v>
      </c>
    </row>
    <row r="33" spans="1:7" x14ac:dyDescent="0.25">
      <c r="A33" t="s">
        <v>540</v>
      </c>
      <c r="B33" t="s">
        <v>589</v>
      </c>
      <c r="C33" t="s">
        <v>590</v>
      </c>
      <c r="D33" s="7">
        <f>'4_Bang3_Gini_Theil'!L509</f>
        <v>37.175822926802979</v>
      </c>
      <c r="E33" s="18">
        <v>37.18</v>
      </c>
      <c r="F33" s="7">
        <f t="shared" si="0"/>
        <v>-4.1770731970203201E-3</v>
      </c>
      <c r="G33" s="20" t="str">
        <f t="shared" si="1"/>
        <v>✓</v>
      </c>
    </row>
    <row r="34" spans="1:7" x14ac:dyDescent="0.25">
      <c r="A34" t="s">
        <v>540</v>
      </c>
      <c r="B34" t="s">
        <v>591</v>
      </c>
      <c r="C34" t="s">
        <v>592</v>
      </c>
      <c r="D34" s="7">
        <f>'4_Bang3_Gini_Theil'!D509</f>
        <v>0.28262513403316475</v>
      </c>
      <c r="E34" s="18">
        <v>0.28260000000000002</v>
      </c>
      <c r="F34" s="7">
        <f t="shared" si="0"/>
        <v>2.5134033164730951E-5</v>
      </c>
      <c r="G34" s="20" t="str">
        <f t="shared" si="1"/>
        <v>✓</v>
      </c>
    </row>
    <row r="35" spans="1:7" x14ac:dyDescent="0.25">
      <c r="A35" t="s">
        <v>540</v>
      </c>
      <c r="B35" t="s">
        <v>593</v>
      </c>
      <c r="C35" t="s">
        <v>594</v>
      </c>
      <c r="D35" s="7">
        <f>'4_Bang3_Gini_Theil'!M509</f>
        <v>1.7966980035924947E-2</v>
      </c>
      <c r="E35" s="18">
        <v>1.7999999999999999E-2</v>
      </c>
      <c r="F35" s="7">
        <f t="shared" si="0"/>
        <v>-3.3019964075051145E-5</v>
      </c>
      <c r="G35" s="20" t="str">
        <f t="shared" si="1"/>
        <v>✓</v>
      </c>
    </row>
    <row r="36" spans="1:7" x14ac:dyDescent="0.25">
      <c r="A36" t="s">
        <v>540</v>
      </c>
      <c r="B36" t="s">
        <v>595</v>
      </c>
      <c r="C36" t="s">
        <v>596</v>
      </c>
      <c r="D36" s="7">
        <f>'4_Bang3_Gini_Theil'!P509</f>
        <v>0.10682631353008887</v>
      </c>
      <c r="E36" s="18">
        <v>0.10680000000000001</v>
      </c>
      <c r="F36" s="7">
        <f t="shared" ref="F36:F67" si="2">D36-E36</f>
        <v>2.6313530088861725E-5</v>
      </c>
      <c r="G36" s="20" t="str">
        <f t="shared" ref="G36:G67" si="3">IF(ABS(F36)&lt;=MAX(0.0006,ABS(E36)*0.001),"✓","✗ KIỂM TRA")</f>
        <v>✓</v>
      </c>
    </row>
    <row r="37" spans="1:7" x14ac:dyDescent="0.25">
      <c r="A37" t="s">
        <v>540</v>
      </c>
      <c r="B37" t="s">
        <v>597</v>
      </c>
      <c r="C37" t="s">
        <v>598</v>
      </c>
      <c r="D37" s="7">
        <f>'4_Bang3_Gini_Theil'!C510</f>
        <v>0.35278455047702706</v>
      </c>
      <c r="E37" s="18">
        <v>0.3528</v>
      </c>
      <c r="F37" s="7">
        <f t="shared" si="2"/>
        <v>-1.5449522972943441E-5</v>
      </c>
      <c r="G37" s="20" t="str">
        <f t="shared" si="3"/>
        <v>✓</v>
      </c>
    </row>
    <row r="38" spans="1:7" x14ac:dyDescent="0.25">
      <c r="A38" t="s">
        <v>540</v>
      </c>
      <c r="B38" t="s">
        <v>599</v>
      </c>
      <c r="C38" t="s">
        <v>600</v>
      </c>
      <c r="D38" s="7">
        <f>'4_Bang3_Gini_Theil'!F510</f>
        <v>0.36490225071010857</v>
      </c>
      <c r="E38" s="18">
        <v>0.3649</v>
      </c>
      <c r="F38" s="7">
        <f t="shared" si="2"/>
        <v>2.2507101085644798E-6</v>
      </c>
      <c r="G38" s="20" t="str">
        <f t="shared" si="3"/>
        <v>✓</v>
      </c>
    </row>
    <row r="39" spans="1:7" x14ac:dyDescent="0.25">
      <c r="A39" t="s">
        <v>540</v>
      </c>
      <c r="B39" t="s">
        <v>601</v>
      </c>
      <c r="C39" t="s">
        <v>602</v>
      </c>
      <c r="D39" s="7">
        <f>'4_Bang3_Gini_Theil'!I510</f>
        <v>30.920117802161514</v>
      </c>
      <c r="E39" s="18">
        <v>30.92</v>
      </c>
      <c r="F39" s="7">
        <f t="shared" si="2"/>
        <v>1.1780216151180412E-4</v>
      </c>
      <c r="G39" s="20" t="str">
        <f t="shared" si="3"/>
        <v>✓</v>
      </c>
    </row>
    <row r="40" spans="1:7" x14ac:dyDescent="0.25">
      <c r="A40" t="s">
        <v>540</v>
      </c>
      <c r="B40" t="s">
        <v>603</v>
      </c>
      <c r="C40" t="s">
        <v>604</v>
      </c>
      <c r="D40" s="7">
        <f>'4_Bang3_Gini_Theil'!L510</f>
        <v>43.982958766086952</v>
      </c>
      <c r="E40" s="18">
        <v>43.98</v>
      </c>
      <c r="F40" s="7">
        <f t="shared" si="2"/>
        <v>2.9587660869552224E-3</v>
      </c>
      <c r="G40" s="20" t="str">
        <f t="shared" si="3"/>
        <v>✓</v>
      </c>
    </row>
    <row r="41" spans="1:7" x14ac:dyDescent="0.25">
      <c r="A41" t="s">
        <v>540</v>
      </c>
      <c r="B41" t="s">
        <v>605</v>
      </c>
      <c r="C41" t="s">
        <v>606</v>
      </c>
      <c r="D41" s="7">
        <f>'4_Bang3_Gini_Theil'!D510</f>
        <v>1.2534100744940726</v>
      </c>
      <c r="E41" s="18">
        <v>1.2534000000000001</v>
      </c>
      <c r="F41" s="7">
        <f t="shared" si="2"/>
        <v>1.0074494072531692E-5</v>
      </c>
      <c r="G41" s="20" t="str">
        <f t="shared" si="3"/>
        <v>✓</v>
      </c>
    </row>
    <row r="42" spans="1:7" x14ac:dyDescent="0.25">
      <c r="A42" t="s">
        <v>540</v>
      </c>
      <c r="B42" t="s">
        <v>607</v>
      </c>
      <c r="C42" t="s">
        <v>608</v>
      </c>
      <c r="D42" s="7">
        <f>'4_Bang3_Gini_Theil'!M510</f>
        <v>6.4999532162738682E-2</v>
      </c>
      <c r="E42" s="18">
        <v>6.5000000000000002E-2</v>
      </c>
      <c r="F42" s="7">
        <f t="shared" si="2"/>
        <v>-4.6783726131982561E-7</v>
      </c>
      <c r="G42" s="20" t="str">
        <f t="shared" si="3"/>
        <v>✓</v>
      </c>
    </row>
    <row r="43" spans="1:7" x14ac:dyDescent="0.25">
      <c r="A43" t="s">
        <v>540</v>
      </c>
      <c r="B43" t="s">
        <v>609</v>
      </c>
      <c r="C43" t="s">
        <v>610</v>
      </c>
      <c r="D43" s="7">
        <f>'4_Bang3_Gini_Theil'!P510</f>
        <v>0.18191383424459362</v>
      </c>
      <c r="E43" s="18">
        <v>0.18190000000000001</v>
      </c>
      <c r="F43" s="7">
        <f t="shared" si="2"/>
        <v>1.3834244593613487E-5</v>
      </c>
      <c r="G43" s="20" t="str">
        <f t="shared" si="3"/>
        <v>✓</v>
      </c>
    </row>
    <row r="44" spans="1:7" x14ac:dyDescent="0.25">
      <c r="A44" t="s">
        <v>540</v>
      </c>
      <c r="B44" t="s">
        <v>611</v>
      </c>
      <c r="C44" t="s">
        <v>612</v>
      </c>
      <c r="D44" s="7">
        <f>'4_Bang3_Gini_Theil'!C511</f>
        <v>0.27625129887201627</v>
      </c>
      <c r="E44" s="18">
        <v>0.27629999999999999</v>
      </c>
      <c r="F44" s="7">
        <f t="shared" si="2"/>
        <v>-4.8701127983719061E-5</v>
      </c>
      <c r="G44" s="20" t="str">
        <f t="shared" si="3"/>
        <v>✓</v>
      </c>
    </row>
    <row r="45" spans="1:7" x14ac:dyDescent="0.25">
      <c r="A45" t="s">
        <v>540</v>
      </c>
      <c r="B45" t="s">
        <v>613</v>
      </c>
      <c r="C45" t="s">
        <v>614</v>
      </c>
      <c r="D45" s="7">
        <f>'4_Bang3_Gini_Theil'!F511</f>
        <v>0.1664089121595235</v>
      </c>
      <c r="E45" s="18">
        <v>0.16639999999999999</v>
      </c>
      <c r="F45" s="7">
        <f t="shared" si="2"/>
        <v>8.9121595235053253E-6</v>
      </c>
      <c r="G45" s="20" t="str">
        <f t="shared" si="3"/>
        <v>✓</v>
      </c>
    </row>
    <row r="46" spans="1:7" x14ac:dyDescent="0.25">
      <c r="A46" t="s">
        <v>540</v>
      </c>
      <c r="B46" t="s">
        <v>615</v>
      </c>
      <c r="C46" t="s">
        <v>616</v>
      </c>
      <c r="D46" s="7">
        <f>'4_Bang3_Gini_Theil'!I511</f>
        <v>36.152849099185779</v>
      </c>
      <c r="E46" s="18">
        <v>36.15</v>
      </c>
      <c r="F46" s="7">
        <f t="shared" si="2"/>
        <v>2.8490991857808012E-3</v>
      </c>
      <c r="G46" s="20" t="str">
        <f t="shared" si="3"/>
        <v>✓</v>
      </c>
    </row>
    <row r="47" spans="1:7" x14ac:dyDescent="0.25">
      <c r="A47" t="s">
        <v>540</v>
      </c>
      <c r="B47" t="s">
        <v>617</v>
      </c>
      <c r="C47" t="s">
        <v>618</v>
      </c>
      <c r="D47" s="7">
        <f>'4_Bang3_Gini_Theil'!L511</f>
        <v>44.040293150188489</v>
      </c>
      <c r="E47" s="18">
        <v>44.04</v>
      </c>
      <c r="F47" s="7">
        <f t="shared" si="2"/>
        <v>2.931501884901877E-4</v>
      </c>
      <c r="G47" s="20" t="str">
        <f t="shared" si="3"/>
        <v>✓</v>
      </c>
    </row>
    <row r="48" spans="1:7" x14ac:dyDescent="0.25">
      <c r="A48" t="s">
        <v>540</v>
      </c>
      <c r="B48" t="s">
        <v>619</v>
      </c>
      <c r="C48" t="s">
        <v>620</v>
      </c>
      <c r="D48" s="7">
        <f>'4_Bang3_Gini_Theil'!D511</f>
        <v>0.71994938147609389</v>
      </c>
      <c r="E48" s="18">
        <v>0.71989999999999998</v>
      </c>
      <c r="F48" s="7">
        <f t="shared" si="2"/>
        <v>4.9381476093901533E-5</v>
      </c>
      <c r="G48" s="20" t="str">
        <f t="shared" si="3"/>
        <v>✓</v>
      </c>
    </row>
    <row r="49" spans="1:7" x14ac:dyDescent="0.25">
      <c r="A49" t="s">
        <v>540</v>
      </c>
      <c r="B49" t="s">
        <v>621</v>
      </c>
      <c r="C49" t="s">
        <v>622</v>
      </c>
      <c r="D49" s="7">
        <f>'4_Bang3_Gini_Theil'!M511</f>
        <v>6.0255799518733513E-2</v>
      </c>
      <c r="E49" s="18">
        <v>6.0299999999999999E-2</v>
      </c>
      <c r="F49" s="7">
        <f t="shared" si="2"/>
        <v>-4.420048126648618E-5</v>
      </c>
      <c r="G49" s="20" t="str">
        <f t="shared" si="3"/>
        <v>✓</v>
      </c>
    </row>
    <row r="50" spans="1:7" x14ac:dyDescent="0.25">
      <c r="A50" t="s">
        <v>540</v>
      </c>
      <c r="B50" t="s">
        <v>623</v>
      </c>
      <c r="C50" t="s">
        <v>624</v>
      </c>
      <c r="D50" s="7">
        <f>'4_Bang3_Gini_Theil'!P511</f>
        <v>0.1928721174004191</v>
      </c>
      <c r="E50" s="18">
        <v>0.19289999999999999</v>
      </c>
      <c r="F50" s="7">
        <f t="shared" si="2"/>
        <v>-2.7882599580891787E-5</v>
      </c>
      <c r="G50" s="20" t="str">
        <f t="shared" si="3"/>
        <v>✓</v>
      </c>
    </row>
    <row r="51" spans="1:7" x14ac:dyDescent="0.25">
      <c r="A51" t="s">
        <v>540</v>
      </c>
      <c r="B51" t="s">
        <v>625</v>
      </c>
      <c r="C51" t="s">
        <v>626</v>
      </c>
      <c r="D51" s="7">
        <f>'4_Bang3_Gini_Theil'!C512</f>
        <v>0.26224199728092934</v>
      </c>
      <c r="E51" s="18">
        <v>0.26219999999999999</v>
      </c>
      <c r="F51" s="7">
        <f t="shared" si="2"/>
        <v>4.1997280929351177E-5</v>
      </c>
      <c r="G51" s="20" t="str">
        <f t="shared" si="3"/>
        <v>✓</v>
      </c>
    </row>
    <row r="52" spans="1:7" x14ac:dyDescent="0.25">
      <c r="A52" t="s">
        <v>540</v>
      </c>
      <c r="B52" t="s">
        <v>627</v>
      </c>
      <c r="C52" t="s">
        <v>628</v>
      </c>
      <c r="D52" s="7">
        <f>'4_Bang3_Gini_Theil'!F512</f>
        <v>0.16616460403757286</v>
      </c>
      <c r="E52" s="18">
        <v>0.16619999999999999</v>
      </c>
      <c r="F52" s="7">
        <f t="shared" si="2"/>
        <v>-3.5395962427131611E-5</v>
      </c>
      <c r="G52" s="20" t="str">
        <f t="shared" si="3"/>
        <v>✓</v>
      </c>
    </row>
    <row r="53" spans="1:7" x14ac:dyDescent="0.25">
      <c r="A53" t="s">
        <v>540</v>
      </c>
      <c r="B53" t="s">
        <v>629</v>
      </c>
      <c r="C53" t="s">
        <v>630</v>
      </c>
      <c r="D53" s="7">
        <f>'4_Bang3_Gini_Theil'!I512</f>
        <v>31.816888415499772</v>
      </c>
      <c r="E53" s="18">
        <v>31.82</v>
      </c>
      <c r="F53" s="7">
        <f t="shared" si="2"/>
        <v>-3.1115845002283038E-3</v>
      </c>
      <c r="G53" s="20" t="str">
        <f t="shared" si="3"/>
        <v>✓</v>
      </c>
    </row>
    <row r="54" spans="1:7" x14ac:dyDescent="0.25">
      <c r="A54" t="s">
        <v>540</v>
      </c>
      <c r="B54" t="s">
        <v>631</v>
      </c>
      <c r="C54" t="s">
        <v>632</v>
      </c>
      <c r="D54" s="7">
        <f>'4_Bang3_Gini_Theil'!L512</f>
        <v>40.163085553300668</v>
      </c>
      <c r="E54" s="18">
        <v>40.159999999999997</v>
      </c>
      <c r="F54" s="7">
        <f t="shared" si="2"/>
        <v>3.0855533006715063E-3</v>
      </c>
      <c r="G54" s="20" t="str">
        <f t="shared" si="3"/>
        <v>✓</v>
      </c>
    </row>
    <row r="55" spans="1:7" x14ac:dyDescent="0.25">
      <c r="A55" t="s">
        <v>540</v>
      </c>
      <c r="B55" t="s">
        <v>633</v>
      </c>
      <c r="C55" t="s">
        <v>634</v>
      </c>
      <c r="D55" s="7">
        <f>'4_Bang3_Gini_Theil'!D512</f>
        <v>0.73753746646604701</v>
      </c>
      <c r="E55" s="18">
        <v>0.73750000000000004</v>
      </c>
      <c r="F55" s="7">
        <f t="shared" si="2"/>
        <v>3.7466466046964797E-5</v>
      </c>
      <c r="G55" s="20" t="str">
        <f t="shared" si="3"/>
        <v>✓</v>
      </c>
    </row>
    <row r="56" spans="1:7" x14ac:dyDescent="0.25">
      <c r="A56" t="s">
        <v>540</v>
      </c>
      <c r="B56" t="s">
        <v>635</v>
      </c>
      <c r="C56" t="s">
        <v>636</v>
      </c>
      <c r="D56" s="7">
        <f>'4_Bang3_Gini_Theil'!M512</f>
        <v>5.1001764049518408E-2</v>
      </c>
      <c r="E56" s="18">
        <v>5.0999999999999997E-2</v>
      </c>
      <c r="F56" s="7">
        <f t="shared" si="2"/>
        <v>1.7640495184115257E-6</v>
      </c>
      <c r="G56" s="20" t="str">
        <f t="shared" si="3"/>
        <v>✓</v>
      </c>
    </row>
    <row r="57" spans="1:7" x14ac:dyDescent="0.25">
      <c r="A57" t="s">
        <v>540</v>
      </c>
      <c r="B57" t="s">
        <v>637</v>
      </c>
      <c r="C57" t="s">
        <v>638</v>
      </c>
      <c r="D57" s="7">
        <f>'4_Bang3_Gini_Theil'!P512</f>
        <v>0.17188662203804062</v>
      </c>
      <c r="E57" s="18">
        <v>0.1719</v>
      </c>
      <c r="F57" s="7">
        <f t="shared" si="2"/>
        <v>-1.3377961959382123E-5</v>
      </c>
      <c r="G57" s="20" t="str">
        <f t="shared" si="3"/>
        <v>✓</v>
      </c>
    </row>
    <row r="58" spans="1:7" x14ac:dyDescent="0.25">
      <c r="A58" t="s">
        <v>540</v>
      </c>
      <c r="B58" t="s">
        <v>639</v>
      </c>
      <c r="C58" t="s">
        <v>640</v>
      </c>
      <c r="D58" s="7">
        <f>'4_Bang3_Gini_Theil'!C513</f>
        <v>0.24504905874172711</v>
      </c>
      <c r="E58" s="18">
        <v>0.245</v>
      </c>
      <c r="F58" s="7">
        <f t="shared" si="2"/>
        <v>4.9058741727114885E-5</v>
      </c>
      <c r="G58" s="20" t="str">
        <f t="shared" si="3"/>
        <v>✓</v>
      </c>
    </row>
    <row r="59" spans="1:7" x14ac:dyDescent="0.25">
      <c r="A59" t="s">
        <v>540</v>
      </c>
      <c r="B59" t="s">
        <v>641</v>
      </c>
      <c r="C59" t="s">
        <v>642</v>
      </c>
      <c r="D59" s="7">
        <f>'4_Bang3_Gini_Theil'!F513</f>
        <v>0.12799334249968994</v>
      </c>
      <c r="E59" s="18">
        <v>0.128</v>
      </c>
      <c r="F59" s="7">
        <f t="shared" si="2"/>
        <v>-6.6575003100644015E-6</v>
      </c>
      <c r="G59" s="20" t="str">
        <f t="shared" si="3"/>
        <v>✓</v>
      </c>
    </row>
    <row r="60" spans="1:7" x14ac:dyDescent="0.25">
      <c r="A60" t="s">
        <v>540</v>
      </c>
      <c r="B60" t="s">
        <v>643</v>
      </c>
      <c r="C60" t="s">
        <v>644</v>
      </c>
      <c r="D60" s="7">
        <f>'4_Bang3_Gini_Theil'!I513</f>
        <v>36.948612878762667</v>
      </c>
      <c r="E60" s="18">
        <v>36.950000000000003</v>
      </c>
      <c r="F60" s="7">
        <f t="shared" si="2"/>
        <v>-1.3871212373359754E-3</v>
      </c>
      <c r="G60" s="20" t="str">
        <f t="shared" si="3"/>
        <v>✓</v>
      </c>
    </row>
    <row r="61" spans="1:7" x14ac:dyDescent="0.25">
      <c r="A61" t="s">
        <v>540</v>
      </c>
      <c r="B61" t="s">
        <v>645</v>
      </c>
      <c r="C61" t="s">
        <v>646</v>
      </c>
      <c r="D61" s="7">
        <f>'4_Bang3_Gini_Theil'!L513</f>
        <v>43.613528976711081</v>
      </c>
      <c r="E61" s="18">
        <v>43.61</v>
      </c>
      <c r="F61" s="7">
        <f t="shared" si="2"/>
        <v>3.5289767110810999E-3</v>
      </c>
      <c r="G61" s="20" t="str">
        <f t="shared" si="3"/>
        <v>✓</v>
      </c>
    </row>
    <row r="62" spans="1:7" x14ac:dyDescent="0.25">
      <c r="A62" t="s">
        <v>540</v>
      </c>
      <c r="B62" t="s">
        <v>647</v>
      </c>
      <c r="C62" t="s">
        <v>648</v>
      </c>
      <c r="D62" s="7">
        <f>'4_Bang3_Gini_Theil'!D513</f>
        <v>0.60822672138593215</v>
      </c>
      <c r="E62" s="18">
        <v>0.60819999999999996</v>
      </c>
      <c r="F62" s="7">
        <f t="shared" si="2"/>
        <v>2.6721385932182429E-5</v>
      </c>
      <c r="G62" s="20" t="str">
        <f t="shared" si="3"/>
        <v>✓</v>
      </c>
    </row>
    <row r="63" spans="1:7" x14ac:dyDescent="0.25">
      <c r="A63" t="s">
        <v>540</v>
      </c>
      <c r="B63" t="s">
        <v>649</v>
      </c>
      <c r="C63" t="s">
        <v>650</v>
      </c>
      <c r="D63" s="7">
        <f>'4_Bang3_Gini_Theil'!M513</f>
        <v>5.6564299555985451E-2</v>
      </c>
      <c r="E63" s="18">
        <v>5.6599999999999998E-2</v>
      </c>
      <c r="F63" s="7">
        <f t="shared" si="2"/>
        <v>-3.5700444014546973E-5</v>
      </c>
      <c r="G63" s="20" t="str">
        <f t="shared" si="3"/>
        <v>✓</v>
      </c>
    </row>
    <row r="64" spans="1:7" x14ac:dyDescent="0.25">
      <c r="A64" t="s">
        <v>540</v>
      </c>
      <c r="B64" t="s">
        <v>651</v>
      </c>
      <c r="C64" t="s">
        <v>652</v>
      </c>
      <c r="D64" s="7">
        <f>'4_Bang3_Gini_Theil'!P513</f>
        <v>0.18022260273972601</v>
      </c>
      <c r="E64" s="18">
        <v>0.1802</v>
      </c>
      <c r="F64" s="7">
        <f t="shared" si="2"/>
        <v>2.2602739726013121E-5</v>
      </c>
      <c r="G64" s="20" t="str">
        <f t="shared" si="3"/>
        <v>✓</v>
      </c>
    </row>
    <row r="65" spans="1:7" x14ac:dyDescent="0.25">
      <c r="A65" t="s">
        <v>653</v>
      </c>
      <c r="B65" t="s">
        <v>654</v>
      </c>
      <c r="C65" t="s">
        <v>655</v>
      </c>
      <c r="D65" s="7">
        <f>'5_Bang4_Gini_tru_cot'!C454</f>
        <v>0.14534488061591988</v>
      </c>
      <c r="E65" s="18">
        <v>0.14530000000000001</v>
      </c>
      <c r="F65" s="7">
        <f t="shared" si="2"/>
        <v>4.4880615919867806E-5</v>
      </c>
      <c r="G65" s="20" t="str">
        <f t="shared" si="3"/>
        <v>✓</v>
      </c>
    </row>
    <row r="66" spans="1:7" x14ac:dyDescent="0.25">
      <c r="A66" t="s">
        <v>653</v>
      </c>
      <c r="B66" t="s">
        <v>656</v>
      </c>
      <c r="C66" t="s">
        <v>657</v>
      </c>
      <c r="D66" s="7">
        <f>'5_Bang4_Gini_tru_cot'!X454</f>
        <v>25.637895084445496</v>
      </c>
      <c r="E66" s="18">
        <v>25.64</v>
      </c>
      <c r="F66" s="7">
        <f t="shared" si="2"/>
        <v>-2.1049155545043163E-3</v>
      </c>
      <c r="G66" s="20" t="str">
        <f t="shared" si="3"/>
        <v>✓</v>
      </c>
    </row>
    <row r="67" spans="1:7" x14ac:dyDescent="0.25">
      <c r="A67" t="s">
        <v>653</v>
      </c>
      <c r="B67" t="s">
        <v>658</v>
      </c>
      <c r="C67" t="s">
        <v>659</v>
      </c>
      <c r="D67" s="7">
        <f>'5_Bang4_Gini_tru_cot'!F454</f>
        <v>0.25693886189849269</v>
      </c>
      <c r="E67" s="18">
        <v>0.25690000000000002</v>
      </c>
      <c r="F67" s="7">
        <f t="shared" si="2"/>
        <v>3.8861898492670299E-5</v>
      </c>
      <c r="G67" s="20" t="str">
        <f t="shared" si="3"/>
        <v>✓</v>
      </c>
    </row>
    <row r="68" spans="1:7" x14ac:dyDescent="0.25">
      <c r="A68" t="s">
        <v>653</v>
      </c>
      <c r="B68" t="s">
        <v>660</v>
      </c>
      <c r="C68" t="s">
        <v>661</v>
      </c>
      <c r="D68" s="7">
        <f>'5_Bang4_Gini_tru_cot'!C455</f>
        <v>0.12887374375779648</v>
      </c>
      <c r="E68" s="18">
        <v>0.12889999999999999</v>
      </c>
      <c r="F68" s="7">
        <f t="shared" ref="F68:F99" si="4">D68-E68</f>
        <v>-2.6256242203509528E-5</v>
      </c>
      <c r="G68" s="20" t="str">
        <f t="shared" ref="G68:G99" si="5">IF(ABS(F68)&lt;=MAX(0.0006,ABS(E68)*0.001),"✓","✗ KIỂM TRA")</f>
        <v>✓</v>
      </c>
    </row>
    <row r="69" spans="1:7" x14ac:dyDescent="0.25">
      <c r="A69" t="s">
        <v>653</v>
      </c>
      <c r="B69" t="s">
        <v>662</v>
      </c>
      <c r="C69" t="s">
        <v>663</v>
      </c>
      <c r="D69" s="7">
        <f>'5_Bang4_Gini_tru_cot'!X455</f>
        <v>33.931044898564082</v>
      </c>
      <c r="E69" s="18">
        <v>33.93</v>
      </c>
      <c r="F69" s="7">
        <f t="shared" si="4"/>
        <v>1.0448985640820752E-3</v>
      </c>
      <c r="G69" s="20" t="str">
        <f t="shared" si="5"/>
        <v>✓</v>
      </c>
    </row>
    <row r="70" spans="1:7" x14ac:dyDescent="0.25">
      <c r="A70" t="s">
        <v>653</v>
      </c>
      <c r="B70" t="s">
        <v>664</v>
      </c>
      <c r="C70" t="s">
        <v>665</v>
      </c>
      <c r="D70" s="7">
        <f>'5_Bang4_Gini_tru_cot'!F455</f>
        <v>0.12900790965961839</v>
      </c>
      <c r="E70" s="18">
        <v>0.129</v>
      </c>
      <c r="F70" s="7">
        <f t="shared" si="4"/>
        <v>7.9096596183880763E-6</v>
      </c>
      <c r="G70" s="20" t="str">
        <f t="shared" si="5"/>
        <v>✓</v>
      </c>
    </row>
    <row r="71" spans="1:7" x14ac:dyDescent="0.25">
      <c r="A71" t="s">
        <v>653</v>
      </c>
      <c r="B71" t="s">
        <v>666</v>
      </c>
      <c r="C71" t="s">
        <v>667</v>
      </c>
      <c r="D71" s="7">
        <f>'5_Bang4_Gini_tru_cot'!C456</f>
        <v>0.13381873031589819</v>
      </c>
      <c r="E71" s="18">
        <v>0.1338</v>
      </c>
      <c r="F71" s="7">
        <f t="shared" si="4"/>
        <v>1.8730315898191074E-5</v>
      </c>
      <c r="G71" s="20" t="str">
        <f t="shared" si="5"/>
        <v>✓</v>
      </c>
    </row>
    <row r="72" spans="1:7" x14ac:dyDescent="0.25">
      <c r="A72" t="s">
        <v>653</v>
      </c>
      <c r="B72" t="s">
        <v>668</v>
      </c>
      <c r="C72" t="s">
        <v>669</v>
      </c>
      <c r="D72" s="7">
        <f>'5_Bang4_Gini_tru_cot'!X456</f>
        <v>36.081674145256812</v>
      </c>
      <c r="E72" s="18">
        <v>36.08</v>
      </c>
      <c r="F72" s="7">
        <f t="shared" si="4"/>
        <v>1.6741452568140858E-3</v>
      </c>
      <c r="G72" s="20" t="str">
        <f t="shared" si="5"/>
        <v>✓</v>
      </c>
    </row>
    <row r="73" spans="1:7" x14ac:dyDescent="0.25">
      <c r="A73" t="s">
        <v>653</v>
      </c>
      <c r="B73" t="s">
        <v>670</v>
      </c>
      <c r="C73" t="s">
        <v>671</v>
      </c>
      <c r="D73" s="7">
        <f>'5_Bang4_Gini_tru_cot'!F456</f>
        <v>0.13023196739293574</v>
      </c>
      <c r="E73" s="18">
        <v>0.13020000000000001</v>
      </c>
      <c r="F73" s="7">
        <f t="shared" si="4"/>
        <v>3.1967392935733363E-5</v>
      </c>
      <c r="G73" s="20" t="str">
        <f t="shared" si="5"/>
        <v>✓</v>
      </c>
    </row>
    <row r="74" spans="1:7" x14ac:dyDescent="0.25">
      <c r="A74" t="s">
        <v>653</v>
      </c>
      <c r="B74" t="s">
        <v>672</v>
      </c>
      <c r="C74" t="s">
        <v>673</v>
      </c>
      <c r="D74" s="7">
        <f>'5_Bang4_Gini_tru_cot'!C457</f>
        <v>0.13511233952737145</v>
      </c>
      <c r="E74" s="18">
        <v>0.1351</v>
      </c>
      <c r="F74" s="7">
        <f t="shared" si="4"/>
        <v>1.2339527371452164E-5</v>
      </c>
      <c r="G74" s="20" t="str">
        <f t="shared" si="5"/>
        <v>✓</v>
      </c>
    </row>
    <row r="75" spans="1:7" x14ac:dyDescent="0.25">
      <c r="A75" t="s">
        <v>653</v>
      </c>
      <c r="B75" t="s">
        <v>674</v>
      </c>
      <c r="C75" t="s">
        <v>675</v>
      </c>
      <c r="D75" s="7">
        <f>'5_Bang4_Gini_tru_cot'!X457</f>
        <v>37.526011601468156</v>
      </c>
      <c r="E75" s="18">
        <v>37.53</v>
      </c>
      <c r="F75" s="7">
        <f t="shared" si="4"/>
        <v>-3.9883985318454052E-3</v>
      </c>
      <c r="G75" s="20" t="str">
        <f t="shared" si="5"/>
        <v>✓</v>
      </c>
    </row>
    <row r="76" spans="1:7" x14ac:dyDescent="0.25">
      <c r="A76" t="s">
        <v>653</v>
      </c>
      <c r="B76" t="s">
        <v>676</v>
      </c>
      <c r="C76" t="s">
        <v>677</v>
      </c>
      <c r="D76" s="7">
        <f>'5_Bang4_Gini_tru_cot'!F457</f>
        <v>0.13239236393176279</v>
      </c>
      <c r="E76" s="18">
        <v>0.13239999999999999</v>
      </c>
      <c r="F76" s="7">
        <f t="shared" si="4"/>
        <v>-7.6360682371989785E-6</v>
      </c>
      <c r="G76" s="20" t="str">
        <f t="shared" si="5"/>
        <v>✓</v>
      </c>
    </row>
    <row r="77" spans="1:7" x14ac:dyDescent="0.25">
      <c r="A77" t="s">
        <v>653</v>
      </c>
      <c r="B77" t="s">
        <v>678</v>
      </c>
      <c r="C77" t="s">
        <v>679</v>
      </c>
      <c r="D77" s="7">
        <f>'5_Bang4_Gini_tru_cot'!C458</f>
        <v>0.35276136856609819</v>
      </c>
      <c r="E77" s="18">
        <v>0.3528</v>
      </c>
      <c r="F77" s="7">
        <f t="shared" si="4"/>
        <v>-3.863143390181456E-5</v>
      </c>
      <c r="G77" s="20" t="str">
        <f t="shared" si="5"/>
        <v>✓</v>
      </c>
    </row>
    <row r="78" spans="1:7" x14ac:dyDescent="0.25">
      <c r="A78" t="s">
        <v>653</v>
      </c>
      <c r="B78" t="s">
        <v>680</v>
      </c>
      <c r="C78" t="s">
        <v>681</v>
      </c>
      <c r="D78" s="7">
        <f>'5_Bang4_Gini_tru_cot'!X458</f>
        <v>39.637885839392531</v>
      </c>
      <c r="E78" s="18">
        <v>39.64</v>
      </c>
      <c r="F78" s="7">
        <f t="shared" si="4"/>
        <v>-2.1141606074692731E-3</v>
      </c>
      <c r="G78" s="20" t="str">
        <f t="shared" si="5"/>
        <v>✓</v>
      </c>
    </row>
    <row r="79" spans="1:7" x14ac:dyDescent="0.25">
      <c r="A79" t="s">
        <v>653</v>
      </c>
      <c r="B79" t="s">
        <v>682</v>
      </c>
      <c r="C79" t="s">
        <v>683</v>
      </c>
      <c r="D79" s="7">
        <f>'5_Bang4_Gini_tru_cot'!F458</f>
        <v>0.19762133215368261</v>
      </c>
      <c r="E79" s="18">
        <v>0.1976</v>
      </c>
      <c r="F79" s="7">
        <f t="shared" si="4"/>
        <v>2.1332153682607213E-5</v>
      </c>
      <c r="G79" s="20" t="str">
        <f t="shared" si="5"/>
        <v>✓</v>
      </c>
    </row>
    <row r="80" spans="1:7" x14ac:dyDescent="0.25">
      <c r="A80" t="s">
        <v>653</v>
      </c>
      <c r="B80" t="s">
        <v>684</v>
      </c>
      <c r="C80" t="s">
        <v>685</v>
      </c>
      <c r="D80" s="7">
        <f>'5_Bang4_Gini_tru_cot'!C459</f>
        <v>0.27612431544907579</v>
      </c>
      <c r="E80" s="18">
        <v>0.27610000000000001</v>
      </c>
      <c r="F80" s="7">
        <f t="shared" si="4"/>
        <v>2.4315449075773543E-5</v>
      </c>
      <c r="G80" s="20" t="str">
        <f t="shared" si="5"/>
        <v>✓</v>
      </c>
    </row>
    <row r="81" spans="1:7" x14ac:dyDescent="0.25">
      <c r="A81" t="s">
        <v>653</v>
      </c>
      <c r="B81" t="s">
        <v>686</v>
      </c>
      <c r="C81" t="s">
        <v>687</v>
      </c>
      <c r="D81" s="7">
        <f>'5_Bang4_Gini_tru_cot'!X459</f>
        <v>39.878581043414464</v>
      </c>
      <c r="E81" s="18">
        <v>39.880000000000003</v>
      </c>
      <c r="F81" s="7">
        <f t="shared" si="4"/>
        <v>-1.4189565855389219E-3</v>
      </c>
      <c r="G81" s="20" t="str">
        <f t="shared" si="5"/>
        <v>✓</v>
      </c>
    </row>
    <row r="82" spans="1:7" x14ac:dyDescent="0.25">
      <c r="A82" t="s">
        <v>653</v>
      </c>
      <c r="B82" t="s">
        <v>688</v>
      </c>
      <c r="C82" t="s">
        <v>689</v>
      </c>
      <c r="D82" s="7">
        <f>'5_Bang4_Gini_tru_cot'!F459</f>
        <v>0.2938789478830548</v>
      </c>
      <c r="E82" s="18">
        <v>0.29389999999999999</v>
      </c>
      <c r="F82" s="7">
        <f t="shared" si="4"/>
        <v>-2.1052116945197152E-5</v>
      </c>
      <c r="G82" s="20" t="str">
        <f t="shared" si="5"/>
        <v>✓</v>
      </c>
    </row>
    <row r="83" spans="1:7" x14ac:dyDescent="0.25">
      <c r="A83" t="s">
        <v>653</v>
      </c>
      <c r="B83" t="s">
        <v>690</v>
      </c>
      <c r="C83" t="s">
        <v>691</v>
      </c>
      <c r="D83" s="7">
        <f>'5_Bang4_Gini_tru_cot'!C460</f>
        <v>0.2581654067429866</v>
      </c>
      <c r="E83" s="18">
        <v>0.25819999999999999</v>
      </c>
      <c r="F83" s="7">
        <f t="shared" si="4"/>
        <v>-3.4593257013382228E-5</v>
      </c>
      <c r="G83" s="20" t="str">
        <f t="shared" si="5"/>
        <v>✓</v>
      </c>
    </row>
    <row r="84" spans="1:7" x14ac:dyDescent="0.25">
      <c r="A84" t="s">
        <v>653</v>
      </c>
      <c r="B84" t="s">
        <v>692</v>
      </c>
      <c r="C84" t="s">
        <v>693</v>
      </c>
      <c r="D84" s="7">
        <f>'5_Bang4_Gini_tru_cot'!X460</f>
        <v>48.118442610742065</v>
      </c>
      <c r="E84" s="18">
        <v>48.12</v>
      </c>
      <c r="F84" s="7">
        <f t="shared" si="4"/>
        <v>-1.5573892579325843E-3</v>
      </c>
      <c r="G84" s="20" t="str">
        <f t="shared" si="5"/>
        <v>✓</v>
      </c>
    </row>
    <row r="85" spans="1:7" x14ac:dyDescent="0.25">
      <c r="A85" t="s">
        <v>653</v>
      </c>
      <c r="B85" t="s">
        <v>694</v>
      </c>
      <c r="C85" t="s">
        <v>695</v>
      </c>
      <c r="D85" s="7">
        <f>'5_Bang4_Gini_tru_cot'!F460</f>
        <v>0.29943754273256262</v>
      </c>
      <c r="E85" s="18">
        <v>0.2994</v>
      </c>
      <c r="F85" s="7">
        <f t="shared" si="4"/>
        <v>3.7542732562623193E-5</v>
      </c>
      <c r="G85" s="20" t="str">
        <f t="shared" si="5"/>
        <v>✓</v>
      </c>
    </row>
    <row r="86" spans="1:7" x14ac:dyDescent="0.25">
      <c r="A86" t="s">
        <v>653</v>
      </c>
      <c r="B86" t="s">
        <v>696</v>
      </c>
      <c r="C86" t="s">
        <v>697</v>
      </c>
      <c r="D86" s="7">
        <f>'5_Bang4_Gini_tru_cot'!C461</f>
        <v>0.24515947824921791</v>
      </c>
      <c r="E86" s="18">
        <v>0.2452</v>
      </c>
      <c r="F86" s="7">
        <f t="shared" si="4"/>
        <v>-4.0521750782090971E-5</v>
      </c>
      <c r="G86" s="20" t="str">
        <f t="shared" si="5"/>
        <v>✓</v>
      </c>
    </row>
    <row r="87" spans="1:7" x14ac:dyDescent="0.25">
      <c r="A87" t="s">
        <v>653</v>
      </c>
      <c r="B87" t="s">
        <v>698</v>
      </c>
      <c r="C87" t="s">
        <v>699</v>
      </c>
      <c r="D87" s="7">
        <f>'5_Bang4_Gini_tru_cot'!X461</f>
        <v>45.872967490356459</v>
      </c>
      <c r="E87" s="18">
        <v>45.87</v>
      </c>
      <c r="F87" s="7">
        <f t="shared" si="4"/>
        <v>2.9674903564611554E-3</v>
      </c>
      <c r="G87" s="20" t="str">
        <f t="shared" si="5"/>
        <v>✓</v>
      </c>
    </row>
    <row r="88" spans="1:7" x14ac:dyDescent="0.25">
      <c r="A88" t="s">
        <v>653</v>
      </c>
      <c r="B88" t="s">
        <v>700</v>
      </c>
      <c r="C88" t="s">
        <v>701</v>
      </c>
      <c r="D88" s="7">
        <f>'5_Bang4_Gini_tru_cot'!F461</f>
        <v>0.29817946653000482</v>
      </c>
      <c r="E88" s="18">
        <v>0.29820000000000002</v>
      </c>
      <c r="F88" s="7">
        <f t="shared" si="4"/>
        <v>-2.0533469995198672E-5</v>
      </c>
      <c r="G88" s="20" t="str">
        <f t="shared" si="5"/>
        <v>✓</v>
      </c>
    </row>
    <row r="89" spans="1:7" x14ac:dyDescent="0.25">
      <c r="A89" t="s">
        <v>702</v>
      </c>
      <c r="B89" t="s">
        <v>703</v>
      </c>
      <c r="C89" t="s">
        <v>704</v>
      </c>
      <c r="D89" s="7">
        <f>'6_Bang5a_Sigma'!E5</f>
        <v>0.27462008278291034</v>
      </c>
      <c r="E89" s="18">
        <v>0.27460000000000001</v>
      </c>
      <c r="F89" s="7">
        <f t="shared" si="4"/>
        <v>2.0082782910324504E-5</v>
      </c>
      <c r="G89" s="20" t="str">
        <f t="shared" si="5"/>
        <v>✓</v>
      </c>
    </row>
    <row r="90" spans="1:7" x14ac:dyDescent="0.25">
      <c r="A90" t="s">
        <v>702</v>
      </c>
      <c r="B90" t="s">
        <v>705</v>
      </c>
      <c r="C90" t="s">
        <v>706</v>
      </c>
      <c r="D90" s="7">
        <f>'6_Bang5a_Sigma'!D5</f>
        <v>0.84408654364595781</v>
      </c>
      <c r="E90" s="18">
        <v>0.84409999999999996</v>
      </c>
      <c r="F90" s="7">
        <f t="shared" si="4"/>
        <v>-1.345635404215173E-5</v>
      </c>
      <c r="G90" s="20" t="str">
        <f t="shared" si="5"/>
        <v>✓</v>
      </c>
    </row>
    <row r="91" spans="1:7" x14ac:dyDescent="0.25">
      <c r="A91" t="s">
        <v>702</v>
      </c>
      <c r="B91" t="s">
        <v>707</v>
      </c>
      <c r="C91" t="s">
        <v>708</v>
      </c>
      <c r="D91" s="7">
        <f>'6_Bang5a_Sigma'!E6</f>
        <v>0.29846064532816335</v>
      </c>
      <c r="E91" s="18">
        <v>0.29849999999999999</v>
      </c>
      <c r="F91" s="7">
        <f t="shared" si="4"/>
        <v>-3.9354671836633326E-5</v>
      </c>
      <c r="G91" s="20" t="str">
        <f t="shared" si="5"/>
        <v>✓</v>
      </c>
    </row>
    <row r="92" spans="1:7" x14ac:dyDescent="0.25">
      <c r="A92" t="s">
        <v>702</v>
      </c>
      <c r="B92" t="s">
        <v>709</v>
      </c>
      <c r="C92" t="s">
        <v>710</v>
      </c>
      <c r="D92" s="7">
        <f>'6_Bang5a_Sigma'!D6</f>
        <v>0.32372331442931607</v>
      </c>
      <c r="E92" s="18">
        <v>0.32369999999999999</v>
      </c>
      <c r="F92" s="7">
        <f t="shared" si="4"/>
        <v>2.3314429316079188E-5</v>
      </c>
      <c r="G92" s="20" t="str">
        <f t="shared" si="5"/>
        <v>✓</v>
      </c>
    </row>
    <row r="93" spans="1:7" x14ac:dyDescent="0.25">
      <c r="A93" t="s">
        <v>702</v>
      </c>
      <c r="B93" t="s">
        <v>711</v>
      </c>
      <c r="C93" t="s">
        <v>712</v>
      </c>
      <c r="D93" s="7">
        <f>'6_Bang5a_Sigma'!E7</f>
        <v>0.30031564396362648</v>
      </c>
      <c r="E93" s="18">
        <v>0.30030000000000001</v>
      </c>
      <c r="F93" s="7">
        <f t="shared" si="4"/>
        <v>1.5643963626466029E-5</v>
      </c>
      <c r="G93" s="20" t="str">
        <f t="shared" si="5"/>
        <v>✓</v>
      </c>
    </row>
    <row r="94" spans="1:7" x14ac:dyDescent="0.25">
      <c r="A94" t="s">
        <v>702</v>
      </c>
      <c r="B94" t="s">
        <v>713</v>
      </c>
      <c r="C94" t="s">
        <v>714</v>
      </c>
      <c r="D94" s="7">
        <f>'6_Bang5a_Sigma'!D7</f>
        <v>0.32268793481216984</v>
      </c>
      <c r="E94" s="18">
        <v>0.32269999999999999</v>
      </c>
      <c r="F94" s="7">
        <f t="shared" si="4"/>
        <v>-1.2065187830145874E-5</v>
      </c>
      <c r="G94" s="20" t="str">
        <f t="shared" si="5"/>
        <v>✓</v>
      </c>
    </row>
    <row r="95" spans="1:7" x14ac:dyDescent="0.25">
      <c r="A95" t="s">
        <v>702</v>
      </c>
      <c r="B95" t="s">
        <v>715</v>
      </c>
      <c r="C95" t="s">
        <v>716</v>
      </c>
      <c r="D95" s="7">
        <f>'6_Bang5a_Sigma'!E8</f>
        <v>0.30661436510134221</v>
      </c>
      <c r="E95" s="18">
        <v>0.30659999999999998</v>
      </c>
      <c r="F95" s="7">
        <f t="shared" si="4"/>
        <v>1.436510134222857E-5</v>
      </c>
      <c r="G95" s="20" t="str">
        <f t="shared" si="5"/>
        <v>✓</v>
      </c>
    </row>
    <row r="96" spans="1:7" x14ac:dyDescent="0.25">
      <c r="A96" t="s">
        <v>702</v>
      </c>
      <c r="B96" t="s">
        <v>717</v>
      </c>
      <c r="C96" t="s">
        <v>718</v>
      </c>
      <c r="D96" s="7">
        <f>'6_Bang5a_Sigma'!D8</f>
        <v>0.32465910794072456</v>
      </c>
      <c r="E96" s="18">
        <v>0.32469999999999999</v>
      </c>
      <c r="F96" s="7">
        <f t="shared" si="4"/>
        <v>-4.0892059275432491E-5</v>
      </c>
      <c r="G96" s="20" t="str">
        <f t="shared" si="5"/>
        <v>✓</v>
      </c>
    </row>
    <row r="97" spans="1:7" x14ac:dyDescent="0.25">
      <c r="A97" t="s">
        <v>702</v>
      </c>
      <c r="B97" t="s">
        <v>719</v>
      </c>
      <c r="C97" t="s">
        <v>720</v>
      </c>
      <c r="D97" s="7">
        <f>'6_Bang5a_Sigma'!E9</f>
        <v>1.952104900261485</v>
      </c>
      <c r="E97" s="18">
        <v>1.9520999999999999</v>
      </c>
      <c r="F97" s="7">
        <f t="shared" si="4"/>
        <v>4.9002614850301995E-6</v>
      </c>
      <c r="G97" s="20" t="str">
        <f t="shared" si="5"/>
        <v>✓</v>
      </c>
    </row>
    <row r="98" spans="1:7" x14ac:dyDescent="0.25">
      <c r="A98" t="s">
        <v>702</v>
      </c>
      <c r="B98" t="s">
        <v>721</v>
      </c>
      <c r="C98" t="s">
        <v>722</v>
      </c>
      <c r="D98" s="7">
        <f>'6_Bang5a_Sigma'!D9</f>
        <v>0.61106400346611189</v>
      </c>
      <c r="E98" s="18">
        <v>0.61109999999999998</v>
      </c>
      <c r="F98" s="7">
        <f t="shared" si="4"/>
        <v>-3.5996533888082993E-5</v>
      </c>
      <c r="G98" s="20" t="str">
        <f t="shared" si="5"/>
        <v>✓</v>
      </c>
    </row>
    <row r="99" spans="1:7" x14ac:dyDescent="0.25">
      <c r="A99" t="s">
        <v>702</v>
      </c>
      <c r="B99" t="s">
        <v>723</v>
      </c>
      <c r="C99" t="s">
        <v>724</v>
      </c>
      <c r="D99" s="7">
        <f>'6_Bang5a_Sigma'!E10</f>
        <v>0.6252833318362957</v>
      </c>
      <c r="E99" s="18">
        <v>0.62529999999999997</v>
      </c>
      <c r="F99" s="7">
        <f t="shared" si="4"/>
        <v>-1.6668163704269823E-5</v>
      </c>
      <c r="G99" s="20" t="str">
        <f t="shared" si="5"/>
        <v>✓</v>
      </c>
    </row>
    <row r="100" spans="1:7" x14ac:dyDescent="0.25">
      <c r="A100" t="s">
        <v>702</v>
      </c>
      <c r="B100" t="s">
        <v>725</v>
      </c>
      <c r="C100" t="s">
        <v>726</v>
      </c>
      <c r="D100" s="7">
        <f>'6_Bang5a_Sigma'!D10</f>
        <v>0.77857569535162696</v>
      </c>
      <c r="E100" s="18">
        <v>0.77859999999999996</v>
      </c>
      <c r="F100" s="7">
        <f t="shared" ref="F100:F131" si="6">D100-E100</f>
        <v>-2.4304648372996951E-5</v>
      </c>
      <c r="G100" s="20" t="str">
        <f t="shared" ref="G100:G131" si="7">IF(ABS(F100)&lt;=MAX(0.0006,ABS(E100)*0.001),"✓","✗ KIỂM TRA")</f>
        <v>✓</v>
      </c>
    </row>
    <row r="101" spans="1:7" x14ac:dyDescent="0.25">
      <c r="A101" t="s">
        <v>702</v>
      </c>
      <c r="B101" t="s">
        <v>727</v>
      </c>
      <c r="C101" t="s">
        <v>728</v>
      </c>
      <c r="D101" s="7">
        <f>'6_Bang5a_Sigma'!E11</f>
        <v>0.926116136447523</v>
      </c>
      <c r="E101" s="18">
        <v>0.92610000000000003</v>
      </c>
      <c r="F101" s="7">
        <f t="shared" si="6"/>
        <v>1.613644752296306E-5</v>
      </c>
      <c r="G101" s="20" t="str">
        <f t="shared" si="7"/>
        <v>✓</v>
      </c>
    </row>
    <row r="102" spans="1:7" x14ac:dyDescent="0.25">
      <c r="A102" t="s">
        <v>702</v>
      </c>
      <c r="B102" t="s">
        <v>729</v>
      </c>
      <c r="C102" t="s">
        <v>730</v>
      </c>
      <c r="D102" s="7">
        <f>'6_Bang5a_Sigma'!D11</f>
        <v>0.74447266063247797</v>
      </c>
      <c r="E102" s="18">
        <v>0.74450000000000005</v>
      </c>
      <c r="F102" s="7">
        <f t="shared" si="6"/>
        <v>-2.7339367522083435E-5</v>
      </c>
      <c r="G102" s="20" t="str">
        <f t="shared" si="7"/>
        <v>✓</v>
      </c>
    </row>
    <row r="103" spans="1:7" x14ac:dyDescent="0.25">
      <c r="A103" t="s">
        <v>702</v>
      </c>
      <c r="B103" t="s">
        <v>731</v>
      </c>
      <c r="C103" t="s">
        <v>732</v>
      </c>
      <c r="D103" s="7">
        <f>'6_Bang5a_Sigma'!E12</f>
        <v>0.42475175804031123</v>
      </c>
      <c r="E103" s="18">
        <v>0.42480000000000001</v>
      </c>
      <c r="F103" s="7">
        <f t="shared" si="6"/>
        <v>-4.8241959688777314E-5</v>
      </c>
      <c r="G103" s="20" t="str">
        <f t="shared" si="7"/>
        <v>✓</v>
      </c>
    </row>
    <row r="104" spans="1:7" x14ac:dyDescent="0.25">
      <c r="A104" t="s">
        <v>702</v>
      </c>
      <c r="B104" t="s">
        <v>733</v>
      </c>
      <c r="C104" t="s">
        <v>734</v>
      </c>
      <c r="D104" s="7">
        <f>'6_Bang5a_Sigma'!D12</f>
        <v>0.70434969665366232</v>
      </c>
      <c r="E104" s="18">
        <v>0.70430000000000004</v>
      </c>
      <c r="F104" s="7">
        <f t="shared" si="6"/>
        <v>4.9696653662278933E-5</v>
      </c>
      <c r="G104" s="20" t="str">
        <f t="shared" si="7"/>
        <v>✓</v>
      </c>
    </row>
    <row r="105" spans="1:7" x14ac:dyDescent="0.25">
      <c r="A105" t="s">
        <v>735</v>
      </c>
      <c r="B105" t="s">
        <v>736</v>
      </c>
      <c r="C105" t="s">
        <v>737</v>
      </c>
      <c r="D105" s="7">
        <f>'7_Bang5_Beta'!B63</f>
        <v>-4.2548705333806391E-2</v>
      </c>
      <c r="E105" s="18">
        <v>-4.2500000000000003E-2</v>
      </c>
      <c r="F105" s="7">
        <f t="shared" si="6"/>
        <v>-4.8705333806388362E-5</v>
      </c>
      <c r="G105" s="20" t="str">
        <f t="shared" si="7"/>
        <v>✓</v>
      </c>
    </row>
    <row r="106" spans="1:7" x14ac:dyDescent="0.25">
      <c r="A106" t="s">
        <v>735</v>
      </c>
      <c r="B106" t="s">
        <v>738</v>
      </c>
      <c r="C106" t="s">
        <v>739</v>
      </c>
      <c r="D106" s="7">
        <f>'7_Bang5_Beta'!C63</f>
        <v>2.5194166470496908E-3</v>
      </c>
      <c r="E106" s="18">
        <v>2.5000000000000001E-3</v>
      </c>
      <c r="F106" s="7">
        <f t="shared" si="6"/>
        <v>1.9416647049690702E-5</v>
      </c>
      <c r="G106" s="20" t="str">
        <f t="shared" si="7"/>
        <v>✓</v>
      </c>
    </row>
    <row r="107" spans="1:7" x14ac:dyDescent="0.25">
      <c r="A107" t="s">
        <v>735</v>
      </c>
      <c r="B107" t="s">
        <v>740</v>
      </c>
      <c r="C107" t="s">
        <v>741</v>
      </c>
      <c r="D107" s="7">
        <f>'7_Bang5_Beta'!B68</f>
        <v>0.16279910308484224</v>
      </c>
      <c r="E107" s="18">
        <v>0.1628</v>
      </c>
      <c r="F107" s="7">
        <f t="shared" si="6"/>
        <v>-8.9691515775536246E-7</v>
      </c>
      <c r="G107" s="20" t="str">
        <f t="shared" si="7"/>
        <v>✓</v>
      </c>
    </row>
    <row r="108" spans="1:7" x14ac:dyDescent="0.25">
      <c r="A108" t="s">
        <v>735</v>
      </c>
      <c r="B108" t="s">
        <v>742</v>
      </c>
      <c r="C108" t="s">
        <v>743</v>
      </c>
      <c r="D108" s="7">
        <f>'7_Bang5_Beta'!B69</f>
        <v>4.5520035708796001E-2</v>
      </c>
      <c r="E108" s="18">
        <v>4.5499999999999999E-2</v>
      </c>
      <c r="F108" s="7">
        <f t="shared" si="6"/>
        <v>2.0035708796002638E-5</v>
      </c>
      <c r="G108" s="20" t="str">
        <f t="shared" si="7"/>
        <v>✓</v>
      </c>
    </row>
    <row r="109" spans="1:7" x14ac:dyDescent="0.25">
      <c r="A109" t="s">
        <v>735</v>
      </c>
      <c r="B109" t="s">
        <v>744</v>
      </c>
      <c r="C109" t="s">
        <v>745</v>
      </c>
      <c r="D109" s="7">
        <f>'7_Bang5_Beta'!B71</f>
        <v>15.227298699724129</v>
      </c>
      <c r="E109" s="18">
        <v>15.23</v>
      </c>
      <c r="F109" s="7">
        <f t="shared" si="6"/>
        <v>-2.7013002758717874E-3</v>
      </c>
      <c r="G109" s="20" t="str">
        <f t="shared" si="7"/>
        <v>✓</v>
      </c>
    </row>
    <row r="110" spans="1:7" x14ac:dyDescent="0.25">
      <c r="A110" t="s">
        <v>735</v>
      </c>
      <c r="B110" t="s">
        <v>746</v>
      </c>
      <c r="C110" t="s">
        <v>747</v>
      </c>
      <c r="D110" s="7">
        <f>'7_Bang5_Beta'!B140</f>
        <v>-8.877375699458076E-2</v>
      </c>
      <c r="E110" s="18">
        <v>-8.8800000000000004E-2</v>
      </c>
      <c r="F110" s="7">
        <f t="shared" si="6"/>
        <v>2.6243005419243626E-5</v>
      </c>
      <c r="G110" s="20" t="str">
        <f t="shared" si="7"/>
        <v>✓</v>
      </c>
    </row>
    <row r="111" spans="1:7" x14ac:dyDescent="0.25">
      <c r="A111" t="s">
        <v>735</v>
      </c>
      <c r="B111" t="s">
        <v>748</v>
      </c>
      <c r="C111" t="s">
        <v>749</v>
      </c>
      <c r="D111" s="7">
        <f>'7_Bang5_Beta'!C140</f>
        <v>-4.9195778752916905E-2</v>
      </c>
      <c r="E111" s="18">
        <v>-4.9200000000000001E-2</v>
      </c>
      <c r="F111" s="7">
        <f t="shared" si="6"/>
        <v>4.221247083095736E-6</v>
      </c>
      <c r="G111" s="20" t="str">
        <f t="shared" si="7"/>
        <v>✓</v>
      </c>
    </row>
    <row r="112" spans="1:7" x14ac:dyDescent="0.25">
      <c r="A112" t="s">
        <v>735</v>
      </c>
      <c r="B112" t="s">
        <v>750</v>
      </c>
      <c r="C112" t="s">
        <v>751</v>
      </c>
      <c r="D112" s="7">
        <f>'7_Bang5_Beta'!B145</f>
        <v>0.52825539092633689</v>
      </c>
      <c r="E112" s="18">
        <v>0.52829999999999999</v>
      </c>
      <c r="F112" s="7">
        <f t="shared" si="6"/>
        <v>-4.4609073663104404E-5</v>
      </c>
      <c r="G112" s="20" t="str">
        <f t="shared" si="7"/>
        <v>✓</v>
      </c>
    </row>
    <row r="113" spans="1:7" x14ac:dyDescent="0.25">
      <c r="A113" t="s">
        <v>735</v>
      </c>
      <c r="B113" t="s">
        <v>752</v>
      </c>
      <c r="C113" t="s">
        <v>753</v>
      </c>
      <c r="D113" s="7">
        <f>'7_Bang5_Beta'!B146</f>
        <v>0.10322801502455754</v>
      </c>
      <c r="E113" s="18">
        <v>0.1032</v>
      </c>
      <c r="F113" s="7">
        <f t="shared" si="6"/>
        <v>2.8015024557542789E-5</v>
      </c>
      <c r="G113" s="20" t="str">
        <f t="shared" si="7"/>
        <v>✓</v>
      </c>
    </row>
    <row r="114" spans="1:7" x14ac:dyDescent="0.25">
      <c r="A114" t="s">
        <v>735</v>
      </c>
      <c r="B114" t="s">
        <v>754</v>
      </c>
      <c r="C114" t="s">
        <v>755</v>
      </c>
      <c r="D114" s="7">
        <f>'7_Bang5_Beta'!B148</f>
        <v>6.7147196465518419</v>
      </c>
      <c r="E114" s="18">
        <v>6.71</v>
      </c>
      <c r="F114" s="7">
        <f t="shared" si="6"/>
        <v>4.7196465518419828E-3</v>
      </c>
      <c r="G114" s="20" t="str">
        <f t="shared" si="7"/>
        <v>✓</v>
      </c>
    </row>
    <row r="115" spans="1:7" x14ac:dyDescent="0.25">
      <c r="A115" t="s">
        <v>735</v>
      </c>
      <c r="B115" t="s">
        <v>756</v>
      </c>
      <c r="C115" t="s">
        <v>757</v>
      </c>
      <c r="D115" s="7">
        <f>'7_Bang5_Beta'!B215</f>
        <v>7.0547531320928558E-2</v>
      </c>
      <c r="E115" s="18">
        <v>7.0499999999999993E-2</v>
      </c>
      <c r="F115" s="7">
        <f t="shared" si="6"/>
        <v>4.7531320928564935E-5</v>
      </c>
      <c r="G115" s="20" t="str">
        <f t="shared" si="7"/>
        <v>✓</v>
      </c>
    </row>
    <row r="116" spans="1:7" x14ac:dyDescent="0.25">
      <c r="A116" t="s">
        <v>735</v>
      </c>
      <c r="B116" t="s">
        <v>758</v>
      </c>
      <c r="C116" t="s">
        <v>759</v>
      </c>
      <c r="D116" s="7">
        <f>'7_Bang5_Beta'!C215</f>
        <v>5.0286145434377101E-2</v>
      </c>
      <c r="E116" s="18">
        <v>5.0299999999999997E-2</v>
      </c>
      <c r="F116" s="7">
        <f t="shared" si="6"/>
        <v>-1.3854565622896386E-5</v>
      </c>
      <c r="G116" s="20" t="str">
        <f t="shared" si="7"/>
        <v>✓</v>
      </c>
    </row>
    <row r="117" spans="1:7" x14ac:dyDescent="0.25">
      <c r="A117" t="s">
        <v>735</v>
      </c>
      <c r="B117" t="s">
        <v>760</v>
      </c>
      <c r="C117" t="s">
        <v>761</v>
      </c>
      <c r="D117" s="7">
        <f>'7_Bang5_Beta'!B220</f>
        <v>0.48965517411014192</v>
      </c>
      <c r="E117" s="18">
        <v>0.48970000000000002</v>
      </c>
      <c r="F117" s="7">
        <f t="shared" si="6"/>
        <v>-4.4825889858102208E-5</v>
      </c>
      <c r="G117" s="20" t="str">
        <f t="shared" si="7"/>
        <v>✓</v>
      </c>
    </row>
    <row r="118" spans="1:7" x14ac:dyDescent="0.25">
      <c r="A118" t="s">
        <v>762</v>
      </c>
      <c r="B118" t="s">
        <v>763</v>
      </c>
      <c r="C118" t="s">
        <v>764</v>
      </c>
      <c r="D118" s="7">
        <f>'8_Bang6_7_9_OLS'!B341</f>
        <v>7.0259841754192545E-2</v>
      </c>
      <c r="E118" s="18">
        <v>7.0300000000000001E-2</v>
      </c>
      <c r="F118" s="7">
        <f t="shared" si="6"/>
        <v>-4.0158245807456194E-5</v>
      </c>
      <c r="G118" s="20" t="str">
        <f t="shared" si="7"/>
        <v>✓</v>
      </c>
    </row>
    <row r="119" spans="1:7" x14ac:dyDescent="0.25">
      <c r="A119" t="s">
        <v>762</v>
      </c>
      <c r="B119" t="s">
        <v>765</v>
      </c>
      <c r="C119" t="s">
        <v>766</v>
      </c>
      <c r="D119" s="7">
        <f>'8_Bang6_7_9_OLS'!B340</f>
        <v>5.3955727397904003E-2</v>
      </c>
      <c r="E119" s="18">
        <v>5.3999999999999999E-2</v>
      </c>
      <c r="F119" s="7">
        <f t="shared" si="6"/>
        <v>-4.4272602095996039E-5</v>
      </c>
      <c r="G119" s="20" t="str">
        <f t="shared" si="7"/>
        <v>✓</v>
      </c>
    </row>
    <row r="120" spans="1:7" x14ac:dyDescent="0.25">
      <c r="A120" t="s">
        <v>762</v>
      </c>
      <c r="B120" t="s">
        <v>767</v>
      </c>
      <c r="C120" t="s">
        <v>768</v>
      </c>
      <c r="D120" s="7">
        <f>'8_Bang6_7_9_OLS'!B355</f>
        <v>0.93594980919511284</v>
      </c>
      <c r="E120" s="18">
        <v>0.93589999999999995</v>
      </c>
      <c r="F120" s="7">
        <f t="shared" si="6"/>
        <v>4.9809195112882065E-5</v>
      </c>
      <c r="G120" s="20" t="str">
        <f t="shared" si="7"/>
        <v>✓</v>
      </c>
    </row>
    <row r="121" spans="1:7" x14ac:dyDescent="0.25">
      <c r="A121" t="s">
        <v>769</v>
      </c>
      <c r="B121" t="s">
        <v>770</v>
      </c>
      <c r="C121" t="s">
        <v>771</v>
      </c>
      <c r="D121" s="7">
        <f>'8_Bang6_7_9_OLS'!D371</f>
        <v>0.64058929411297716</v>
      </c>
      <c r="E121" s="18">
        <v>0.64100000000000001</v>
      </c>
      <c r="F121" s="7">
        <f t="shared" si="6"/>
        <v>-4.1070588702285526E-4</v>
      </c>
      <c r="G121" s="20" t="str">
        <f t="shared" si="7"/>
        <v>✓</v>
      </c>
    </row>
    <row r="122" spans="1:7" x14ac:dyDescent="0.25">
      <c r="A122" t="s">
        <v>762</v>
      </c>
      <c r="B122" t="s">
        <v>772</v>
      </c>
      <c r="C122" t="s">
        <v>773</v>
      </c>
      <c r="D122" s="7">
        <f>'8_Bang6_7_9_OLS'!B717</f>
        <v>0.48082247260063565</v>
      </c>
      <c r="E122" s="18">
        <v>0.48080000000000001</v>
      </c>
      <c r="F122" s="7">
        <f t="shared" si="6"/>
        <v>2.2472600635647932E-5</v>
      </c>
      <c r="G122" s="20" t="str">
        <f t="shared" si="7"/>
        <v>✓</v>
      </c>
    </row>
    <row r="123" spans="1:7" x14ac:dyDescent="0.25">
      <c r="A123" t="s">
        <v>762</v>
      </c>
      <c r="B123" t="s">
        <v>774</v>
      </c>
      <c r="C123" t="s">
        <v>775</v>
      </c>
      <c r="D123" s="7">
        <f>'8_Bang6_7_9_OLS'!B1124</f>
        <v>7.0452939329269978E-2</v>
      </c>
      <c r="E123" s="18">
        <v>7.0499999999999993E-2</v>
      </c>
      <c r="F123" s="7">
        <f t="shared" si="6"/>
        <v>-4.7060670730014742E-5</v>
      </c>
      <c r="G123" s="20" t="str">
        <f t="shared" si="7"/>
        <v>✓</v>
      </c>
    </row>
    <row r="124" spans="1:7" x14ac:dyDescent="0.25">
      <c r="A124" t="s">
        <v>762</v>
      </c>
      <c r="B124" t="s">
        <v>776</v>
      </c>
      <c r="C124" t="s">
        <v>777</v>
      </c>
      <c r="D124" s="7">
        <f>'8_Bang6_7_9_OLS'!B1425</f>
        <v>7.2859341215691806E-2</v>
      </c>
      <c r="E124" s="18">
        <v>7.2900000000000006E-2</v>
      </c>
      <c r="F124" s="7">
        <f t="shared" si="6"/>
        <v>-4.0658784308200691E-5</v>
      </c>
      <c r="G124" s="20" t="str">
        <f t="shared" si="7"/>
        <v>✓</v>
      </c>
    </row>
    <row r="125" spans="1:7" x14ac:dyDescent="0.25">
      <c r="A125" t="s">
        <v>762</v>
      </c>
      <c r="B125" t="s">
        <v>778</v>
      </c>
      <c r="C125" t="s">
        <v>779</v>
      </c>
      <c r="D125" s="7">
        <f>'8_Bang6_7_9_OLS'!B1671</f>
        <v>8.1304607806506224E-2</v>
      </c>
      <c r="E125" s="18">
        <v>8.1299999999999997E-2</v>
      </c>
      <c r="F125" s="7">
        <f t="shared" si="6"/>
        <v>4.6078065062266083E-6</v>
      </c>
      <c r="G125" s="20" t="str">
        <f t="shared" si="7"/>
        <v>✓</v>
      </c>
    </row>
    <row r="126" spans="1:7" x14ac:dyDescent="0.25">
      <c r="A126" t="s">
        <v>780</v>
      </c>
      <c r="B126" t="s">
        <v>781</v>
      </c>
      <c r="C126" t="s">
        <v>782</v>
      </c>
      <c r="D126" s="7">
        <f>'8_Bang6_7_9_OLS'!B2037</f>
        <v>0.11456903371942224</v>
      </c>
      <c r="E126" s="18">
        <v>0.11459999999999999</v>
      </c>
      <c r="F126" s="7">
        <f t="shared" si="6"/>
        <v>-3.0966280577748861E-5</v>
      </c>
      <c r="G126" s="20" t="str">
        <f t="shared" si="7"/>
        <v>✓</v>
      </c>
    </row>
    <row r="127" spans="1:7" x14ac:dyDescent="0.25">
      <c r="A127" t="s">
        <v>780</v>
      </c>
      <c r="B127" t="s">
        <v>783</v>
      </c>
      <c r="C127" t="s">
        <v>784</v>
      </c>
      <c r="D127" s="7">
        <f>'8_Bang6_7_9_OLS'!B2054</f>
        <v>-0.56318885148101128</v>
      </c>
      <c r="E127" s="18">
        <v>-0.56320000000000003</v>
      </c>
      <c r="F127" s="7">
        <f t="shared" si="6"/>
        <v>1.1148518988757239E-5</v>
      </c>
      <c r="G127" s="20" t="str">
        <f t="shared" si="7"/>
        <v>✓</v>
      </c>
    </row>
    <row r="128" spans="1:7" x14ac:dyDescent="0.25">
      <c r="A128" t="s">
        <v>785</v>
      </c>
      <c r="B128" t="s">
        <v>786</v>
      </c>
      <c r="C128" t="s">
        <v>787</v>
      </c>
      <c r="D128" s="7">
        <f>'8_Bang6_7_9_OLS'!B2143</f>
        <v>0.63951536754273564</v>
      </c>
      <c r="E128" s="18">
        <v>0.63949999999999996</v>
      </c>
      <c r="F128" s="7">
        <f t="shared" si="6"/>
        <v>1.5367542735678086E-5</v>
      </c>
      <c r="G128" s="20" t="str">
        <f t="shared" si="7"/>
        <v>✓</v>
      </c>
    </row>
    <row r="129" spans="1:7" x14ac:dyDescent="0.25">
      <c r="A129" t="s">
        <v>785</v>
      </c>
      <c r="B129" t="s">
        <v>788</v>
      </c>
      <c r="C129" t="s">
        <v>789</v>
      </c>
      <c r="D129" s="7">
        <f>'8_Bang6_7_9_OLS'!B2147</f>
        <v>1.2424650511772672E-2</v>
      </c>
      <c r="E129" s="18">
        <v>1.24E-2</v>
      </c>
      <c r="F129" s="7">
        <f t="shared" si="6"/>
        <v>2.4650511772672176E-5</v>
      </c>
      <c r="G129" s="20" t="str">
        <f t="shared" si="7"/>
        <v>✓</v>
      </c>
    </row>
    <row r="130" spans="1:7" x14ac:dyDescent="0.25">
      <c r="A130" t="s">
        <v>785</v>
      </c>
      <c r="B130" t="s">
        <v>790</v>
      </c>
      <c r="C130" t="s">
        <v>791</v>
      </c>
      <c r="D130" s="7">
        <f>'8_Bang6_7_9_OLS'!B2154</f>
        <v>0.85624029396251544</v>
      </c>
      <c r="E130" s="18">
        <v>0.85619999999999996</v>
      </c>
      <c r="F130" s="7">
        <f t="shared" si="6"/>
        <v>4.0293962515480786E-5</v>
      </c>
      <c r="G130" s="20" t="str">
        <f t="shared" si="7"/>
        <v>✓</v>
      </c>
    </row>
    <row r="131" spans="1:7" x14ac:dyDescent="0.25">
      <c r="A131" t="s">
        <v>785</v>
      </c>
      <c r="B131" t="s">
        <v>792</v>
      </c>
      <c r="C131" t="s">
        <v>793</v>
      </c>
      <c r="D131" s="7">
        <f>'8_Bang6_7_9_OLS'!B2165</f>
        <v>0.82344956523749513</v>
      </c>
      <c r="E131" s="18">
        <v>0.82340000000000002</v>
      </c>
      <c r="F131" s="7">
        <f t="shared" si="6"/>
        <v>4.9565237495108327E-5</v>
      </c>
      <c r="G131" s="20" t="str">
        <f t="shared" si="7"/>
        <v>✓</v>
      </c>
    </row>
    <row r="132" spans="1:7" x14ac:dyDescent="0.25">
      <c r="A132" t="s">
        <v>794</v>
      </c>
      <c r="B132" t="s">
        <v>795</v>
      </c>
      <c r="C132" t="s">
        <v>796</v>
      </c>
      <c r="D132" s="7">
        <f>'9_Bang8_Oaxaca'!B22</f>
        <v>0.45516120635333568</v>
      </c>
      <c r="E132" s="18">
        <v>0.45519999999999999</v>
      </c>
      <c r="F132" s="7">
        <f t="shared" ref="F132:F163" si="8">D132-E132</f>
        <v>-3.8793646664314618E-5</v>
      </c>
      <c r="G132" s="20" t="str">
        <f t="shared" ref="G132:G163" si="9">IF(ABS(F132)&lt;=MAX(0.0006,ABS(E132)*0.001),"✓","✗ KIỂM TRA")</f>
        <v>✓</v>
      </c>
    </row>
    <row r="133" spans="1:7" x14ac:dyDescent="0.25">
      <c r="A133" t="s">
        <v>794</v>
      </c>
      <c r="B133" t="s">
        <v>797</v>
      </c>
      <c r="C133" t="s">
        <v>798</v>
      </c>
      <c r="D133" s="7">
        <f>'9_Bang8_Oaxaca'!B23</f>
        <v>0.35991510024289575</v>
      </c>
      <c r="E133" s="18">
        <v>0.3599</v>
      </c>
      <c r="F133" s="7">
        <f t="shared" si="8"/>
        <v>1.5100242895749183E-5</v>
      </c>
      <c r="G133" s="20" t="str">
        <f t="shared" si="9"/>
        <v>✓</v>
      </c>
    </row>
    <row r="134" spans="1:7" x14ac:dyDescent="0.25">
      <c r="A134" t="s">
        <v>794</v>
      </c>
      <c r="B134" t="s">
        <v>490</v>
      </c>
      <c r="C134" t="s">
        <v>799</v>
      </c>
      <c r="D134" s="7">
        <f>'9_Bang8_Oaxaca'!C23</f>
        <v>79.074203868661513</v>
      </c>
      <c r="E134" s="18">
        <v>79.069999999999993</v>
      </c>
      <c r="F134" s="7">
        <f t="shared" si="8"/>
        <v>4.2038686615200049E-3</v>
      </c>
      <c r="G134" s="20" t="str">
        <f t="shared" si="9"/>
        <v>✓</v>
      </c>
    </row>
    <row r="135" spans="1:7" x14ac:dyDescent="0.25">
      <c r="A135" t="s">
        <v>800</v>
      </c>
      <c r="B135" t="s">
        <v>801</v>
      </c>
      <c r="C135" t="s">
        <v>802</v>
      </c>
      <c r="D135" s="7">
        <f>'9_Bang8_Oaxaca'!F6</f>
        <v>0.31583961013294626</v>
      </c>
      <c r="E135" s="18">
        <v>0.31580000000000003</v>
      </c>
      <c r="F135" s="7">
        <f t="shared" si="8"/>
        <v>3.9610132946232834E-5</v>
      </c>
      <c r="G135" s="20" t="str">
        <f t="shared" si="9"/>
        <v>✓</v>
      </c>
    </row>
    <row r="136" spans="1:7" x14ac:dyDescent="0.25">
      <c r="A136" t="s">
        <v>803</v>
      </c>
      <c r="B136" t="s">
        <v>804</v>
      </c>
      <c r="C136" t="s">
        <v>805</v>
      </c>
      <c r="D136" s="7">
        <f>'10_So_lieu_khac'!D13</f>
        <v>2.7971530249110317</v>
      </c>
      <c r="E136" s="18">
        <v>2.7970000000000002</v>
      </c>
      <c r="F136" s="7">
        <f t="shared" si="8"/>
        <v>1.530249110315296E-4</v>
      </c>
      <c r="G136" s="20" t="str">
        <f t="shared" si="9"/>
        <v>✓</v>
      </c>
    </row>
    <row r="137" spans="1:7" x14ac:dyDescent="0.25">
      <c r="A137" t="s">
        <v>803</v>
      </c>
      <c r="B137" t="s">
        <v>806</v>
      </c>
      <c r="C137" t="s">
        <v>807</v>
      </c>
      <c r="D137" s="7">
        <f>'10_So_lieu_khac'!D14</f>
        <v>2.3357041251778092</v>
      </c>
      <c r="E137" s="18">
        <v>2.3359999999999999</v>
      </c>
      <c r="F137" s="7">
        <f t="shared" si="8"/>
        <v>-2.9587482219062267E-4</v>
      </c>
      <c r="G137" s="20" t="str">
        <f t="shared" si="9"/>
        <v>✓</v>
      </c>
    </row>
    <row r="138" spans="1:7" x14ac:dyDescent="0.25">
      <c r="A138" t="s">
        <v>803</v>
      </c>
      <c r="B138" t="s">
        <v>808</v>
      </c>
      <c r="C138" t="s">
        <v>809</v>
      </c>
      <c r="D138" s="7">
        <f>'10_So_lieu_khac'!D15</f>
        <v>2.3023872679045092</v>
      </c>
      <c r="E138" s="18">
        <v>2.302</v>
      </c>
      <c r="F138" s="7">
        <f t="shared" si="8"/>
        <v>3.8726790450915871E-4</v>
      </c>
      <c r="G138" s="20" t="str">
        <f t="shared" si="9"/>
        <v>✓</v>
      </c>
    </row>
    <row r="139" spans="1:7" x14ac:dyDescent="0.25">
      <c r="A139" t="s">
        <v>803</v>
      </c>
      <c r="B139" t="s">
        <v>810</v>
      </c>
      <c r="C139" t="s">
        <v>811</v>
      </c>
      <c r="D139" s="7">
        <f>'10_So_lieu_khac'!D16</f>
        <v>2.2386934673366836</v>
      </c>
      <c r="E139" s="18">
        <v>2.2389999999999999</v>
      </c>
      <c r="F139" s="7">
        <f t="shared" si="8"/>
        <v>-3.0653266331626128E-4</v>
      </c>
      <c r="G139" s="20" t="str">
        <f t="shared" si="9"/>
        <v>✓</v>
      </c>
    </row>
    <row r="140" spans="1:7" x14ac:dyDescent="0.25">
      <c r="A140" t="s">
        <v>803</v>
      </c>
      <c r="B140" t="s">
        <v>812</v>
      </c>
      <c r="C140" t="s">
        <v>813</v>
      </c>
      <c r="D140" s="7">
        <f>'10_So_lieu_khac'!D17</f>
        <v>11.680483592400689</v>
      </c>
      <c r="E140" s="18">
        <v>11.68</v>
      </c>
      <c r="F140" s="7">
        <f t="shared" si="8"/>
        <v>4.8359240068940323E-4</v>
      </c>
      <c r="G140" s="20" t="str">
        <f t="shared" si="9"/>
        <v>✓</v>
      </c>
    </row>
    <row r="141" spans="1:7" x14ac:dyDescent="0.25">
      <c r="A141" t="s">
        <v>803</v>
      </c>
      <c r="B141" t="s">
        <v>814</v>
      </c>
      <c r="C141" t="s">
        <v>815</v>
      </c>
      <c r="D141" s="7">
        <f>'10_So_lieu_khac'!D18</f>
        <v>5.5582822085889561</v>
      </c>
      <c r="E141" s="18">
        <v>5.5579999999999998</v>
      </c>
      <c r="F141" s="7">
        <f t="shared" si="8"/>
        <v>2.8220858895622314E-4</v>
      </c>
      <c r="G141" s="20" t="str">
        <f t="shared" si="9"/>
        <v>✓</v>
      </c>
    </row>
    <row r="142" spans="1:7" x14ac:dyDescent="0.25">
      <c r="A142" t="s">
        <v>803</v>
      </c>
      <c r="B142" t="s">
        <v>816</v>
      </c>
      <c r="C142" t="s">
        <v>817</v>
      </c>
      <c r="D142" s="7">
        <f>'10_So_lieu_khac'!D19</f>
        <v>5.6277602523659311</v>
      </c>
      <c r="E142" s="18">
        <v>5.6280000000000001</v>
      </c>
      <c r="F142" s="7">
        <f t="shared" si="8"/>
        <v>-2.3974763406897637E-4</v>
      </c>
      <c r="G142" s="20" t="str">
        <f t="shared" si="9"/>
        <v>✓</v>
      </c>
    </row>
    <row r="143" spans="1:7" x14ac:dyDescent="0.25">
      <c r="A143" t="s">
        <v>803</v>
      </c>
      <c r="B143" t="s">
        <v>818</v>
      </c>
      <c r="C143" t="s">
        <v>819</v>
      </c>
      <c r="D143" s="7">
        <f>'10_So_lieu_khac'!D20</f>
        <v>4.3499999999999996</v>
      </c>
      <c r="E143" s="18">
        <v>4.3499999999999996</v>
      </c>
      <c r="F143" s="7">
        <f t="shared" si="8"/>
        <v>0</v>
      </c>
      <c r="G143" s="20" t="str">
        <f t="shared" si="9"/>
        <v>✓</v>
      </c>
    </row>
    <row r="144" spans="1:7" x14ac:dyDescent="0.25">
      <c r="A144" t="s">
        <v>820</v>
      </c>
      <c r="B144" t="s">
        <v>821</v>
      </c>
      <c r="C144" t="s">
        <v>822</v>
      </c>
      <c r="D144" s="7">
        <f>'10_So_lieu_khac'!B24</f>
        <v>124.05698802552222</v>
      </c>
      <c r="E144" s="18">
        <v>124.1</v>
      </c>
      <c r="F144" s="7">
        <f t="shared" si="8"/>
        <v>-4.3011974477778381E-2</v>
      </c>
      <c r="G144" s="20" t="str">
        <f t="shared" si="9"/>
        <v>✓</v>
      </c>
    </row>
    <row r="145" spans="1:7" x14ac:dyDescent="0.25">
      <c r="A145" t="s">
        <v>820</v>
      </c>
      <c r="B145" t="s">
        <v>823</v>
      </c>
      <c r="C145" t="s">
        <v>824</v>
      </c>
      <c r="D145" s="7">
        <f>'10_So_lieu_khac'!B25</f>
        <v>121.3845952888928</v>
      </c>
      <c r="E145" s="18">
        <v>121.4</v>
      </c>
      <c r="F145" s="7">
        <f t="shared" si="8"/>
        <v>-1.5404711107208868E-2</v>
      </c>
      <c r="G145" s="20" t="str">
        <f t="shared" si="9"/>
        <v>✓</v>
      </c>
    </row>
    <row r="146" spans="1:7" x14ac:dyDescent="0.25">
      <c r="A146" t="s">
        <v>820</v>
      </c>
      <c r="B146" t="s">
        <v>825</v>
      </c>
      <c r="C146" t="s">
        <v>826</v>
      </c>
      <c r="D146" s="7">
        <f>'10_So_lieu_khac'!B26</f>
        <v>122.28638723374367</v>
      </c>
      <c r="E146" s="18">
        <v>122.3</v>
      </c>
      <c r="F146" s="7">
        <f t="shared" si="8"/>
        <v>-1.3612766256329678E-2</v>
      </c>
      <c r="G146" s="20" t="str">
        <f t="shared" si="9"/>
        <v>✓</v>
      </c>
    </row>
    <row r="147" spans="1:7" x14ac:dyDescent="0.25">
      <c r="A147" t="s">
        <v>820</v>
      </c>
      <c r="B147" t="s">
        <v>827</v>
      </c>
      <c r="C147" t="s">
        <v>828</v>
      </c>
      <c r="D147" s="7">
        <f>'10_So_lieu_khac'!B27</f>
        <v>122.10977273953837</v>
      </c>
      <c r="E147" s="18">
        <v>122.1</v>
      </c>
      <c r="F147" s="7">
        <f t="shared" si="8"/>
        <v>9.7727395383770954E-3</v>
      </c>
      <c r="G147" s="20" t="str">
        <f t="shared" si="9"/>
        <v>✓</v>
      </c>
    </row>
    <row r="148" spans="1:7" x14ac:dyDescent="0.25">
      <c r="A148" t="s">
        <v>820</v>
      </c>
      <c r="B148" t="s">
        <v>829</v>
      </c>
      <c r="C148" t="s">
        <v>830</v>
      </c>
      <c r="D148" s="7">
        <f>'10_So_lieu_khac'!B28</f>
        <v>168.62966558274189</v>
      </c>
      <c r="E148" s="18">
        <v>168.6</v>
      </c>
      <c r="F148" s="7">
        <f t="shared" si="8"/>
        <v>2.9665582741898788E-2</v>
      </c>
      <c r="G148" s="20" t="str">
        <f t="shared" si="9"/>
        <v>✓</v>
      </c>
    </row>
    <row r="149" spans="1:7" x14ac:dyDescent="0.25">
      <c r="A149" t="s">
        <v>820</v>
      </c>
      <c r="B149" t="s">
        <v>831</v>
      </c>
      <c r="C149" t="s">
        <v>832</v>
      </c>
      <c r="D149" s="7">
        <f>'10_So_lieu_khac'!B29</f>
        <v>151.70088717285182</v>
      </c>
      <c r="E149" s="18">
        <v>151.69999999999999</v>
      </c>
      <c r="F149" s="7">
        <f t="shared" si="8"/>
        <v>8.8717285183292915E-4</v>
      </c>
      <c r="G149" s="20" t="str">
        <f t="shared" si="9"/>
        <v>✓</v>
      </c>
    </row>
    <row r="150" spans="1:7" x14ac:dyDescent="0.25">
      <c r="A150" t="s">
        <v>820</v>
      </c>
      <c r="B150" t="s">
        <v>833</v>
      </c>
      <c r="C150" t="s">
        <v>834</v>
      </c>
      <c r="D150" s="7">
        <f>'10_So_lieu_khac'!B30</f>
        <v>149.03542061986079</v>
      </c>
      <c r="E150" s="18">
        <v>149</v>
      </c>
      <c r="F150" s="7">
        <f t="shared" si="8"/>
        <v>3.5420619860786928E-2</v>
      </c>
      <c r="G150" s="20" t="str">
        <f t="shared" si="9"/>
        <v>✓</v>
      </c>
    </row>
    <row r="151" spans="1:7" x14ac:dyDescent="0.25">
      <c r="A151" t="s">
        <v>820</v>
      </c>
      <c r="B151" t="s">
        <v>835</v>
      </c>
      <c r="C151" t="s">
        <v>836</v>
      </c>
      <c r="D151" s="7">
        <f>'10_So_lieu_khac'!B31</f>
        <v>146.25488731713745</v>
      </c>
      <c r="E151" s="18">
        <v>146.30000000000001</v>
      </c>
      <c r="F151" s="7">
        <f t="shared" si="8"/>
        <v>-4.5112682862566089E-2</v>
      </c>
      <c r="G151" s="20" t="str">
        <f t="shared" si="9"/>
        <v>✓</v>
      </c>
    </row>
    <row r="153" spans="1:7" x14ac:dyDescent="0.25">
      <c r="A153" s="10" t="s">
        <v>837</v>
      </c>
      <c r="D153" s="20" t="str">
        <f>COUNTIF(G5:G151,"✓")&amp;" / "&amp;COUNTA(G5:G151)</f>
        <v>147 / 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0_Huong_dan</vt:lpstr>
      <vt:lpstr>1_Du_lieu</vt:lpstr>
      <vt:lpstr>2_Bang1_Mo_ta</vt:lpstr>
      <vt:lpstr>3_Bang2_EBI_tuong_doi</vt:lpstr>
      <vt:lpstr>4_Bang3_Gini_Theil</vt:lpstr>
      <vt:lpstr>5_Bang4_Gini_tru_cot</vt:lpstr>
      <vt:lpstr>6_Bang5a_Sigma</vt:lpstr>
      <vt:lpstr>7_Bang5_Beta</vt:lpstr>
      <vt:lpstr>8_Bang6_7_9_OLS</vt:lpstr>
      <vt:lpstr>9_Bang8_Oaxaca</vt:lpstr>
      <vt:lpstr>10_So_lieu_khac</vt:lpstr>
      <vt:lpstr>11_Doi_chieu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Nguyễn</cp:lastModifiedBy>
  <dcterms:created xsi:type="dcterms:W3CDTF">2026-09-12T06:04:01Z</dcterms:created>
  <dcterms:modified xsi:type="dcterms:W3CDTF">2026-09-12T06:04:19Z</dcterms:modified>
</cp:coreProperties>
</file>