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 Documents\Documents\Git\RT_soldering_pen\workspace\bluepill-proto\"/>
    </mc:Choice>
  </mc:AlternateContent>
  <xr:revisionPtr revIDLastSave="0" documentId="13_ncr:1_{07F6FEE3-CF10-4239-816A-0F7C3BEC7697}" xr6:coauthVersionLast="45" xr6:coauthVersionMax="45" xr10:uidLastSave="{00000000-0000-0000-0000-000000000000}"/>
  <bookViews>
    <workbookView xWindow="-28920" yWindow="3405" windowWidth="29040" windowHeight="15990" xr2:uid="{1DE8D587-94D3-402A-AB86-DAC758A4112A}"/>
  </bookViews>
  <sheets>
    <sheet name="ADC timing" sheetId="1" r:id="rId1"/>
    <sheet name="ADC conversions" sheetId="2" r:id="rId2"/>
    <sheet name="PWM1" sheetId="3" r:id="rId3"/>
    <sheet name="PWM2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8" i="1" l="1"/>
  <c r="I27" i="1"/>
  <c r="I26" i="1"/>
  <c r="I25" i="1"/>
  <c r="I24" i="1"/>
  <c r="I23" i="1"/>
  <c r="I22" i="1"/>
  <c r="H22" i="1"/>
  <c r="C7" i="4" l="1"/>
  <c r="E7" i="4" s="1"/>
  <c r="E10" i="3" l="1"/>
  <c r="C10" i="3"/>
  <c r="F10" i="3" s="1"/>
  <c r="E9" i="3"/>
  <c r="C9" i="3"/>
  <c r="F9" i="3" s="1"/>
  <c r="E8" i="3"/>
  <c r="C8" i="3"/>
  <c r="F8" i="3" s="1"/>
  <c r="B39" i="2"/>
  <c r="C33" i="2"/>
  <c r="E33" i="2" s="1"/>
  <c r="G33" i="2" s="1"/>
  <c r="I33" i="2" s="1"/>
  <c r="K33" i="2" s="1"/>
  <c r="C32" i="2"/>
  <c r="E32" i="2" s="1"/>
  <c r="G32" i="2" s="1"/>
  <c r="I32" i="2" s="1"/>
  <c r="K32" i="2" s="1"/>
  <c r="C31" i="2"/>
  <c r="E31" i="2" s="1"/>
  <c r="G31" i="2" s="1"/>
  <c r="I31" i="2" s="1"/>
  <c r="K31" i="2" s="1"/>
  <c r="F28" i="2"/>
  <c r="C28" i="2"/>
  <c r="E28" i="2" s="1"/>
  <c r="G28" i="2" s="1"/>
  <c r="I28" i="2" s="1"/>
  <c r="K28" i="2" s="1"/>
  <c r="M28" i="2" s="1"/>
  <c r="F27" i="2"/>
  <c r="C27" i="2"/>
  <c r="E27" i="2" s="1"/>
  <c r="G27" i="2" s="1"/>
  <c r="I27" i="2" s="1"/>
  <c r="K27" i="2" s="1"/>
  <c r="M27" i="2" s="1"/>
  <c r="F26" i="2"/>
  <c r="C26" i="2"/>
  <c r="E26" i="2" s="1"/>
  <c r="G26" i="2" s="1"/>
  <c r="I26" i="2" s="1"/>
  <c r="K26" i="2" s="1"/>
  <c r="M26" i="2" s="1"/>
  <c r="C24" i="2"/>
  <c r="E24" i="2" s="1"/>
  <c r="G24" i="2" s="1"/>
  <c r="I24" i="2" s="1"/>
  <c r="K24" i="2" s="1"/>
  <c r="M24" i="2" s="1"/>
  <c r="E23" i="2"/>
  <c r="G23" i="2" s="1"/>
  <c r="I23" i="2" s="1"/>
  <c r="K23" i="2" s="1"/>
  <c r="M23" i="2" s="1"/>
  <c r="C23" i="2"/>
  <c r="C22" i="2"/>
  <c r="E22" i="2" s="1"/>
  <c r="G22" i="2" s="1"/>
  <c r="I22" i="2" s="1"/>
  <c r="K22" i="2" s="1"/>
  <c r="M22" i="2" s="1"/>
  <c r="F19" i="2"/>
  <c r="C19" i="2"/>
  <c r="E19" i="2" s="1"/>
  <c r="G19" i="2" s="1"/>
  <c r="I19" i="2" s="1"/>
  <c r="K19" i="2" s="1"/>
  <c r="F18" i="2"/>
  <c r="C18" i="2"/>
  <c r="E18" i="2" s="1"/>
  <c r="G18" i="2" s="1"/>
  <c r="I18" i="2" s="1"/>
  <c r="K18" i="2" s="1"/>
  <c r="F17" i="2"/>
  <c r="E17" i="2"/>
  <c r="G17" i="2" s="1"/>
  <c r="I17" i="2" s="1"/>
  <c r="K17" i="2" s="1"/>
  <c r="C17" i="2"/>
  <c r="F15" i="2"/>
  <c r="C15" i="2"/>
  <c r="E15" i="2" s="1"/>
  <c r="G15" i="2" s="1"/>
  <c r="I15" i="2" s="1"/>
  <c r="K15" i="2" s="1"/>
  <c r="F14" i="2"/>
  <c r="C14" i="2"/>
  <c r="E14" i="2" s="1"/>
  <c r="G14" i="2" s="1"/>
  <c r="I14" i="2" s="1"/>
  <c r="K14" i="2" s="1"/>
  <c r="F13" i="2"/>
  <c r="C13" i="2"/>
  <c r="E13" i="2" s="1"/>
  <c r="G13" i="2" s="1"/>
  <c r="I13" i="2" s="1"/>
  <c r="K13" i="2" s="1"/>
  <c r="C9" i="2"/>
  <c r="E9" i="2" s="1"/>
  <c r="G9" i="2" s="1"/>
  <c r="I9" i="2" s="1"/>
  <c r="K9" i="2" s="1"/>
  <c r="D8" i="2"/>
  <c r="E8" i="2" s="1"/>
  <c r="G8" i="2" s="1"/>
  <c r="I8" i="2" s="1"/>
  <c r="K8" i="2" s="1"/>
  <c r="C8" i="2"/>
  <c r="C7" i="2"/>
  <c r="E7" i="2" s="1"/>
  <c r="G7" i="2" s="1"/>
  <c r="I7" i="2" s="1"/>
  <c r="K7" i="2" s="1"/>
  <c r="C5" i="2"/>
  <c r="E5" i="2" s="1"/>
  <c r="G5" i="2" s="1"/>
  <c r="I5" i="2" s="1"/>
  <c r="K5" i="2" s="1"/>
  <c r="D4" i="2"/>
  <c r="E4" i="2" s="1"/>
  <c r="G4" i="2" s="1"/>
  <c r="I4" i="2" s="1"/>
  <c r="K4" i="2" s="1"/>
  <c r="C4" i="2"/>
  <c r="C3" i="2"/>
  <c r="E3" i="2" s="1"/>
  <c r="G3" i="2" s="1"/>
  <c r="I3" i="2" s="1"/>
  <c r="K3" i="2" s="1"/>
  <c r="D13" i="1" l="1"/>
  <c r="D12" i="1"/>
  <c r="D10" i="1"/>
  <c r="C15" i="1"/>
  <c r="E15" i="1" s="1"/>
  <c r="C14" i="1"/>
  <c r="E14" i="1" s="1"/>
  <c r="C13" i="1"/>
  <c r="E13" i="1" s="1"/>
  <c r="C12" i="1"/>
  <c r="E12" i="1" s="1"/>
  <c r="C11" i="1"/>
  <c r="D11" i="1" s="1"/>
  <c r="C10" i="1"/>
  <c r="E10" i="1" s="1"/>
  <c r="C9" i="1"/>
  <c r="E9" i="1" s="1"/>
  <c r="C8" i="1"/>
  <c r="E8" i="1" s="1"/>
  <c r="D14" i="1" l="1"/>
  <c r="D15" i="1"/>
  <c r="D8" i="1"/>
  <c r="E11" i="1"/>
  <c r="D9" i="1"/>
  <c r="G27" i="1" l="1"/>
  <c r="E26" i="1"/>
  <c r="C25" i="1"/>
  <c r="G23" i="1"/>
  <c r="E22" i="1"/>
  <c r="F27" i="1"/>
  <c r="D26" i="1"/>
  <c r="H24" i="1"/>
  <c r="F23" i="1"/>
  <c r="D22" i="1"/>
  <c r="H28" i="1"/>
  <c r="G28" i="1"/>
  <c r="E27" i="1"/>
  <c r="C26" i="1"/>
  <c r="G24" i="1"/>
  <c r="E23" i="1"/>
  <c r="C22" i="1"/>
  <c r="G26" i="1"/>
  <c r="F28" i="1"/>
  <c r="D27" i="1"/>
  <c r="H25" i="1"/>
  <c r="F24" i="1"/>
  <c r="D23" i="1"/>
  <c r="E25" i="1"/>
  <c r="D25" i="1"/>
  <c r="E28" i="1"/>
  <c r="C27" i="1"/>
  <c r="G25" i="1"/>
  <c r="E24" i="1"/>
  <c r="C23" i="1"/>
  <c r="C24" i="1"/>
  <c r="D28" i="1"/>
  <c r="H26" i="1"/>
  <c r="F25" i="1"/>
  <c r="D24" i="1"/>
  <c r="G22" i="1"/>
  <c r="F22" i="1"/>
  <c r="C28" i="1"/>
  <c r="H27" i="1"/>
  <c r="F26" i="1"/>
  <c r="H23" i="1"/>
</calcChain>
</file>

<file path=xl/sharedStrings.xml><?xml version="1.0" encoding="utf-8"?>
<sst xmlns="http://schemas.openxmlformats.org/spreadsheetml/2006/main" count="129" uniqueCount="45">
  <si>
    <t xml:space="preserve">ADC Clock </t>
  </si>
  <si>
    <t>12MHz</t>
  </si>
  <si>
    <t>latency is 12.5clk for conversion</t>
  </si>
  <si>
    <t>and sample time</t>
  </si>
  <si>
    <t>Sample times</t>
  </si>
  <si>
    <t>uSec @14MHz</t>
  </si>
  <si>
    <t>uSec @12Mhz</t>
  </si>
  <si>
    <t>Sample Setting</t>
  </si>
  <si>
    <t>oversample</t>
  </si>
  <si>
    <t>num chan</t>
  </si>
  <si>
    <t>times in uSec</t>
  </si>
  <si>
    <t>Overrun limits</t>
  </si>
  <si>
    <t>Input meas</t>
  </si>
  <si>
    <t>to Raw</t>
  </si>
  <si>
    <t>*vref(mv)</t>
  </si>
  <si>
    <t>eq</t>
  </si>
  <si>
    <t>calib-mult</t>
  </si>
  <si>
    <t>calib-div</t>
  </si>
  <si>
    <t>div-intmax</t>
  </si>
  <si>
    <t>convertVoltageSense(volts)</t>
  </si>
  <si>
    <t>max</t>
  </si>
  <si>
    <t>nom</t>
  </si>
  <si>
    <t>min</t>
  </si>
  <si>
    <t>convertCurrentSense(mA)</t>
  </si>
  <si>
    <t>gain</t>
  </si>
  <si>
    <t>convertCurrentSense(mA0</t>
  </si>
  <si>
    <t>offset</t>
  </si>
  <si>
    <t>convertExtTemp(1/10C)</t>
  </si>
  <si>
    <t>mV @ 0deg</t>
  </si>
  <si>
    <t>convertTipTemp(1/10C)</t>
  </si>
  <si>
    <t>80C</t>
  </si>
  <si>
    <t>190C</t>
  </si>
  <si>
    <t>500-25</t>
  </si>
  <si>
    <t>Figuring out the timing to use for PWM 1.</t>
  </si>
  <si>
    <t>We want 20kHz? Up to 8 bit</t>
  </si>
  <si>
    <t>input is 48MHz</t>
  </si>
  <si>
    <t>input clock</t>
  </si>
  <si>
    <t>prescaler</t>
  </si>
  <si>
    <t>out clock</t>
  </si>
  <si>
    <t>autoreload</t>
  </si>
  <si>
    <t>pwmFrequency</t>
  </si>
  <si>
    <t>bits</t>
  </si>
  <si>
    <t>ARR</t>
  </si>
  <si>
    <t>Figuring out the timing to use for PWM 2.</t>
  </si>
  <si>
    <t>We want 20Hz? With breakouts for dead time and heat/measure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</si>
</sst>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A5A5A5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</cellStyleXfs>
  <cellXfs count="4">
    <xf numFmtId="0" fontId="0" fillId="0" borderId="0" xfId="0"/>
    <xf numFmtId="0" fontId="0" fillId="0" borderId="0" xfId="0" applyFill="1"/>
    <xf numFmtId="0" fontId="1" fillId="2" borderId="1" xfId="1"/>
    <xf numFmtId="0" fontId="2" fillId="3" borderId="2" xfId="2"/>
  </cellXfs>
  <cellStyles count="3">
    <cellStyle name="Check Cell" xfId="2" builtinId="23"/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80A47B-38DB-47FC-A639-5EBFCAC3A986}">
  <dimension ref="A1:J29"/>
  <sheetViews>
    <sheetView tabSelected="1" workbookViewId="0">
      <selection activeCell="K21" sqref="K21"/>
    </sheetView>
  </sheetViews>
  <sheetFormatPr defaultRowHeight="15" x14ac:dyDescent="0.25"/>
  <cols>
    <col min="1" max="1" width="18.140625" customWidth="1"/>
    <col min="4" max="4" width="13.28515625" bestFit="1" customWidth="1"/>
    <col min="5" max="5" width="13.42578125" bestFit="1" customWidth="1"/>
  </cols>
  <sheetData>
    <row r="1" spans="1:5" x14ac:dyDescent="0.25">
      <c r="A1" t="s">
        <v>0</v>
      </c>
    </row>
    <row r="2" spans="1:5" x14ac:dyDescent="0.25">
      <c r="A2" t="s">
        <v>1</v>
      </c>
    </row>
    <row r="4" spans="1:5" x14ac:dyDescent="0.25">
      <c r="A4" t="s">
        <v>2</v>
      </c>
    </row>
    <row r="5" spans="1:5" x14ac:dyDescent="0.25">
      <c r="A5" t="s">
        <v>3</v>
      </c>
    </row>
    <row r="6" spans="1:5" x14ac:dyDescent="0.25">
      <c r="D6" s="1" t="s">
        <v>6</v>
      </c>
      <c r="E6" t="s">
        <v>5</v>
      </c>
    </row>
    <row r="7" spans="1:5" x14ac:dyDescent="0.25">
      <c r="A7" t="s">
        <v>4</v>
      </c>
      <c r="D7">
        <v>12000000</v>
      </c>
      <c r="E7">
        <v>14000000</v>
      </c>
    </row>
    <row r="8" spans="1:5" x14ac:dyDescent="0.25">
      <c r="A8">
        <v>1.5</v>
      </c>
      <c r="B8">
        <v>12.5</v>
      </c>
      <c r="C8">
        <f>B8+A8</f>
        <v>14</v>
      </c>
      <c r="D8">
        <f>C8/D$7*1000000</f>
        <v>1.1666666666666665</v>
      </c>
      <c r="E8">
        <f>C8/E$7*1000000</f>
        <v>1</v>
      </c>
    </row>
    <row r="9" spans="1:5" x14ac:dyDescent="0.25">
      <c r="A9">
        <v>7.5</v>
      </c>
      <c r="B9">
        <v>12.5</v>
      </c>
      <c r="C9">
        <f t="shared" ref="C9:C15" si="0">B9+A9</f>
        <v>20</v>
      </c>
      <c r="D9">
        <f t="shared" ref="D9:D15" si="1">C9/D$7*1000000</f>
        <v>1.6666666666666667</v>
      </c>
      <c r="E9">
        <f t="shared" ref="E9:E15" si="2">C9/E$7*1000000</f>
        <v>1.4285714285714286</v>
      </c>
    </row>
    <row r="10" spans="1:5" x14ac:dyDescent="0.25">
      <c r="A10">
        <v>13.5</v>
      </c>
      <c r="B10">
        <v>12.5</v>
      </c>
      <c r="C10">
        <f t="shared" si="0"/>
        <v>26</v>
      </c>
      <c r="D10">
        <f t="shared" si="1"/>
        <v>2.1666666666666665</v>
      </c>
      <c r="E10">
        <f t="shared" si="2"/>
        <v>1.857142857142857</v>
      </c>
    </row>
    <row r="11" spans="1:5" x14ac:dyDescent="0.25">
      <c r="A11">
        <v>28.5</v>
      </c>
      <c r="B11">
        <v>12.5</v>
      </c>
      <c r="C11">
        <f t="shared" si="0"/>
        <v>41</v>
      </c>
      <c r="D11">
        <f t="shared" si="1"/>
        <v>3.416666666666667</v>
      </c>
      <c r="E11">
        <f t="shared" si="2"/>
        <v>2.9285714285714288</v>
      </c>
    </row>
    <row r="12" spans="1:5" x14ac:dyDescent="0.25">
      <c r="A12">
        <v>41.5</v>
      </c>
      <c r="B12">
        <v>12.5</v>
      </c>
      <c r="C12">
        <f t="shared" si="0"/>
        <v>54</v>
      </c>
      <c r="D12">
        <f t="shared" si="1"/>
        <v>4.5</v>
      </c>
      <c r="E12">
        <f t="shared" si="2"/>
        <v>3.8571428571428572</v>
      </c>
    </row>
    <row r="13" spans="1:5" x14ac:dyDescent="0.25">
      <c r="A13">
        <v>55.5</v>
      </c>
      <c r="B13">
        <v>12.5</v>
      </c>
      <c r="C13">
        <f t="shared" si="0"/>
        <v>68</v>
      </c>
      <c r="D13">
        <f t="shared" si="1"/>
        <v>5.666666666666667</v>
      </c>
      <c r="E13">
        <f t="shared" si="2"/>
        <v>4.8571428571428568</v>
      </c>
    </row>
    <row r="14" spans="1:5" x14ac:dyDescent="0.25">
      <c r="A14">
        <v>71.5</v>
      </c>
      <c r="B14">
        <v>12.5</v>
      </c>
      <c r="C14">
        <f t="shared" si="0"/>
        <v>84</v>
      </c>
      <c r="D14">
        <f t="shared" si="1"/>
        <v>7</v>
      </c>
      <c r="E14">
        <f t="shared" si="2"/>
        <v>6</v>
      </c>
    </row>
    <row r="15" spans="1:5" x14ac:dyDescent="0.25">
      <c r="A15">
        <v>239.5</v>
      </c>
      <c r="B15">
        <v>12.5</v>
      </c>
      <c r="C15">
        <f t="shared" si="0"/>
        <v>252</v>
      </c>
      <c r="D15">
        <f t="shared" si="1"/>
        <v>21</v>
      </c>
      <c r="E15">
        <f t="shared" si="2"/>
        <v>18</v>
      </c>
    </row>
    <row r="20" spans="1:10" ht="15.75" thickBot="1" x14ac:dyDescent="0.3">
      <c r="C20" t="s">
        <v>9</v>
      </c>
    </row>
    <row r="21" spans="1:10" ht="16.5" thickTop="1" thickBot="1" x14ac:dyDescent="0.3">
      <c r="A21" t="s">
        <v>7</v>
      </c>
      <c r="B21" t="s">
        <v>8</v>
      </c>
      <c r="C21" s="3">
        <v>1</v>
      </c>
      <c r="D21" s="3">
        <v>2</v>
      </c>
      <c r="E21" s="3">
        <v>3</v>
      </c>
      <c r="F21" s="3">
        <v>4</v>
      </c>
      <c r="G21" s="3">
        <v>5</v>
      </c>
      <c r="H21" s="3">
        <v>6</v>
      </c>
      <c r="I21" s="3">
        <v>7</v>
      </c>
    </row>
    <row r="22" spans="1:10" ht="16.5" thickTop="1" thickBot="1" x14ac:dyDescent="0.3">
      <c r="A22" s="2">
        <v>7</v>
      </c>
      <c r="B22" s="3">
        <v>1</v>
      </c>
      <c r="C22">
        <f>$B22*C$21*$A$22</f>
        <v>7</v>
      </c>
      <c r="D22">
        <f t="shared" ref="D22:I28" si="3">$B22*D$21*$A$22</f>
        <v>14</v>
      </c>
      <c r="E22">
        <f t="shared" si="3"/>
        <v>21</v>
      </c>
      <c r="F22">
        <f t="shared" si="3"/>
        <v>28</v>
      </c>
      <c r="G22">
        <f t="shared" si="3"/>
        <v>35</v>
      </c>
      <c r="H22">
        <f>$B22*H$21*$A$22</f>
        <v>42</v>
      </c>
      <c r="I22">
        <f>$B22*I$21*$A$22</f>
        <v>49</v>
      </c>
      <c r="J22" t="s">
        <v>10</v>
      </c>
    </row>
    <row r="23" spans="1:10" ht="16.5" thickTop="1" thickBot="1" x14ac:dyDescent="0.3">
      <c r="B23" s="3">
        <v>2</v>
      </c>
      <c r="C23">
        <f t="shared" ref="C23:C28" si="4">$B23*C$21*$A$22</f>
        <v>14</v>
      </c>
      <c r="D23">
        <f t="shared" si="3"/>
        <v>28</v>
      </c>
      <c r="E23">
        <f t="shared" si="3"/>
        <v>42</v>
      </c>
      <c r="F23">
        <f t="shared" si="3"/>
        <v>56</v>
      </c>
      <c r="G23">
        <f t="shared" si="3"/>
        <v>70</v>
      </c>
      <c r="H23">
        <f t="shared" si="3"/>
        <v>84</v>
      </c>
      <c r="I23">
        <f t="shared" si="3"/>
        <v>98</v>
      </c>
    </row>
    <row r="24" spans="1:10" ht="16.5" thickTop="1" thickBot="1" x14ac:dyDescent="0.3">
      <c r="B24" s="3">
        <v>4</v>
      </c>
      <c r="C24">
        <f t="shared" si="4"/>
        <v>28</v>
      </c>
      <c r="D24">
        <f t="shared" si="3"/>
        <v>56</v>
      </c>
      <c r="E24">
        <f t="shared" si="3"/>
        <v>84</v>
      </c>
      <c r="F24">
        <f t="shared" si="3"/>
        <v>112</v>
      </c>
      <c r="G24">
        <f t="shared" si="3"/>
        <v>140</v>
      </c>
      <c r="H24">
        <f t="shared" si="3"/>
        <v>168</v>
      </c>
      <c r="I24">
        <f t="shared" si="3"/>
        <v>196</v>
      </c>
    </row>
    <row r="25" spans="1:10" ht="16.5" thickTop="1" thickBot="1" x14ac:dyDescent="0.3">
      <c r="B25" s="3">
        <v>8</v>
      </c>
      <c r="C25">
        <f t="shared" si="4"/>
        <v>56</v>
      </c>
      <c r="D25">
        <f t="shared" si="3"/>
        <v>112</v>
      </c>
      <c r="E25">
        <f t="shared" si="3"/>
        <v>168</v>
      </c>
      <c r="F25">
        <f t="shared" si="3"/>
        <v>224</v>
      </c>
      <c r="G25">
        <f t="shared" si="3"/>
        <v>280</v>
      </c>
      <c r="H25">
        <f t="shared" si="3"/>
        <v>336</v>
      </c>
      <c r="I25">
        <f t="shared" si="3"/>
        <v>392</v>
      </c>
    </row>
    <row r="26" spans="1:10" ht="16.5" thickTop="1" thickBot="1" x14ac:dyDescent="0.3">
      <c r="B26" s="3">
        <v>16</v>
      </c>
      <c r="C26">
        <f t="shared" si="4"/>
        <v>112</v>
      </c>
      <c r="D26">
        <f t="shared" si="3"/>
        <v>224</v>
      </c>
      <c r="E26">
        <f t="shared" si="3"/>
        <v>336</v>
      </c>
      <c r="F26">
        <f t="shared" si="3"/>
        <v>448</v>
      </c>
      <c r="G26">
        <f t="shared" si="3"/>
        <v>560</v>
      </c>
      <c r="H26">
        <f t="shared" si="3"/>
        <v>672</v>
      </c>
      <c r="I26">
        <f t="shared" si="3"/>
        <v>784</v>
      </c>
    </row>
    <row r="27" spans="1:10" ht="16.5" thickTop="1" thickBot="1" x14ac:dyDescent="0.3">
      <c r="B27" s="3">
        <v>32</v>
      </c>
      <c r="C27">
        <f t="shared" si="4"/>
        <v>224</v>
      </c>
      <c r="D27">
        <f t="shared" si="3"/>
        <v>448</v>
      </c>
      <c r="E27">
        <f t="shared" si="3"/>
        <v>672</v>
      </c>
      <c r="F27">
        <f t="shared" si="3"/>
        <v>896</v>
      </c>
      <c r="G27">
        <f t="shared" si="3"/>
        <v>1120</v>
      </c>
      <c r="H27">
        <f t="shared" si="3"/>
        <v>1344</v>
      </c>
      <c r="I27">
        <f t="shared" si="3"/>
        <v>1568</v>
      </c>
    </row>
    <row r="28" spans="1:10" ht="16.5" thickTop="1" thickBot="1" x14ac:dyDescent="0.3">
      <c r="B28" s="3">
        <v>64</v>
      </c>
      <c r="C28">
        <f t="shared" si="4"/>
        <v>448</v>
      </c>
      <c r="D28">
        <f t="shared" si="3"/>
        <v>896</v>
      </c>
      <c r="E28">
        <f t="shared" si="3"/>
        <v>1344</v>
      </c>
      <c r="F28">
        <f t="shared" si="3"/>
        <v>1792</v>
      </c>
      <c r="G28">
        <f t="shared" si="3"/>
        <v>2240</v>
      </c>
      <c r="H28">
        <f t="shared" si="3"/>
        <v>2688</v>
      </c>
      <c r="I28">
        <f t="shared" si="3"/>
        <v>3136</v>
      </c>
    </row>
    <row r="29" spans="1:10" ht="15.75" thickTop="1" x14ac:dyDescent="0.2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ED969-4C4E-4BDE-8210-6BC50FCEF315}">
  <dimension ref="A1:O42"/>
  <sheetViews>
    <sheetView workbookViewId="0">
      <selection activeCell="H41" sqref="H41"/>
    </sheetView>
  </sheetViews>
  <sheetFormatPr defaultRowHeight="15" x14ac:dyDescent="0.25"/>
  <cols>
    <col min="1" max="1" width="26.140625" bestFit="1" customWidth="1"/>
    <col min="2" max="2" width="10.85546875" bestFit="1" customWidth="1"/>
    <col min="5" max="6" width="10" bestFit="1" customWidth="1"/>
    <col min="7" max="7" width="12.28515625" customWidth="1"/>
    <col min="9" max="9" width="12" bestFit="1" customWidth="1"/>
  </cols>
  <sheetData>
    <row r="1" spans="1:15" x14ac:dyDescent="0.25">
      <c r="A1" t="s">
        <v>11</v>
      </c>
    </row>
    <row r="2" spans="1:15" x14ac:dyDescent="0.25">
      <c r="B2" t="s">
        <v>12</v>
      </c>
      <c r="C2" t="s">
        <v>13</v>
      </c>
      <c r="D2" t="s">
        <v>14</v>
      </c>
      <c r="E2" t="s">
        <v>15</v>
      </c>
      <c r="F2" t="s">
        <v>16</v>
      </c>
      <c r="G2" t="s">
        <v>15</v>
      </c>
      <c r="H2" t="s">
        <v>17</v>
      </c>
      <c r="I2" t="s">
        <v>15</v>
      </c>
      <c r="J2" t="s">
        <v>18</v>
      </c>
    </row>
    <row r="3" spans="1:15" x14ac:dyDescent="0.25">
      <c r="A3" t="s">
        <v>19</v>
      </c>
      <c r="B3" s="2">
        <v>25</v>
      </c>
      <c r="C3">
        <f>ROUND(B3*(10/78)*65535/(D3/1000), 0)</f>
        <v>65640</v>
      </c>
      <c r="D3" s="2">
        <v>3200</v>
      </c>
      <c r="E3">
        <f>ROUND(D3*C3, 0)</f>
        <v>210048000</v>
      </c>
      <c r="F3" s="2">
        <v>78</v>
      </c>
      <c r="G3">
        <f>ROUND(F3*E3, 0)</f>
        <v>16383744000</v>
      </c>
      <c r="H3" s="2">
        <v>10</v>
      </c>
      <c r="I3">
        <f>ROUND(G3/H3, 0)</f>
        <v>1638374400</v>
      </c>
      <c r="J3" s="2">
        <v>65535</v>
      </c>
      <c r="K3">
        <f>I3/J3</f>
        <v>24999.99084458686</v>
      </c>
      <c r="O3" t="s">
        <v>20</v>
      </c>
    </row>
    <row r="4" spans="1:15" x14ac:dyDescent="0.25">
      <c r="B4" s="2">
        <v>10</v>
      </c>
      <c r="C4">
        <f>ROUND(B4*(10/78)*65535/(D4/1000), 0)</f>
        <v>25460</v>
      </c>
      <c r="D4" s="2">
        <f>B4*330</f>
        <v>3300</v>
      </c>
      <c r="E4">
        <f t="shared" ref="E4:E5" si="0">ROUND(D4*C4, 0)</f>
        <v>84018000</v>
      </c>
      <c r="F4" s="2">
        <v>78</v>
      </c>
      <c r="G4">
        <f t="shared" ref="G4:G5" si="1">ROUND(F4*E4, 0)</f>
        <v>6553404000</v>
      </c>
      <c r="H4" s="2">
        <v>10</v>
      </c>
      <c r="I4">
        <f t="shared" ref="I4:I5" si="2">ROUND(G4/H4, 0)</f>
        <v>655340400</v>
      </c>
      <c r="J4" s="2">
        <v>65535</v>
      </c>
      <c r="K4">
        <f t="shared" ref="K4:K5" si="3">I4/J4</f>
        <v>9999.8535133897913</v>
      </c>
      <c r="O4" t="s">
        <v>21</v>
      </c>
    </row>
    <row r="5" spans="1:15" x14ac:dyDescent="0.25">
      <c r="B5" s="2">
        <v>4.5</v>
      </c>
      <c r="C5">
        <f>ROUND(B5*(10/78)*65535/(D5/1000), 0)</f>
        <v>11120</v>
      </c>
      <c r="D5" s="2">
        <v>3400</v>
      </c>
      <c r="E5">
        <f t="shared" si="0"/>
        <v>37808000</v>
      </c>
      <c r="F5" s="2">
        <v>78</v>
      </c>
      <c r="G5">
        <f t="shared" si="1"/>
        <v>2949024000</v>
      </c>
      <c r="H5" s="2">
        <v>10</v>
      </c>
      <c r="I5">
        <f t="shared" si="2"/>
        <v>294902400</v>
      </c>
      <c r="J5" s="2">
        <v>65535</v>
      </c>
      <c r="K5">
        <f t="shared" si="3"/>
        <v>4499.9221789883268</v>
      </c>
      <c r="O5" t="s">
        <v>22</v>
      </c>
    </row>
    <row r="6" spans="1:15" x14ac:dyDescent="0.25">
      <c r="B6" t="s">
        <v>12</v>
      </c>
      <c r="C6" t="s">
        <v>13</v>
      </c>
      <c r="D6" t="s">
        <v>14</v>
      </c>
      <c r="E6" t="s">
        <v>15</v>
      </c>
      <c r="F6" t="s">
        <v>17</v>
      </c>
      <c r="G6" t="s">
        <v>15</v>
      </c>
      <c r="H6" t="s">
        <v>16</v>
      </c>
      <c r="I6" t="s">
        <v>15</v>
      </c>
      <c r="J6" t="s">
        <v>18</v>
      </c>
    </row>
    <row r="7" spans="1:15" x14ac:dyDescent="0.25">
      <c r="A7" t="s">
        <v>19</v>
      </c>
      <c r="B7" s="2">
        <v>25</v>
      </c>
      <c r="C7">
        <f>ROUND(B7*(10/78)*65535/(D7/1000), 0)</f>
        <v>65640</v>
      </c>
      <c r="D7" s="2">
        <v>3200</v>
      </c>
      <c r="E7">
        <f>ROUND(D7*C7, 0)</f>
        <v>210048000</v>
      </c>
      <c r="F7" s="2">
        <v>10</v>
      </c>
      <c r="G7">
        <f>ROUND(E7/F7, 0)</f>
        <v>21004800</v>
      </c>
      <c r="H7" s="2">
        <v>78</v>
      </c>
      <c r="I7">
        <f>ROUND(H7*G7, 0)</f>
        <v>1638374400</v>
      </c>
      <c r="J7" s="2">
        <v>65535</v>
      </c>
      <c r="K7">
        <f>I7/J7</f>
        <v>24999.99084458686</v>
      </c>
      <c r="O7" t="s">
        <v>20</v>
      </c>
    </row>
    <row r="8" spans="1:15" x14ac:dyDescent="0.25">
      <c r="B8" s="2">
        <v>10</v>
      </c>
      <c r="C8">
        <f>ROUND(B8*(10/78)*65535/(D8/1000), 0)</f>
        <v>25460</v>
      </c>
      <c r="D8" s="2">
        <f>B8*330</f>
        <v>3300</v>
      </c>
      <c r="E8">
        <f t="shared" ref="E8:E9" si="4">ROUND(D8*C8, 0)</f>
        <v>84018000</v>
      </c>
      <c r="F8" s="2">
        <v>10</v>
      </c>
      <c r="G8">
        <f t="shared" ref="G8:G9" si="5">ROUND(E8/F8, 0)</f>
        <v>8401800</v>
      </c>
      <c r="H8" s="2">
        <v>78</v>
      </c>
      <c r="I8">
        <f t="shared" ref="I8:I9" si="6">ROUND(H8*G8, 0)</f>
        <v>655340400</v>
      </c>
      <c r="J8" s="2">
        <v>65535</v>
      </c>
      <c r="K8">
        <f t="shared" ref="K8:K9" si="7">I8/J8</f>
        <v>9999.8535133897913</v>
      </c>
      <c r="O8" t="s">
        <v>21</v>
      </c>
    </row>
    <row r="9" spans="1:15" x14ac:dyDescent="0.25">
      <c r="B9" s="2">
        <v>4.5</v>
      </c>
      <c r="C9">
        <f>ROUND(B9*(10/78)*65535/(D9/1000), 0)</f>
        <v>10802</v>
      </c>
      <c r="D9" s="2">
        <v>3500</v>
      </c>
      <c r="E9">
        <f t="shared" si="4"/>
        <v>37807000</v>
      </c>
      <c r="F9" s="2">
        <v>10</v>
      </c>
      <c r="G9">
        <f t="shared" si="5"/>
        <v>3780700</v>
      </c>
      <c r="H9" s="2">
        <v>78</v>
      </c>
      <c r="I9">
        <f t="shared" si="6"/>
        <v>294894600</v>
      </c>
      <c r="J9" s="2">
        <v>65535</v>
      </c>
      <c r="K9">
        <f t="shared" si="7"/>
        <v>4499.803158617533</v>
      </c>
      <c r="O9" t="s">
        <v>22</v>
      </c>
    </row>
    <row r="12" spans="1:15" x14ac:dyDescent="0.25">
      <c r="B12" t="s">
        <v>12</v>
      </c>
      <c r="C12" t="s">
        <v>13</v>
      </c>
      <c r="D12" t="s">
        <v>14</v>
      </c>
      <c r="E12" t="s">
        <v>15</v>
      </c>
      <c r="F12" t="s">
        <v>17</v>
      </c>
      <c r="G12" t="s">
        <v>15</v>
      </c>
      <c r="H12" t="s">
        <v>16</v>
      </c>
      <c r="I12" t="s">
        <v>15</v>
      </c>
      <c r="J12" t="s">
        <v>18</v>
      </c>
    </row>
    <row r="13" spans="1:15" x14ac:dyDescent="0.25">
      <c r="A13" t="s">
        <v>23</v>
      </c>
      <c r="B13" s="2">
        <v>8</v>
      </c>
      <c r="C13">
        <f>ROUND(B13*(10/1000)/3.3*65535*$A$15, 0)</f>
        <v>158873</v>
      </c>
      <c r="D13" s="2">
        <v>3200</v>
      </c>
      <c r="E13">
        <f>ROUND(D13*C13, 0)</f>
        <v>508393600</v>
      </c>
      <c r="F13" s="2">
        <f>$A$15</f>
        <v>100</v>
      </c>
      <c r="G13">
        <f>ROUND(E13/F13, 0)</f>
        <v>5083936</v>
      </c>
      <c r="H13" s="2">
        <v>100</v>
      </c>
      <c r="I13">
        <f>ROUND(H13*G13, 0)</f>
        <v>508393600</v>
      </c>
      <c r="J13" s="2">
        <v>65535</v>
      </c>
      <c r="K13">
        <f>I13/J13</f>
        <v>7757.5890745403221</v>
      </c>
      <c r="O13" t="s">
        <v>20</v>
      </c>
    </row>
    <row r="14" spans="1:15" x14ac:dyDescent="0.25">
      <c r="A14" t="s">
        <v>24</v>
      </c>
      <c r="B14" s="2">
        <v>5</v>
      </c>
      <c r="C14">
        <f t="shared" ref="C14:C15" si="8">ROUND(B14*(10/1000)/3.3*65535*$A$15, 0)</f>
        <v>99295</v>
      </c>
      <c r="D14" s="2">
        <v>3300</v>
      </c>
      <c r="E14">
        <f t="shared" ref="E14:E15" si="9">ROUND(D14*C14, 0)</f>
        <v>327673500</v>
      </c>
      <c r="F14" s="2">
        <f t="shared" ref="F14:F15" si="10">$A$15</f>
        <v>100</v>
      </c>
      <c r="G14">
        <f t="shared" ref="G14:G15" si="11">ROUND(E14/F14, 0)</f>
        <v>3276735</v>
      </c>
      <c r="H14" s="2">
        <v>100</v>
      </c>
      <c r="I14">
        <f t="shared" ref="I14:I15" si="12">ROUND(H14*G14, 0)</f>
        <v>327673500</v>
      </c>
      <c r="J14" s="2">
        <v>65535</v>
      </c>
      <c r="K14">
        <f t="shared" ref="K14:K15" si="13">I14/J14</f>
        <v>4999.9771114671548</v>
      </c>
      <c r="O14" t="s">
        <v>21</v>
      </c>
    </row>
    <row r="15" spans="1:15" x14ac:dyDescent="0.25">
      <c r="A15">
        <v>100</v>
      </c>
      <c r="B15" s="2">
        <v>3</v>
      </c>
      <c r="C15">
        <f t="shared" si="8"/>
        <v>59577</v>
      </c>
      <c r="D15" s="2">
        <v>3400</v>
      </c>
      <c r="E15">
        <f t="shared" si="9"/>
        <v>202561800</v>
      </c>
      <c r="F15" s="2">
        <f t="shared" si="10"/>
        <v>100</v>
      </c>
      <c r="G15">
        <f t="shared" si="11"/>
        <v>2025618</v>
      </c>
      <c r="H15" s="2">
        <v>100</v>
      </c>
      <c r="I15">
        <f t="shared" si="12"/>
        <v>202561800</v>
      </c>
      <c r="J15" s="2">
        <v>65535</v>
      </c>
      <c r="K15">
        <f t="shared" si="13"/>
        <v>3090.8949416342411</v>
      </c>
      <c r="O15" t="s">
        <v>22</v>
      </c>
    </row>
    <row r="16" spans="1:15" x14ac:dyDescent="0.25">
      <c r="B16" t="s">
        <v>12</v>
      </c>
      <c r="C16" t="s">
        <v>13</v>
      </c>
      <c r="D16" t="s">
        <v>14</v>
      </c>
      <c r="E16" t="s">
        <v>15</v>
      </c>
      <c r="F16" t="s">
        <v>17</v>
      </c>
      <c r="G16" t="s">
        <v>15</v>
      </c>
      <c r="H16" t="s">
        <v>16</v>
      </c>
      <c r="I16" t="s">
        <v>15</v>
      </c>
      <c r="J16" t="s">
        <v>18</v>
      </c>
    </row>
    <row r="17" spans="1:15" x14ac:dyDescent="0.25">
      <c r="A17" t="s">
        <v>25</v>
      </c>
      <c r="B17" s="2">
        <v>8</v>
      </c>
      <c r="C17">
        <f>ROUND(B17*(10/1000)/3.3*65535*$A$19, 0)</f>
        <v>79436</v>
      </c>
      <c r="D17" s="2">
        <v>3200</v>
      </c>
      <c r="E17">
        <f>ROUND(D17*C17, 0)</f>
        <v>254195200</v>
      </c>
      <c r="F17" s="2">
        <f>$A$19</f>
        <v>50</v>
      </c>
      <c r="G17">
        <f>ROUND(E17/F17, 0)</f>
        <v>5083904</v>
      </c>
      <c r="H17" s="2">
        <v>100</v>
      </c>
      <c r="I17">
        <f>ROUND(H17*G17, 0)</f>
        <v>508390400</v>
      </c>
      <c r="J17" s="2">
        <v>65535</v>
      </c>
      <c r="K17">
        <f>I17/J17</f>
        <v>7757.5402456702523</v>
      </c>
      <c r="O17" t="s">
        <v>20</v>
      </c>
    </row>
    <row r="18" spans="1:15" x14ac:dyDescent="0.25">
      <c r="A18" t="s">
        <v>24</v>
      </c>
      <c r="B18" s="2">
        <v>5</v>
      </c>
      <c r="C18">
        <f t="shared" ref="C18:C19" si="14">ROUND(B18*(10/1000)/3.3*65535*$A$19, 0)</f>
        <v>49648</v>
      </c>
      <c r="D18" s="2">
        <v>3300</v>
      </c>
      <c r="E18">
        <f t="shared" ref="E18:E19" si="15">ROUND(D18*C18, 0)</f>
        <v>163838400</v>
      </c>
      <c r="F18" s="2">
        <f t="shared" ref="F18:F19" si="16">$A$19</f>
        <v>50</v>
      </c>
      <c r="G18">
        <f t="shared" ref="G18:G19" si="17">ROUND(E18/F18, 0)</f>
        <v>3276768</v>
      </c>
      <c r="H18" s="2">
        <v>100</v>
      </c>
      <c r="I18">
        <f t="shared" ref="I18:I19" si="18">ROUND(H18*G18, 0)</f>
        <v>327676800</v>
      </c>
      <c r="J18" s="2">
        <v>65535</v>
      </c>
      <c r="K18">
        <f t="shared" ref="K18:K19" si="19">I18/J18</f>
        <v>5000.027466239414</v>
      </c>
      <c r="O18" t="s">
        <v>21</v>
      </c>
    </row>
    <row r="19" spans="1:15" x14ac:dyDescent="0.25">
      <c r="A19">
        <v>50</v>
      </c>
      <c r="B19" s="2">
        <v>3</v>
      </c>
      <c r="C19">
        <f t="shared" si="14"/>
        <v>29789</v>
      </c>
      <c r="D19" s="2">
        <v>3400</v>
      </c>
      <c r="E19">
        <f t="shared" si="15"/>
        <v>101282600</v>
      </c>
      <c r="F19" s="2">
        <f t="shared" si="16"/>
        <v>50</v>
      </c>
      <c r="G19">
        <f t="shared" si="17"/>
        <v>2025652</v>
      </c>
      <c r="H19" s="2">
        <v>100</v>
      </c>
      <c r="I19">
        <f t="shared" si="18"/>
        <v>202565200</v>
      </c>
      <c r="J19" s="2">
        <v>65535</v>
      </c>
      <c r="K19">
        <f t="shared" si="19"/>
        <v>3090.9468223086901</v>
      </c>
      <c r="O19" t="s">
        <v>22</v>
      </c>
    </row>
    <row r="21" spans="1:15" x14ac:dyDescent="0.25">
      <c r="B21" t="s">
        <v>12</v>
      </c>
      <c r="C21" t="s">
        <v>13</v>
      </c>
      <c r="D21" t="s">
        <v>14</v>
      </c>
      <c r="E21" t="s">
        <v>15</v>
      </c>
      <c r="F21" t="s">
        <v>26</v>
      </c>
      <c r="H21" t="s">
        <v>17</v>
      </c>
      <c r="I21" t="s">
        <v>15</v>
      </c>
      <c r="J21" t="s">
        <v>16</v>
      </c>
      <c r="K21" t="s">
        <v>15</v>
      </c>
      <c r="L21" t="s">
        <v>18</v>
      </c>
    </row>
    <row r="22" spans="1:15" x14ac:dyDescent="0.25">
      <c r="A22" t="s">
        <v>27</v>
      </c>
      <c r="B22" s="2">
        <v>75</v>
      </c>
      <c r="C22">
        <f>ROUND(((((B22*10)+500)/1000)/3.3)*65535, 0)</f>
        <v>24824</v>
      </c>
      <c r="D22" s="2">
        <v>32000</v>
      </c>
      <c r="E22">
        <f>ROUND(D22*C22, 0)</f>
        <v>794368000</v>
      </c>
      <c r="F22" s="2">
        <v>32767500</v>
      </c>
      <c r="G22">
        <f>E22-F22</f>
        <v>761600500</v>
      </c>
      <c r="H22" s="2">
        <v>10</v>
      </c>
      <c r="I22">
        <f t="shared" ref="I22:I23" si="20">ROUND(G22/H22, 0)</f>
        <v>76160050</v>
      </c>
      <c r="J22" s="2">
        <v>1</v>
      </c>
      <c r="K22">
        <f>ROUND(J22*I22, 0)</f>
        <v>76160050</v>
      </c>
      <c r="L22" s="2">
        <v>65535</v>
      </c>
      <c r="M22">
        <f>K22/L22</f>
        <v>1162.1278706034943</v>
      </c>
      <c r="O22" t="s">
        <v>20</v>
      </c>
    </row>
    <row r="23" spans="1:15" x14ac:dyDescent="0.25">
      <c r="A23" t="s">
        <v>28</v>
      </c>
      <c r="B23" s="2">
        <v>25</v>
      </c>
      <c r="C23">
        <f>ROUND(((((B23*10)+500)/1000)/3.3)*65535, 0)</f>
        <v>14894</v>
      </c>
      <c r="D23" s="2">
        <v>33000</v>
      </c>
      <c r="E23">
        <f t="shared" ref="E23:E24" si="21">ROUND(D23*C23, 0)</f>
        <v>491502000</v>
      </c>
      <c r="F23" s="2">
        <v>32767500</v>
      </c>
      <c r="G23">
        <f>E23-F23</f>
        <v>458734500</v>
      </c>
      <c r="H23" s="2">
        <v>10</v>
      </c>
      <c r="I23">
        <f t="shared" si="20"/>
        <v>45873450</v>
      </c>
      <c r="J23" s="2">
        <v>1</v>
      </c>
      <c r="K23">
        <f t="shared" ref="K23:K24" si="22">ROUND(J23*I23, 0)</f>
        <v>45873450</v>
      </c>
      <c r="L23" s="2">
        <v>65535</v>
      </c>
      <c r="M23">
        <f t="shared" ref="M23:M24" si="23">K23/L23</f>
        <v>699.98397802700845</v>
      </c>
      <c r="O23" t="s">
        <v>21</v>
      </c>
    </row>
    <row r="24" spans="1:15" x14ac:dyDescent="0.25">
      <c r="A24">
        <v>500</v>
      </c>
      <c r="B24" s="2">
        <v>-20</v>
      </c>
      <c r="C24">
        <f>ROUND(((((B24*10)+500)/1000)/3.3)*65535, 0)</f>
        <v>5958</v>
      </c>
      <c r="D24" s="2">
        <v>34000</v>
      </c>
      <c r="E24">
        <f t="shared" si="21"/>
        <v>202572000</v>
      </c>
      <c r="F24" s="2">
        <v>32767500</v>
      </c>
      <c r="G24">
        <f>E24-F24</f>
        <v>169804500</v>
      </c>
      <c r="H24" s="2">
        <v>10</v>
      </c>
      <c r="I24">
        <f>ROUND(G24/H24, 0)</f>
        <v>16980450</v>
      </c>
      <c r="J24" s="2">
        <v>1</v>
      </c>
      <c r="K24">
        <f t="shared" si="22"/>
        <v>16980450</v>
      </c>
      <c r="L24" s="2">
        <v>65535</v>
      </c>
      <c r="M24">
        <f t="shared" si="23"/>
        <v>259.10505836575874</v>
      </c>
      <c r="O24" t="s">
        <v>22</v>
      </c>
    </row>
    <row r="25" spans="1:15" x14ac:dyDescent="0.25">
      <c r="B25" t="s">
        <v>12</v>
      </c>
      <c r="C25" t="s">
        <v>13</v>
      </c>
      <c r="D25" t="s">
        <v>14</v>
      </c>
      <c r="E25" t="s">
        <v>15</v>
      </c>
      <c r="F25" t="s">
        <v>26</v>
      </c>
      <c r="H25" t="s">
        <v>17</v>
      </c>
      <c r="I25" t="s">
        <v>15</v>
      </c>
      <c r="J25" t="s">
        <v>16</v>
      </c>
      <c r="K25" t="s">
        <v>15</v>
      </c>
      <c r="L25" t="s">
        <v>18</v>
      </c>
    </row>
    <row r="26" spans="1:15" x14ac:dyDescent="0.25">
      <c r="A26" t="s">
        <v>27</v>
      </c>
      <c r="B26" s="2">
        <v>75</v>
      </c>
      <c r="C26">
        <f>ROUND(((((B26*10)+500)/1000)/3.3)*65535, 0)</f>
        <v>24824</v>
      </c>
      <c r="D26" s="2">
        <v>32000</v>
      </c>
      <c r="E26">
        <f>ROUND(D26*C26, 0)</f>
        <v>794368000</v>
      </c>
      <c r="F26" s="2">
        <f>_xlfn.BITLSHIFT(5000, 16)</f>
        <v>327680000</v>
      </c>
      <c r="G26">
        <f t="shared" ref="G26:G27" si="24">E26-F26</f>
        <v>466688000</v>
      </c>
      <c r="H26" s="2">
        <v>10</v>
      </c>
      <c r="I26">
        <f>ROUND(G26/H26, 0)</f>
        <v>46668800</v>
      </c>
      <c r="J26" s="2">
        <v>1</v>
      </c>
      <c r="K26">
        <f>ROUND(J26*I26, 0)</f>
        <v>46668800</v>
      </c>
      <c r="L26" s="2">
        <v>65535</v>
      </c>
      <c r="M26">
        <f>K26/L26</f>
        <v>712.12024109254594</v>
      </c>
      <c r="O26" t="s">
        <v>20</v>
      </c>
    </row>
    <row r="27" spans="1:15" x14ac:dyDescent="0.25">
      <c r="A27" t="s">
        <v>28</v>
      </c>
      <c r="B27" s="2">
        <v>25</v>
      </c>
      <c r="C27">
        <f>ROUND(((((B27*10)+500)/1000)/3.3)*65535, 0)</f>
        <v>14894</v>
      </c>
      <c r="D27" s="2">
        <v>33000</v>
      </c>
      <c r="E27">
        <f t="shared" ref="E27" si="25">ROUND(D27*C27, 0)</f>
        <v>491502000</v>
      </c>
      <c r="F27" s="2">
        <f>_xlfn.BITLSHIFT(5000, 16)</f>
        <v>327680000</v>
      </c>
      <c r="G27">
        <f t="shared" si="24"/>
        <v>163822000</v>
      </c>
      <c r="H27" s="2">
        <v>10</v>
      </c>
      <c r="I27">
        <f>ROUND(G27/H27, 0)</f>
        <v>16382200</v>
      </c>
      <c r="J27" s="2">
        <v>1</v>
      </c>
      <c r="K27">
        <f t="shared" ref="K27:K28" si="26">ROUND(J27*I27, 0)</f>
        <v>16382200</v>
      </c>
      <c r="L27" s="2">
        <v>65535</v>
      </c>
      <c r="M27">
        <f>K27/L27</f>
        <v>249.97634851606011</v>
      </c>
      <c r="O27" t="s">
        <v>21</v>
      </c>
    </row>
    <row r="28" spans="1:15" x14ac:dyDescent="0.25">
      <c r="A28">
        <v>500</v>
      </c>
      <c r="B28" s="2">
        <v>-20</v>
      </c>
      <c r="C28">
        <f>ROUND(((((B28*10)+500)/1000)/3.3)*65535, 0)</f>
        <v>5958</v>
      </c>
      <c r="D28" s="2">
        <v>34000</v>
      </c>
      <c r="E28">
        <f>ROUND(D28*C28, 0)</f>
        <v>202572000</v>
      </c>
      <c r="F28" s="2">
        <f>_xlfn.BITLSHIFT(5000, 16)</f>
        <v>327680000</v>
      </c>
      <c r="G28">
        <f>E28-F28</f>
        <v>-125108000</v>
      </c>
      <c r="H28" s="2">
        <v>10</v>
      </c>
      <c r="I28">
        <f>ROUND(G28/H28, 0)</f>
        <v>-12510800</v>
      </c>
      <c r="J28" s="2">
        <v>1</v>
      </c>
      <c r="K28">
        <f t="shared" si="26"/>
        <v>-12510800</v>
      </c>
      <c r="L28" s="2">
        <v>65535</v>
      </c>
      <c r="M28">
        <f>K28/L28</f>
        <v>-190.9025711451896</v>
      </c>
      <c r="O28" t="s">
        <v>22</v>
      </c>
    </row>
    <row r="30" spans="1:15" x14ac:dyDescent="0.25">
      <c r="B30" t="s">
        <v>12</v>
      </c>
      <c r="C30" t="s">
        <v>13</v>
      </c>
      <c r="D30" t="s">
        <v>14</v>
      </c>
      <c r="E30" t="s">
        <v>15</v>
      </c>
      <c r="F30" t="s">
        <v>17</v>
      </c>
      <c r="G30" t="s">
        <v>15</v>
      </c>
      <c r="H30" t="s">
        <v>16</v>
      </c>
      <c r="I30" t="s">
        <v>15</v>
      </c>
      <c r="J30" t="s">
        <v>18</v>
      </c>
    </row>
    <row r="31" spans="1:15" x14ac:dyDescent="0.25">
      <c r="A31" t="s">
        <v>29</v>
      </c>
      <c r="B31" s="2">
        <v>200</v>
      </c>
      <c r="C31">
        <f>ROUND(B31*(41/1000/1000)*$A$32/3.3*65535, 0)</f>
        <v>60415</v>
      </c>
      <c r="D31" s="2">
        <v>33000</v>
      </c>
      <c r="E31">
        <f>ROUND(D31*C31, 0)</f>
        <v>1993695000</v>
      </c>
      <c r="F31" s="2">
        <v>152</v>
      </c>
      <c r="G31">
        <f>ROUND(E31/F31, 0)</f>
        <v>13116414</v>
      </c>
      <c r="H31" s="2">
        <v>10</v>
      </c>
      <c r="I31">
        <f>ROUND(H31*G31, 0)</f>
        <v>131164140</v>
      </c>
      <c r="J31" s="2">
        <v>65535</v>
      </c>
      <c r="K31">
        <f>ROUND(I31/J31, 0)</f>
        <v>2001</v>
      </c>
      <c r="O31" t="s">
        <v>20</v>
      </c>
    </row>
    <row r="32" spans="1:15" x14ac:dyDescent="0.25">
      <c r="A32">
        <v>371</v>
      </c>
      <c r="B32" s="2">
        <v>100</v>
      </c>
      <c r="C32">
        <f t="shared" ref="C32:C33" si="27">ROUND(B32*(41/1000/1000)*$A$32/3.3*65535, 0)</f>
        <v>30208</v>
      </c>
      <c r="D32" s="2">
        <v>33000</v>
      </c>
      <c r="E32">
        <f t="shared" ref="E32:E33" si="28">ROUND(D32*C32, 0)</f>
        <v>996864000</v>
      </c>
      <c r="F32" s="2">
        <v>152</v>
      </c>
      <c r="G32">
        <f t="shared" ref="G32:G33" si="29">ROUND(E32/F32, 0)</f>
        <v>6558316</v>
      </c>
      <c r="H32" s="2">
        <v>10</v>
      </c>
      <c r="I32">
        <f t="shared" ref="I32:I33" si="30">ROUND(H32*G32, 0)</f>
        <v>65583160</v>
      </c>
      <c r="J32" s="2">
        <v>65535</v>
      </c>
      <c r="K32">
        <f t="shared" ref="K32:K33" si="31">ROUND(I32/J32, 0)</f>
        <v>1001</v>
      </c>
      <c r="O32" t="s">
        <v>21</v>
      </c>
    </row>
    <row r="33" spans="2:15" x14ac:dyDescent="0.25">
      <c r="B33" s="2">
        <v>25</v>
      </c>
      <c r="C33">
        <f t="shared" si="27"/>
        <v>7552</v>
      </c>
      <c r="D33" s="2">
        <v>34000</v>
      </c>
      <c r="E33">
        <f t="shared" si="28"/>
        <v>256768000</v>
      </c>
      <c r="F33" s="2">
        <v>152</v>
      </c>
      <c r="G33">
        <f t="shared" si="29"/>
        <v>1689263</v>
      </c>
      <c r="H33" s="2">
        <v>10</v>
      </c>
      <c r="I33">
        <f t="shared" si="30"/>
        <v>16892630</v>
      </c>
      <c r="J33" s="2">
        <v>65535</v>
      </c>
      <c r="K33">
        <f t="shared" si="31"/>
        <v>258</v>
      </c>
      <c r="O33" t="s">
        <v>22</v>
      </c>
    </row>
    <row r="38" spans="2:15" x14ac:dyDescent="0.25">
      <c r="B38" t="s">
        <v>30</v>
      </c>
      <c r="C38" t="s">
        <v>31</v>
      </c>
    </row>
    <row r="39" spans="2:15" x14ac:dyDescent="0.25">
      <c r="B39">
        <f>80-25</f>
        <v>55</v>
      </c>
    </row>
    <row r="42" spans="2:15" x14ac:dyDescent="0.25">
      <c r="B42" t="s">
        <v>32</v>
      </c>
    </row>
  </sheetData>
  <conditionalFormatting sqref="E3:E5 I3:I5 G3:G5">
    <cfRule type="colorScale" priority="12">
      <colorScale>
        <cfvo type="num" val="0"/>
        <cfvo type="num" val="4294967295"/>
        <cfvo type="num" val="4294967296"/>
        <color theme="9"/>
        <color rgb="FFFFEB84"/>
        <color rgb="FFFF0000"/>
      </colorScale>
    </cfRule>
  </conditionalFormatting>
  <conditionalFormatting sqref="E7:E9 G7:G9 I7:I9">
    <cfRule type="colorScale" priority="11">
      <colorScale>
        <cfvo type="num" val="0"/>
        <cfvo type="num" val="4294967295"/>
        <cfvo type="num" val="4294967296"/>
        <color theme="9"/>
        <color rgb="FFFFEB84"/>
        <color rgb="FFFF0000"/>
      </colorScale>
    </cfRule>
  </conditionalFormatting>
  <conditionalFormatting sqref="C1:C9">
    <cfRule type="colorScale" priority="10">
      <colorScale>
        <cfvo type="num" val="0"/>
        <cfvo type="num" val="65535"/>
        <cfvo type="num" val="65536"/>
        <color theme="9"/>
        <color rgb="FFFFEB84"/>
        <color rgb="FFFF0000"/>
      </colorScale>
    </cfRule>
  </conditionalFormatting>
  <conditionalFormatting sqref="E17:E19 G17:G19 I17:I19">
    <cfRule type="colorScale" priority="9">
      <colorScale>
        <cfvo type="num" val="0"/>
        <cfvo type="num" val="4294967295"/>
        <cfvo type="num" val="4294967296"/>
        <color theme="9"/>
        <color rgb="FFFFEB84"/>
        <color rgb="FFFF0000"/>
      </colorScale>
    </cfRule>
  </conditionalFormatting>
  <conditionalFormatting sqref="C12:C19">
    <cfRule type="colorScale" priority="8">
      <colorScale>
        <cfvo type="num" val="0"/>
        <cfvo type="num" val="65535"/>
        <cfvo type="num" val="65536"/>
        <color theme="9"/>
        <color rgb="FFFFEB84"/>
        <color rgb="FFFF0000"/>
      </colorScale>
    </cfRule>
  </conditionalFormatting>
  <conditionalFormatting sqref="E13:E15 G13:G15 I13:I15">
    <cfRule type="colorScale" priority="7">
      <colorScale>
        <cfvo type="num" val="0"/>
        <cfvo type="num" val="4294967295"/>
        <cfvo type="num" val="4294967296"/>
        <color theme="9"/>
        <color rgb="FFFFEB84"/>
        <color rgb="FFFF0000"/>
      </colorScale>
    </cfRule>
  </conditionalFormatting>
  <conditionalFormatting sqref="E22:E24 K22:K24 I22:I24">
    <cfRule type="colorScale" priority="5">
      <colorScale>
        <cfvo type="num" val="0"/>
        <cfvo type="num" val="4294967295"/>
        <cfvo type="num" val="4294967296"/>
        <color theme="9"/>
        <color rgb="FFFFEB84"/>
        <color rgb="FFFF0000"/>
      </colorScale>
    </cfRule>
  </conditionalFormatting>
  <conditionalFormatting sqref="E26:E28 K26:K28 I26:I28">
    <cfRule type="colorScale" priority="3">
      <colorScale>
        <cfvo type="num" val="0"/>
        <cfvo type="num" val="4294967295"/>
        <cfvo type="num" val="4294967296"/>
        <color theme="9"/>
        <color rgb="FFFFEB84"/>
        <color rgb="FFFF0000"/>
      </colorScale>
    </cfRule>
  </conditionalFormatting>
  <conditionalFormatting sqref="C21:C24">
    <cfRule type="colorScale" priority="6">
      <colorScale>
        <cfvo type="num" val="0"/>
        <cfvo type="num" val="65535"/>
        <cfvo type="num" val="65536"/>
        <color theme="9"/>
        <color rgb="FFFFEB84"/>
        <color rgb="FFFF0000"/>
      </colorScale>
    </cfRule>
  </conditionalFormatting>
  <conditionalFormatting sqref="C25:C28">
    <cfRule type="colorScale" priority="4">
      <colorScale>
        <cfvo type="num" val="0"/>
        <cfvo type="num" val="65535"/>
        <cfvo type="num" val="65536"/>
        <color theme="9"/>
        <color rgb="FFFFEB84"/>
        <color rgb="FFFF0000"/>
      </colorScale>
    </cfRule>
  </conditionalFormatting>
  <conditionalFormatting sqref="C30:C33">
    <cfRule type="colorScale" priority="2">
      <colorScale>
        <cfvo type="num" val="0"/>
        <cfvo type="num" val="65535"/>
        <cfvo type="num" val="65536"/>
        <color theme="9"/>
        <color rgb="FFFFEB84"/>
        <color rgb="FFFF0000"/>
      </colorScale>
    </cfRule>
  </conditionalFormatting>
  <conditionalFormatting sqref="E31:E33 G31:G33 I31:I33">
    <cfRule type="colorScale" priority="1">
      <colorScale>
        <cfvo type="num" val="0"/>
        <cfvo type="num" val="4294967295"/>
        <cfvo type="num" val="4294967296"/>
        <color theme="9"/>
        <color rgb="FFFFEB84"/>
        <color rgb="FFFF0000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11573-8F2A-49B4-8E44-3335466A1B88}">
  <dimension ref="A1:F10"/>
  <sheetViews>
    <sheetView workbookViewId="0">
      <selection activeCell="F10" sqref="F10"/>
    </sheetView>
  </sheetViews>
  <sheetFormatPr defaultRowHeight="15" x14ac:dyDescent="0.25"/>
  <cols>
    <col min="1" max="1" width="12.140625" customWidth="1"/>
    <col min="3" max="3" width="8.85546875" bestFit="1" customWidth="1"/>
    <col min="4" max="4" width="4.28515625" bestFit="1" customWidth="1"/>
    <col min="5" max="5" width="10.7109375" bestFit="1" customWidth="1"/>
    <col min="6" max="6" width="14.85546875" bestFit="1" customWidth="1"/>
    <col min="8" max="8" width="10.5703125" bestFit="1" customWidth="1"/>
    <col min="10" max="10" width="8.85546875" bestFit="1" customWidth="1"/>
    <col min="11" max="11" width="17.85546875" customWidth="1"/>
  </cols>
  <sheetData>
    <row r="1" spans="1:6" x14ac:dyDescent="0.25">
      <c r="A1" t="s">
        <v>33</v>
      </c>
    </row>
    <row r="2" spans="1:6" x14ac:dyDescent="0.25">
      <c r="A2" t="s">
        <v>34</v>
      </c>
    </row>
    <row r="3" spans="1:6" x14ac:dyDescent="0.25">
      <c r="A3" t="s">
        <v>35</v>
      </c>
    </row>
    <row r="7" spans="1:6" x14ac:dyDescent="0.25">
      <c r="A7" t="s">
        <v>36</v>
      </c>
      <c r="B7" t="s">
        <v>37</v>
      </c>
      <c r="C7" t="s">
        <v>38</v>
      </c>
      <c r="D7" t="s">
        <v>41</v>
      </c>
      <c r="E7" t="s">
        <v>39</v>
      </c>
      <c r="F7" t="s">
        <v>40</v>
      </c>
    </row>
    <row r="8" spans="1:6" x14ac:dyDescent="0.25">
      <c r="A8">
        <v>48000000</v>
      </c>
      <c r="B8" s="2">
        <v>48</v>
      </c>
      <c r="C8">
        <f>A8/B8</f>
        <v>1000000</v>
      </c>
      <c r="D8" s="2">
        <v>8</v>
      </c>
      <c r="E8">
        <f>2^D8</f>
        <v>256</v>
      </c>
      <c r="F8">
        <f>C8/E8</f>
        <v>3906.25</v>
      </c>
    </row>
    <row r="9" spans="1:6" x14ac:dyDescent="0.25">
      <c r="A9">
        <v>48000000</v>
      </c>
      <c r="B9" s="2">
        <v>10</v>
      </c>
      <c r="C9">
        <f>A9/B9</f>
        <v>4800000</v>
      </c>
      <c r="D9" s="2">
        <v>8</v>
      </c>
      <c r="E9">
        <f>2^D9</f>
        <v>256</v>
      </c>
      <c r="F9">
        <f>C9/E9</f>
        <v>18750</v>
      </c>
    </row>
    <row r="10" spans="1:6" x14ac:dyDescent="0.25">
      <c r="A10">
        <v>48000000</v>
      </c>
      <c r="B10" s="2">
        <v>5</v>
      </c>
      <c r="C10">
        <f>A10/B10</f>
        <v>9600000</v>
      </c>
      <c r="D10" s="2">
        <v>8</v>
      </c>
      <c r="E10">
        <f>2^D10</f>
        <v>256</v>
      </c>
      <c r="F10">
        <f>C10/E10</f>
        <v>37500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79DB4-E2D6-41EA-A30C-2398ACD29C2B}">
  <dimension ref="A1:E7"/>
  <sheetViews>
    <sheetView workbookViewId="0">
      <selection activeCell="E11" sqref="E11"/>
    </sheetView>
  </sheetViews>
  <sheetFormatPr defaultRowHeight="15" x14ac:dyDescent="0.25"/>
  <sheetData>
    <row r="1" spans="1:5" x14ac:dyDescent="0.25">
      <c r="A1" t="s">
        <v>43</v>
      </c>
    </row>
    <row r="2" spans="1:5" x14ac:dyDescent="0.25">
      <c r="A2" t="s">
        <v>44</v>
      </c>
    </row>
    <row r="3" spans="1:5" x14ac:dyDescent="0.25">
      <c r="A3" t="s">
        <v>35</v>
      </c>
    </row>
    <row r="6" spans="1:5" x14ac:dyDescent="0.25">
      <c r="A6" t="s">
        <v>36</v>
      </c>
      <c r="B6" t="s">
        <v>37</v>
      </c>
      <c r="C6" t="s">
        <v>38</v>
      </c>
      <c r="D6" t="s">
        <v>42</v>
      </c>
      <c r="E6" t="s">
        <v>40</v>
      </c>
    </row>
    <row r="7" spans="1:5" x14ac:dyDescent="0.25">
      <c r="A7">
        <v>48000000</v>
      </c>
      <c r="B7" s="2">
        <v>480</v>
      </c>
      <c r="C7">
        <f>A7/B7</f>
        <v>100000</v>
      </c>
      <c r="D7" s="2">
        <v>5000</v>
      </c>
      <c r="E7">
        <f>C7/D7</f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ADC timing</vt:lpstr>
      <vt:lpstr>ADC conversions</vt:lpstr>
      <vt:lpstr>PWM1</vt:lpstr>
      <vt:lpstr>PWM2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Denny Zhang</dc:creator>
  <cp:lastModifiedBy>Denny Zhang</cp:lastModifiedBy>
  <dcterms:created xsi:type="dcterms:W3CDTF">2019-09-25T05:45:48Z</dcterms:created>
  <dcterms:modified xsi:type="dcterms:W3CDTF">2020-06-25T04:47:24Z</dcterms:modified>
</cp:coreProperties>
</file>